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harts/chart13.xml" ContentType="application/vnd.openxmlformats-officedocument.drawingml.chart+xml"/>
  <Override PartName="/xl/charts/style4.xml" ContentType="application/vnd.ms-office.chartstyle+xml"/>
  <Override PartName="/xl/charts/colors4.xml" ContentType="application/vnd.ms-office.chartcolorstyle+xml"/>
  <Override PartName="/xl/charts/chart1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omments3.xml" ContentType="application/vnd.openxmlformats-officedocument.spreadsheetml.comments+xml"/>
  <Override PartName="/xl/charts/chart15.xml" ContentType="application/vnd.openxmlformats-officedocument.drawingml.chart+xml"/>
  <Override PartName="/xl/charts/style6.xml" ContentType="application/vnd.ms-office.chartstyle+xml"/>
  <Override PartName="/xl/charts/colors6.xml" ContentType="application/vnd.ms-office.chartcolorstyle+xml"/>
  <Override PartName="/xl/charts/chart16.xml" ContentType="application/vnd.openxmlformats-officedocument.drawingml.chart+xml"/>
  <Override PartName="/xl/charts/style7.xml" ContentType="application/vnd.ms-office.chartstyle+xml"/>
  <Override PartName="/xl/charts/colors7.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7.xml" ContentType="application/vnd.openxmlformats-officedocument.drawing+xml"/>
  <Override PartName="/xl/charts/chart23.xml" ContentType="application/vnd.openxmlformats-officedocument.drawingml.chart+xml"/>
  <Override PartName="/xl/charts/style8.xml" ContentType="application/vnd.ms-office.chartstyle+xml"/>
  <Override PartName="/xl/charts/colors8.xml" ContentType="application/vnd.ms-office.chartcolorstyle+xml"/>
  <Override PartName="/xl/comments4.xml" ContentType="application/vnd.openxmlformats-officedocument.spreadsheetml.comments+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charts/chart24.xml" ContentType="application/vnd.openxmlformats-officedocument.drawingml.chart+xml"/>
  <Override PartName="/xl/comments7.xml" ContentType="application/vnd.openxmlformats-officedocument.spreadsheetml.comments+xml"/>
  <Override PartName="/xl/drawings/drawing10.xml" ContentType="application/vnd.openxmlformats-officedocument.drawing+xml"/>
  <Override PartName="/xl/charts/chart25.xml" ContentType="application/vnd.openxmlformats-officedocument.drawingml.chart+xml"/>
  <Override PartName="/xl/charts/style9.xml" ContentType="application/vnd.ms-office.chartstyle+xml"/>
  <Override PartName="/xl/charts/colors9.xml" ContentType="application/vnd.ms-office.chartcolorstyle+xml"/>
  <Override PartName="/xl/charts/chart26.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style11.xml" ContentType="application/vnd.ms-office.chartstyle+xml"/>
  <Override PartName="/xl/charts/colors11.xml" ContentType="application/vnd.ms-office.chartcolorstyle+xml"/>
  <Override PartName="/xl/charts/chart29.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ml.chartshape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13.xml" ContentType="application/vnd.openxmlformats-officedocument.drawing+xml"/>
  <Override PartName="/xl/comments12.xml" ContentType="application/vnd.openxmlformats-officedocument.spreadsheetml.comments+xml"/>
  <Override PartName="/xl/drawings/drawing14.xml" ContentType="application/vnd.openxmlformats-officedocument.drawing+xml"/>
  <Override PartName="/xl/comments13.xml" ContentType="application/vnd.openxmlformats-officedocument.spreadsheetml.comments+xml"/>
  <Override PartName="/xl/charts/chart30.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5.xml" ContentType="application/vnd.openxmlformats-officedocument.drawingml.chartshapes+xml"/>
  <Override PartName="/xl/charts/chart31.xml" ContentType="application/vnd.openxmlformats-officedocument.drawingml.chart+xml"/>
  <Override PartName="/xl/comments14.xml" ContentType="application/vnd.openxmlformats-officedocument.spreadsheetml.comments+xml"/>
  <Override PartName="/xl/comments15.xml" ContentType="application/vnd.openxmlformats-officedocument.spreadsheetml.comments+xml"/>
  <Override PartName="/xl/drawings/drawing16.xml" ContentType="application/vnd.openxmlformats-officedocument.drawing+xml"/>
  <Override PartName="/xl/charts/chart3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7.xml" ContentType="application/vnd.openxmlformats-officedocument.drawing+xml"/>
  <Override PartName="/xl/charts/chart3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8.xml" ContentType="application/vnd.openxmlformats-officedocument.drawing+xml"/>
  <Override PartName="/xl/comments16.xml" ContentType="application/vnd.openxmlformats-officedocument.spreadsheetml.comments+xml"/>
  <Override PartName="/xl/charts/chart34.xml" ContentType="application/vnd.openxmlformats-officedocument.drawingml.chart+xml"/>
  <Override PartName="/xl/charts/style16.xml" ContentType="application/vnd.ms-office.chartstyle+xml"/>
  <Override PartName="/xl/charts/colors16.xml" ContentType="application/vnd.ms-office.chartcolorstyle+xml"/>
  <Override PartName="/xl/charts/chart35.xml" ContentType="application/vnd.openxmlformats-officedocument.drawingml.chart+xml"/>
  <Override PartName="/xl/charts/style17.xml" ContentType="application/vnd.ms-office.chartstyle+xml"/>
  <Override PartName="/xl/charts/colors17.xml" ContentType="application/vnd.ms-office.chartcolorstyle+xml"/>
  <Override PartName="/xl/charts/chart3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9.xml" ContentType="application/vnd.openxmlformats-officedocument.drawing+xml"/>
  <Override PartName="/xl/charts/chart37.xml" ContentType="application/vnd.openxmlformats-officedocument.drawingml.chart+xml"/>
  <Override PartName="/xl/charts/style19.xml" ContentType="application/vnd.ms-office.chartstyle+xml"/>
  <Override PartName="/xl/charts/colors19.xml" ContentType="application/vnd.ms-office.chartcolorstyle+xml"/>
  <Override PartName="/xl/charts/chart38.xml" ContentType="application/vnd.openxmlformats-officedocument.drawingml.chart+xml"/>
  <Override PartName="/xl/charts/chart39.xml" ContentType="application/vnd.openxmlformats-officedocument.drawingml.chart+xml"/>
  <Override PartName="/xl/charts/style20.xml" ContentType="application/vnd.ms-office.chartstyle+xml"/>
  <Override PartName="/xl/charts/colors20.xml" ContentType="application/vnd.ms-office.chartcolorstyle+xml"/>
  <Override PartName="/xl/charts/chart40.xml" ContentType="application/vnd.openxmlformats-officedocument.drawingml.chart+xml"/>
  <Override PartName="/xl/charts/style21.xml" ContentType="application/vnd.ms-office.chartstyle+xml"/>
  <Override PartName="/xl/charts/colors21.xml" ContentType="application/vnd.ms-office.chartcolorstyle+xml"/>
  <Override PartName="/xl/charts/chart41.xml" ContentType="application/vnd.openxmlformats-officedocument.drawingml.chart+xml"/>
  <Override PartName="/xl/charts/style22.xml" ContentType="application/vnd.ms-office.chartstyle+xml"/>
  <Override PartName="/xl/charts/colors22.xml" ContentType="application/vnd.ms-office.chartcolorstyle+xml"/>
  <Override PartName="/xl/charts/chart42.xml" ContentType="application/vnd.openxmlformats-officedocument.drawingml.chart+xml"/>
  <Override PartName="/xl/charts/style23.xml" ContentType="application/vnd.ms-office.chartstyle+xml"/>
  <Override PartName="/xl/charts/colors23.xml" ContentType="application/vnd.ms-office.chartcolorstyle+xml"/>
  <Override PartName="/xl/charts/chart43.xml" ContentType="application/vnd.openxmlformats-officedocument.drawingml.chart+xml"/>
  <Override PartName="/xl/charts/style24.xml" ContentType="application/vnd.ms-office.chartstyle+xml"/>
  <Override PartName="/xl/charts/colors24.xml" ContentType="application/vnd.ms-office.chartcolorstyle+xml"/>
  <Override PartName="/xl/charts/chart44.xml" ContentType="application/vnd.openxmlformats-officedocument.drawingml.chart+xml"/>
  <Override PartName="/xl/charts/style25.xml" ContentType="application/vnd.ms-office.chartstyle+xml"/>
  <Override PartName="/xl/charts/colors25.xml" ContentType="application/vnd.ms-office.chartcolorstyle+xml"/>
  <Override PartName="/xl/charts/chart45.xml" ContentType="application/vnd.openxmlformats-officedocument.drawingml.chart+xml"/>
  <Override PartName="/xl/charts/style26.xml" ContentType="application/vnd.ms-office.chartstyle+xml"/>
  <Override PartName="/xl/charts/colors26.xml" ContentType="application/vnd.ms-office.chartcolorstyle+xml"/>
  <Override PartName="/xl/charts/chart46.xml" ContentType="application/vnd.openxmlformats-officedocument.drawingml.chart+xml"/>
  <Override PartName="/xl/charts/style27.xml" ContentType="application/vnd.ms-office.chartstyle+xml"/>
  <Override PartName="/xl/charts/colors27.xml" ContentType="application/vnd.ms-office.chartcolorstyle+xml"/>
  <Override PartName="/xl/charts/chart47.xml" ContentType="application/vnd.openxmlformats-officedocument.drawingml.chart+xml"/>
  <Override PartName="/xl/charts/style28.xml" ContentType="application/vnd.ms-office.chartstyle+xml"/>
  <Override PartName="/xl/charts/colors28.xml" ContentType="application/vnd.ms-office.chartcolorstyle+xml"/>
  <Override PartName="/xl/charts/chart48.xml" ContentType="application/vnd.openxmlformats-officedocument.drawingml.chart+xml"/>
  <Override PartName="/xl/charts/style29.xml" ContentType="application/vnd.ms-office.chartstyle+xml"/>
  <Override PartName="/xl/charts/colors29.xml" ContentType="application/vnd.ms-office.chartcolorstyle+xml"/>
  <Override PartName="/xl/charts/chart49.xml" ContentType="application/vnd.openxmlformats-officedocument.drawingml.chart+xml"/>
  <Override PartName="/xl/charts/style30.xml" ContentType="application/vnd.ms-office.chartstyle+xml"/>
  <Override PartName="/xl/charts/colors30.xml" ContentType="application/vnd.ms-office.chartcolorstyle+xml"/>
  <Override PartName="/xl/charts/chart50.xml" ContentType="application/vnd.openxmlformats-officedocument.drawingml.chart+xml"/>
  <Override PartName="/xl/charts/style31.xml" ContentType="application/vnd.ms-office.chartstyle+xml"/>
  <Override PartName="/xl/charts/colors31.xml" ContentType="application/vnd.ms-office.chartcolorstyle+xml"/>
  <Override PartName="/xl/charts/chart51.xml" ContentType="application/vnd.openxmlformats-officedocument.drawingml.chart+xml"/>
  <Override PartName="/xl/charts/chart52.xml" ContentType="application/vnd.openxmlformats-officedocument.drawingml.chart+xml"/>
  <Override PartName="/xl/charts/style32.xml" ContentType="application/vnd.ms-office.chartstyle+xml"/>
  <Override PartName="/xl/charts/colors32.xml" ContentType="application/vnd.ms-office.chartcolorstyle+xml"/>
  <Override PartName="/xl/charts/chart53.xml" ContentType="application/vnd.openxmlformats-officedocument.drawingml.chart+xml"/>
  <Override PartName="/xl/charts/style33.xml" ContentType="application/vnd.ms-office.chartstyle+xml"/>
  <Override PartName="/xl/charts/colors33.xml" ContentType="application/vnd.ms-office.chartcolorstyle+xml"/>
  <Override PartName="/xl/charts/chart54.xml" ContentType="application/vnd.openxmlformats-officedocument.drawingml.chart+xml"/>
  <Override PartName="/xl/charts/chart55.xml" ContentType="application/vnd.openxmlformats-officedocument.drawingml.chart+xml"/>
  <Override PartName="/xl/charts/style34.xml" ContentType="application/vnd.ms-office.chartstyle+xml"/>
  <Override PartName="/xl/charts/colors34.xml" ContentType="application/vnd.ms-office.chartcolorstyle+xml"/>
  <Override PartName="/xl/charts/chart56.xml" ContentType="application/vnd.openxmlformats-officedocument.drawingml.chart+xml"/>
  <Override PartName="/xl/charts/style35.xml" ContentType="application/vnd.ms-office.chartstyle+xml"/>
  <Override PartName="/xl/charts/colors35.xml" ContentType="application/vnd.ms-office.chartcolorstyle+xml"/>
  <Override PartName="/xl/charts/chart57.xml" ContentType="application/vnd.openxmlformats-officedocument.drawingml.chart+xml"/>
  <Override PartName="/xl/drawings/drawing20.xml" ContentType="application/vnd.openxmlformats-officedocument.drawing+xml"/>
  <Override PartName="/xl/charts/chart58.xml" ContentType="application/vnd.openxmlformats-officedocument.drawingml.chart+xml"/>
  <Override PartName="/xl/charts/style36.xml" ContentType="application/vnd.ms-office.chartstyle+xml"/>
  <Override PartName="/xl/charts/colors36.xml" ContentType="application/vnd.ms-office.chartcolorstyle+xml"/>
  <Override PartName="/xl/charts/chart59.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drawings/drawing23.xml" ContentType="application/vnd.openxmlformats-officedocument.drawing+xml"/>
  <Override PartName="/xl/comments19.xml" ContentType="application/vnd.openxmlformats-officedocument.spreadsheetml.comments+xml"/>
  <Override PartName="/xl/charts/chart60.xml" ContentType="application/vnd.openxmlformats-officedocument.drawingml.chart+xml"/>
  <Override PartName="/xl/charts/style38.xml" ContentType="application/vnd.ms-office.chartstyle+xml"/>
  <Override PartName="/xl/charts/colors38.xml" ContentType="application/vnd.ms-office.chartcolorstyle+xml"/>
  <Override PartName="/xl/charts/chart61.xml" ContentType="application/vnd.openxmlformats-officedocument.drawingml.chart+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harts/chart62.xml" ContentType="application/vnd.openxmlformats-officedocument.drawingml.chart+xml"/>
  <Override PartName="/xl/charts/chart63.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28.xml" ContentType="application/vnd.openxmlformats-officedocument.drawing+xml"/>
  <Override PartName="/xl/charts/chart64.xml" ContentType="application/vnd.openxmlformats-officedocument.drawingml.chart+xml"/>
  <Override PartName="/xl/charts/style40.xml" ContentType="application/vnd.ms-office.chartstyle+xml"/>
  <Override PartName="/xl/charts/colors40.xml" ContentType="application/vnd.ms-office.chartcolorstyle+xml"/>
  <Override PartName="/xl/charts/chart6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mc:AlternateContent xmlns:mc="http://schemas.openxmlformats.org/markup-compatibility/2006">
    <mc:Choice Requires="x15">
      <x15ac:absPath xmlns:x15ac="http://schemas.microsoft.com/office/spreadsheetml/2010/11/ac" url="P:\Research\SB - Research\5. Wagering\5. Market Data\"/>
    </mc:Choice>
  </mc:AlternateContent>
  <xr:revisionPtr revIDLastSave="0" documentId="13_ncr:1_{DEFDBB5D-48A1-40D9-954E-70555C757C9D}" xr6:coauthVersionLast="47" xr6:coauthVersionMax="47" xr10:uidLastSave="{00000000-0000-0000-0000-000000000000}"/>
  <bookViews>
    <workbookView xWindow="-120" yWindow="-120" windowWidth="29040" windowHeight="15720" tabRatio="854" firstSheet="17" activeTab="34" xr2:uid="{BB5B8054-030F-4BB1-AC35-3A411820E98C}"/>
  </bookViews>
  <sheets>
    <sheet name="SAM TO DO" sheetId="11" state="hidden" r:id="rId1"/>
    <sheet name="COMPS" sheetId="18" r:id="rId2"/>
    <sheet name="QTR" sheetId="28" r:id="rId3"/>
    <sheet name="HY" sheetId="1" r:id="rId4"/>
    <sheet name="Market Size Summary" sheetId="24" r:id="rId5"/>
    <sheet name="FY - Market Shares" sheetId="22" r:id="rId6"/>
    <sheet name="MS" sheetId="56" r:id="rId7"/>
    <sheet name="SBET QTR" sheetId="27" r:id="rId8"/>
    <sheet name="SBET" sheetId="4" r:id="rId9"/>
    <sheet name="ENT" sheetId="7" r:id="rId10"/>
    <sheet name="B365" sheetId="13" r:id="rId11"/>
    <sheet name="PBH" sheetId="2" r:id="rId12"/>
    <sheet name="BBET + BetR" sheetId="6" r:id="rId13"/>
    <sheet name="BETR" sheetId="26" r:id="rId14"/>
    <sheet name="Profitability" sheetId="34" r:id="rId15"/>
    <sheet name="MERGER" sheetId="31" r:id="rId16"/>
    <sheet name="SportsBet ASIC" sheetId="38" r:id="rId17"/>
    <sheet name="TAH AR " sheetId="49" r:id="rId18"/>
    <sheet name="TAH" sheetId="50" r:id="rId19"/>
    <sheet name="Entain ASIC" sheetId="39" r:id="rId20"/>
    <sheet name="Bet365 ASIC" sheetId="40" r:id="rId21"/>
    <sheet name="Dabble ASIC" sheetId="41" r:id="rId22"/>
    <sheet name="PBH ANN" sheetId="47" r:id="rId23"/>
    <sheet name="PBH AR" sheetId="48" r:id="rId24"/>
    <sheet name="RACING" sheetId="20" r:id="rId25"/>
    <sheet name="AUS" sheetId="8" r:id="rId26"/>
    <sheet name="NSW" sheetId="17" r:id="rId27"/>
    <sheet name="VIC" sheetId="32" r:id="rId28"/>
    <sheet name="QLD" sheetId="37" r:id="rId29"/>
    <sheet name="OTHER" sheetId="19" r:id="rId30"/>
    <sheet name="Media Spend" sheetId="43" r:id="rId31"/>
    <sheet name="Social Media" sheetId="44" r:id="rId32"/>
    <sheet name="Brands" sheetId="29" r:id="rId33"/>
    <sheet name="Black Market" sheetId="45" r:id="rId34"/>
    <sheet name="Ad ban" sheetId="46" r:id="rId35"/>
    <sheet name="AGS Stats" sheetId="30" r:id="rId36"/>
    <sheet name="CPI" sheetId="53" r:id="rId37"/>
    <sheet name="EGM Upside" sheetId="51" r:id="rId38"/>
    <sheet name="UK" sheetId="52" r:id="rId39"/>
    <sheet name="VC Margins" sheetId="9" r:id="rId40"/>
    <sheet name="POCT" sheetId="12" r:id="rId41"/>
    <sheet name="POCT v2" sheetId="57" r:id="rId42"/>
    <sheet name="State Budgets" sheetId="15" r:id="rId43"/>
    <sheet name="Media" sheetId="21" r:id="rId44"/>
    <sheet name="International" sheetId="14" r:id="rId45"/>
    <sheet name="FLUT Restatement" sheetId="33" r:id="rId46"/>
    <sheet name="BetStop" sheetId="54" r:id="rId47"/>
    <sheet name="Aus BetStop Data" sheetId="55" r:id="rId48"/>
  </sheets>
  <externalReferences>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__1__123Graph_ACHART_1" hidden="1">'[1]Long Term Prices'!$DI$827:$DI$855</definedName>
    <definedName name="__10__123Graph_CCHART_1" hidden="1">[2]AnnualData!#REF!</definedName>
    <definedName name="__11__123Graph_DCHART_5" hidden="1">[2]AnnualData!#REF!</definedName>
    <definedName name="__12__123Graph_XCHART_1" hidden="1">'[1]Long Term Prices'!$A$827:$A$855</definedName>
    <definedName name="__123Graph_A" hidden="1">'[1]Long Term Prices'!$U$270:$U$549</definedName>
    <definedName name="__123Graph_AAL" hidden="1">'[1]Long Term Prices'!$P$450:$P$533</definedName>
    <definedName name="__123Graph_AChart1" hidden="1">[3]F1!#REF!</definedName>
    <definedName name="__123Graph_ACU" hidden="1">'[1]Long Term Prices'!$O$450:$O$533</definedName>
    <definedName name="__123Graph_ACurrent" hidden="1">[3]F1!#REF!</definedName>
    <definedName name="__123Graph_AGRAPH1" hidden="1">[4]Fin!$C$14:$F$14</definedName>
    <definedName name="__123Graph_ALME" hidden="1">'[1]Long Term Prices'!$S$438:$S$505</definedName>
    <definedName name="__123Graph_APB" hidden="1">'[1]Long Term Prices'!$R$450:$R$533</definedName>
    <definedName name="__123Graph_AZN" hidden="1">'[1]Long Term Prices'!$Q$450:$Q$533</definedName>
    <definedName name="__123Graph_B" hidden="1">'[1]Long Term Prices'!$BI$270:$BI$548</definedName>
    <definedName name="__123Graph_BGRAPH1" hidden="1">[4]Fin!$C$17:$F$17</definedName>
    <definedName name="__123Graph_CGRAPH1" hidden="1">[4]Fin!$C$16:$F$16</definedName>
    <definedName name="__123Graph_E" hidden="1">#REF!</definedName>
    <definedName name="__123Graph_F" hidden="1">#REF!</definedName>
    <definedName name="__123Graph_X" hidden="1">[3]F1!#REF!</definedName>
    <definedName name="__123Graph_XAL" hidden="1">'[1]Long Term Prices'!$A$450:$A$533</definedName>
    <definedName name="__123Graph_XChart1" hidden="1">[3]F1!#REF!</definedName>
    <definedName name="__123Graph_XCU" hidden="1">'[1]Long Term Prices'!$A$450:$A$533</definedName>
    <definedName name="__123Graph_XCurrent" hidden="1">[3]F1!#REF!</definedName>
    <definedName name="__123Graph_XGRAPH1" hidden="1">[4]Fin!$A$7:$A$7</definedName>
    <definedName name="__123Graph_XLME" hidden="1">'[1]Long Term Prices'!$A$438:$A$505</definedName>
    <definedName name="__123Graph_XPB" hidden="1">'[1]Long Term Prices'!$A$450:$A$533</definedName>
    <definedName name="__123Graph_XZN" hidden="1">'[1]Long Term Prices'!$A$450:$A$533</definedName>
    <definedName name="__13__123Graph_XCHART_2" hidden="1">'[1]Long Term Prices'!#REF!</definedName>
    <definedName name="__14__123Graph_XCHART_3" hidden="1">[2]AnnualData!#REF!</definedName>
    <definedName name="__15__123Graph_XCHART_4" hidden="1">[2]AnnualData!#REF!</definedName>
    <definedName name="__16__123Graph_XCHART_5" hidden="1">[2]AnnualData!#REF!</definedName>
    <definedName name="__2__123Graph_ACHART_2" hidden="1">'[1]Long Term Prices'!$BZ$486:$BZ$548</definedName>
    <definedName name="__3__123Graph_ACHART_3" hidden="1">[2]AnnualData!#REF!</definedName>
    <definedName name="__4__123Graph_ACHART_4" hidden="1">[2]AnnualData!#REF!</definedName>
    <definedName name="__5__123Graph_ACHART_5" hidden="1">[2]AnnualData!#REF!</definedName>
    <definedName name="__6__123Graph_BCHART_1" hidden="1">[2]AnnualData!#REF!</definedName>
    <definedName name="__7__123Graph_BCHART_2" hidden="1">[2]AnnualData!#REF!</definedName>
    <definedName name="__8__123Graph_BCHART_3" hidden="1">[2]AnnualData!#REF!</definedName>
    <definedName name="__9__123Graph_BCHART_4" hidden="1">[2]AnnualData!#REF!</definedName>
    <definedName name="__APW_RESTORE_DATA0__" hidden="1">#REF!,#REF!,#REF!,#REF!,#REF!,#REF!,#REF!</definedName>
    <definedName name="__APW_RESTORE_DATA1__" hidden="1">#REF!,#REF!,#REF!,#REF!,#REF!,#REF!,#REF!</definedName>
    <definedName name="__APW_RESTORE_DATA103__" hidden="1">#REF!,#REF!,#REF!,#REF!,#REF!,#REF!,#REF!,#REF!,#REF!,#REF!,#REF!,#REF!,#REF!,#REF!,#REF!,#REF!</definedName>
    <definedName name="__APW_RESTORE_DATA104__" hidden="1">#REF!,#REF!,#REF!,#REF!,#REF!,#REF!,#REF!,#REF!,#REF!,#REF!,#REF!,#REF!,#REF!,#REF!,#REF!,#REF!</definedName>
    <definedName name="__APW_RESTORE_DATA105__" hidden="1">#REF!,#REF!,#REF!,#REF!,#REF!,#REF!,#REF!,#REF!,#REF!,#REF!,#REF!,#REF!,#REF!,#REF!,#REF!,#REF!</definedName>
    <definedName name="__APW_RESTORE_DATA106__" hidden="1">#REF!,#REF!,#REF!,#REF!,#REF!,#REF!,#REF!,#REF!,#REF!,#REF!,#REF!,#REF!,#REF!,#REF!,#REF!,#REF!</definedName>
    <definedName name="__APW_RESTORE_DATA107__" hidden="1">#REF!,#REF!,#REF!,#REF!,#REF!,#REF!</definedName>
    <definedName name="__APW_RESTORE_DATA108__" hidden="1">#REF!,#REF!,#REF!,#REF!,#REF!,#REF!,#REF!,#REF!,#REF!,#REF!,#REF!,#REF!,#REF!,#REF!,#REF!,#REF!</definedName>
    <definedName name="__APW_RESTORE_DATA109__" hidden="1">#REF!,#REF!,#REF!,#REF!,#REF!,#REF!,#REF!,#REF!,#REF!,#REF!,#REF!,#REF!,#REF!,#REF!,#REF!,#REF!</definedName>
    <definedName name="__APW_RESTORE_DATA110__" hidden="1">#REF!,#REF!,#REF!,#REF!,#REF!,#REF!,#REF!,#REF!,#REF!,#REF!,#REF!,#REF!,#REF!,#REF!,#REF!,#REF!</definedName>
    <definedName name="__APW_RESTORE_DATA111__" hidden="1">#REF!,#REF!,#REF!,#REF!,#REF!,#REF!,#REF!,#REF!,#REF!,#REF!,#REF!,#REF!,#REF!,#REF!,#REF!,#REF!</definedName>
    <definedName name="__APW_RESTORE_DATA112__" hidden="1">#REF!,#REF!,#REF!,#REF!,#REF!,#REF!</definedName>
    <definedName name="__APW_RESTORE_DATA113__" hidden="1">#REF!,#REF!,#REF!,#REF!,#REF!,#REF!,#REF!,#REF!,#REF!,#REF!,#REF!,#REF!,#REF!,#REF!,#REF!</definedName>
    <definedName name="__APW_RESTORE_DATA114__" hidden="1">#REF!,#REF!,#REF!,#REF!,#REF!,#REF!,#REF!,#REF!,#REF!,#REF!,#REF!,#REF!,#REF!,#REF!,#REF!</definedName>
    <definedName name="__APW_RESTORE_DATA115__" hidden="1">#REF!,#REF!,#REF!,#REF!,#REF!,#REF!,#REF!,#REF!,#REF!,#REF!,#REF!,#REF!,#REF!,#REF!,#REF!</definedName>
    <definedName name="__APW_RESTORE_DATA116__" hidden="1">#REF!,#REF!,#REF!,#REF!,#REF!,#REF!,#REF!,#REF!,#REF!,#REF!,#REF!,#REF!,#REF!,#REF!,#REF!</definedName>
    <definedName name="__APW_RESTORE_DATA117__" hidden="1">#REF!,#REF!,#REF!,#REF!,#REF!,#REF!,#REF!,#REF!,#REF!,#REF!</definedName>
    <definedName name="__APW_RESTORE_DATA17__" hidden="1">#REF!,#REF!,#REF!,#REF!,#REF!,#REF!,#REF!,#REF!,#REF!,#REF!,#REF!,#REF!,#REF!,#REF!,#REF!,#REF!</definedName>
    <definedName name="__APW_RESTORE_DATA18__" hidden="1">#REF!,#REF!,#REF!,#REF!,#REF!,#REF!,#REF!,#REF!,#REF!,#REF!,#REF!,#REF!,#REF!,#REF!,#REF!,#REF!</definedName>
    <definedName name="__APW_RESTORE_DATA19__" hidden="1">#REF!,#REF!,#REF!,#REF!,#REF!,#REF!,#REF!,#REF!,#REF!,#REF!,#REF!,#REF!,#REF!,#REF!,#REF!,#REF!</definedName>
    <definedName name="__APW_RESTORE_DATA191__" hidden="1">#REF!,#REF!,#REF!,#REF!,#REF!,#REF!,#REF!,#REF!,#REF!,#REF!,#REF!,#REF!,#REF!,#REF!,#REF!,#REF!</definedName>
    <definedName name="__APW_RESTORE_DATA192__" hidden="1">#REF!,#REF!,#REF!,#REF!,#REF!,#REF!,#REF!,#REF!,#REF!,#REF!,#REF!,#REF!,#REF!,#REF!,#REF!,#REF!</definedName>
    <definedName name="__APW_RESTORE_DATA193__" hidden="1">#REF!,#REF!,#REF!,#REF!,#REF!,#REF!,#REF!,#REF!,#REF!,#REF!,#REF!,#REF!,#REF!,#REF!,#REF!,#REF!</definedName>
    <definedName name="__APW_RESTORE_DATA194__" hidden="1">#REF!,#REF!,#REF!,#REF!,#REF!,#REF!,#REF!,#REF!,#REF!,#REF!,#REF!,#REF!,#REF!,#REF!,#REF!,#REF!</definedName>
    <definedName name="__APW_RESTORE_DATA195__" hidden="1">#REF!,#REF!,#REF!,#REF!,#REF!,#REF!,#REF!,#REF!,#REF!,#REF!,#REF!,#REF!,#REF!,#REF!,#REF!,#REF!</definedName>
    <definedName name="__APW_RESTORE_DATA196__" hidden="1">#REF!,#REF!,#REF!,#REF!,#REF!,#REF!,#REF!,#REF!,#REF!,#REF!,#REF!,#REF!,#REF!,#REF!,#REF!,#REF!</definedName>
    <definedName name="__APW_RESTORE_DATA197__" hidden="1">#REF!,#REF!,#REF!,#REF!,#REF!,#REF!,#REF!,#REF!,#REF!,#REF!,#REF!,#REF!,#REF!,#REF!,#REF!,#REF!</definedName>
    <definedName name="__APW_RESTORE_DATA198__" hidden="1">#REF!,#REF!,#REF!,#REF!,#REF!,#REF!,#REF!,#REF!,#REF!,#REF!,#REF!,#REF!,#REF!,#REF!,#REF!,#REF!</definedName>
    <definedName name="__APW_RESTORE_DATA199__" hidden="1">#REF!,#REF!,#REF!,#REF!,#REF!,#REF!,#REF!,#REF!,#REF!,#REF!,#REF!,#REF!,#REF!,#REF!,#REF!,#REF!</definedName>
    <definedName name="__APW_RESTORE_DATA2__" hidden="1">#REF!,#REF!,#REF!,#REF!,#REF!,#REF!,#REF!,#REF!,#REF!,#REF!,#REF!,#REF!,#REF!,#REF!,#REF!,#REF!,#REF!</definedName>
    <definedName name="__APW_RESTORE_DATA20__" hidden="1">#REF!,#REF!,#REF!,#REF!,#REF!,#REF!,#REF!,#REF!,#REF!,#REF!,#REF!,#REF!,#REF!,#REF!,#REF!,#REF!</definedName>
    <definedName name="__APW_RESTORE_DATA200__" hidden="1">#REF!,#REF!,#REF!,#REF!,#REF!,#REF!,#REF!,#REF!,#REF!,#REF!,#REF!,#REF!,#REF!,#REF!,#REF!,#REF!</definedName>
    <definedName name="__APW_RESTORE_DATA201__" hidden="1">#REF!,#REF!,#REF!,#REF!,#REF!,#REF!,#REF!,#REF!,#REF!,#REF!,#REF!,#REF!,#REF!,#REF!,#REF!,#REF!</definedName>
    <definedName name="__APW_RESTORE_DATA202__" hidden="1">#REF!,#REF!,#REF!,#REF!,#REF!,#REF!,#REF!,#REF!,#REF!,#REF!,#REF!,#REF!,#REF!,#REF!,#REF!,#REF!</definedName>
    <definedName name="__APW_RESTORE_DATA203__" hidden="1">#REF!,#REF!,#REF!,#REF!,#REF!,#REF!,#REF!,#REF!,#REF!,#REF!,#REF!,#REF!,#REF!,#REF!,#REF!,#REF!</definedName>
    <definedName name="__APW_RESTORE_DATA204__" hidden="1">#REF!,#REF!,#REF!,#REF!,#REF!,#REF!,#REF!,#REF!,#REF!,#REF!,#REF!,#REF!</definedName>
    <definedName name="__APW_RESTORE_DATA205__" hidden="1">#REF!,#REF!,#REF!,#REF!,#REF!,#REF!,#REF!,#REF!,#REF!,#REF!,#REF!,#REF!,#REF!,#REF!,#REF!,#REF!</definedName>
    <definedName name="__APW_RESTORE_DATA206__" hidden="1">#REF!,#REF!,#REF!,#REF!,#REF!,#REF!,#REF!,#REF!,#REF!,#REF!,#REF!,#REF!,#REF!,#REF!,#REF!,#REF!</definedName>
    <definedName name="__APW_RESTORE_DATA207__" hidden="1">#REF!,#REF!,#REF!,#REF!,#REF!,#REF!,#REF!,#REF!,#REF!,#REF!,#REF!,#REF!,#REF!,#REF!,#REF!,#REF!</definedName>
    <definedName name="__APW_RESTORE_DATA208__" hidden="1">#REF!,#REF!,#REF!,#REF!,#REF!,#REF!,#REF!,#REF!,#REF!,#REF!,#REF!,#REF!,#REF!,#REF!,#REF!,#REF!</definedName>
    <definedName name="__APW_RESTORE_DATA209__" hidden="1">#REF!,#REF!,#REF!,#REF!,#REF!,#REF!,#REF!,#REF!,#REF!,#REF!,#REF!,#REF!,#REF!,#REF!,#REF!,#REF!</definedName>
    <definedName name="__APW_RESTORE_DATA21__" hidden="1">#REF!,#REF!,#REF!,#REF!,#REF!,#REF!</definedName>
    <definedName name="__APW_RESTORE_DATA210__" hidden="1">#REF!,#REF!,#REF!,#REF!,#REF!,#REF!,#REF!,#REF!,#REF!,#REF!,#REF!,#REF!</definedName>
    <definedName name="__APW_RESTORE_DATA22__" hidden="1">#REF!,#REF!,#REF!,#REF!,#REF!,#REF!,#REF!,#REF!,#REF!,#REF!,#REF!,#REF!,#REF!,#REF!,#REF!,#REF!</definedName>
    <definedName name="__APW_RESTORE_DATA23__" hidden="1">#REF!,#REF!,#REF!,#REF!,#REF!,#REF!,#REF!,#REF!,#REF!,#REF!,#REF!,#REF!,#REF!,#REF!,#REF!,#REF!</definedName>
    <definedName name="__APW_RESTORE_DATA24__" hidden="1">#REF!,#REF!,#REF!,#REF!,#REF!,#REF!,#REF!,#REF!,#REF!,#REF!,#REF!,#REF!,#REF!,#REF!,#REF!,#REF!</definedName>
    <definedName name="__APW_RESTORE_DATA25__" hidden="1">#REF!,#REF!,#REF!,#REF!,#REF!,#REF!,#REF!,#REF!,#REF!,#REF!,#REF!,#REF!,#REF!,#REF!,#REF!,#REF!</definedName>
    <definedName name="__APW_RESTORE_DATA26__" hidden="1">#REF!,#REF!,#REF!,#REF!,#REF!,#REF!</definedName>
    <definedName name="__APW_RESTORE_DATA27__" hidden="1">#REF!,#REF!,#REF!,#REF!,#REF!,#REF!,#REF!,#REF!,#REF!,#REF!,#REF!,#REF!,#REF!,#REF!,#REF!,#REF!</definedName>
    <definedName name="__APW_RESTORE_DATA28__" hidden="1">#REF!,#REF!,#REF!,#REF!,#REF!,#REF!,#REF!,#REF!,#REF!,#REF!,#REF!,#REF!,#REF!,#REF!,#REF!,#REF!</definedName>
    <definedName name="__APW_RESTORE_DATA29__" hidden="1">#REF!,#REF!,#REF!,#REF!,#REF!,#REF!,#REF!,#REF!,#REF!,#REF!,#REF!,#REF!,#REF!,#REF!,#REF!,#REF!</definedName>
    <definedName name="__APW_RESTORE_DATA3__" hidden="1">#REF!,#REF!,#REF!,#REF!,#REF!,#REF!,#REF!,#REF!,#REF!,#REF!,#REF!,#REF!,#REF!,#REF!,#REF!,#REF!,#REF!</definedName>
    <definedName name="__APW_RESTORE_DATA30__" hidden="1">#REF!,#REF!,#REF!,#REF!,#REF!,#REF!,#REF!,#REF!,#REF!,#REF!,#REF!,#REF!,#REF!,#REF!,#REF!,#REF!</definedName>
    <definedName name="__APW_RESTORE_DATA31__" hidden="1">#REF!,#REF!,#REF!,#REF!,#REF!,#REF!</definedName>
    <definedName name="__APW_RESTORE_DATA32__" hidden="1">#REF!,#REF!,#REF!,#REF!,#REF!,#REF!,#REF!,#REF!,#REF!,#REF!,#REF!,#REF!,#REF!,#REF!,#REF!,#REF!</definedName>
    <definedName name="__APW_RESTORE_DATA33__" hidden="1">#REF!,#REF!,#REF!,#REF!,#REF!,#REF!,#REF!,#REF!,#REF!,#REF!,#REF!,#REF!,#REF!,#REF!,#REF!,#REF!</definedName>
    <definedName name="__APW_RESTORE_DATA34__" hidden="1">#REF!,#REF!,#REF!,#REF!,#REF!,#REF!,#REF!,#REF!,#REF!,#REF!,#REF!,#REF!,#REF!,#REF!,#REF!,#REF!</definedName>
    <definedName name="__APW_RESTORE_DATA35__" hidden="1">#REF!,#REF!,#REF!,#REF!,#REF!,#REF!,#REF!,#REF!,#REF!,#REF!,#REF!,#REF!,#REF!,#REF!,#REF!,#REF!</definedName>
    <definedName name="__APW_RESTORE_DATA36__" hidden="1">#REF!,#REF!,#REF!,#REF!,#REF!,#REF!</definedName>
    <definedName name="__APW_RESTORE_DATA37__" hidden="1">#REF!,#REF!,#REF!,#REF!,#REF!,#REF!,#REF!,#REF!,#REF!,#REF!,#REF!,#REF!,#REF!,#REF!,#REF!</definedName>
    <definedName name="__APW_RESTORE_DATA38__" hidden="1">#REF!,#REF!,#REF!,#REF!,#REF!,#REF!,#REF!,#REF!,#REF!,#REF!,#REF!,#REF!,#REF!,#REF!,#REF!</definedName>
    <definedName name="__APW_RESTORE_DATA39__" hidden="1">#REF!,#REF!,#REF!,#REF!,#REF!,#REF!,#REF!,#REF!,#REF!,#REF!,#REF!,#REF!,#REF!,#REF!,#REF!</definedName>
    <definedName name="__APW_RESTORE_DATA4__" hidden="1">#REF!,#REF!,#REF!,#REF!,#REF!,#REF!,#REF!,#REF!,#REF!,#REF!,#REF!,#REF!,#REF!,#REF!,#REF!,#REF!,#REF!</definedName>
    <definedName name="__APW_RESTORE_DATA40__" hidden="1">#REF!,#REF!,#REF!,#REF!,#REF!,#REF!,#REF!,#REF!,#REF!,#REF!,#REF!,#REF!,#REF!,#REF!,#REF!</definedName>
    <definedName name="__APW_RESTORE_DATA41__" hidden="1">#REF!,#REF!,#REF!,#REF!,#REF!,#REF!,#REF!,#REF!,#REF!,#REF!</definedName>
    <definedName name="__APW_RESTORE_DATA42__" hidden="1">#REF!,#REF!,#REF!,#REF!,#REF!,#REF!,#REF!,#REF!,#REF!,#REF!,#REF!,#REF!,#REF!,#REF!,#REF!</definedName>
    <definedName name="__APW_RESTORE_DATA43__" hidden="1">#REF!,#REF!,#REF!,#REF!,#REF!,#REF!,#REF!,#REF!,#REF!,#REF!,#REF!,#REF!,#REF!,#REF!,#REF!</definedName>
    <definedName name="__APW_RESTORE_DATA44__" hidden="1">#REF!,#REF!,#REF!,#REF!,#REF!,#REF!,#REF!,#REF!,#REF!,#REF!,#REF!,#REF!,#REF!,#REF!,#REF!</definedName>
    <definedName name="__APW_RESTORE_DATA45__" hidden="1">#REF!,#REF!,#REF!,#REF!,#REF!,#REF!,#REF!,#REF!,#REF!,#REF!,#REF!,#REF!,#REF!,#REF!,#REF!</definedName>
    <definedName name="__APW_RESTORE_DATA46__" hidden="1">#REF!,#REF!,#REF!,#REF!,#REF!,#REF!,#REF!,#REF!,#REF!,#REF!</definedName>
    <definedName name="__APW_RESTORE_DATA47__" hidden="1">#REF!,#REF!,#REF!,#REF!,#REF!,#REF!,#REF!,#REF!,#REF!,#REF!,#REF!,#REF!,#REF!,#REF!,#REF!</definedName>
    <definedName name="__APW_RESTORE_DATA48__" hidden="1">#REF!,#REF!,#REF!,#REF!,#REF!,#REF!,#REF!,#REF!,#REF!,#REF!,#REF!,#REF!,#REF!,#REF!,#REF!</definedName>
    <definedName name="__APW_RESTORE_DATA482__" hidden="1">#REF!,#REF!,#REF!,#REF!,#REF!,#REF!,#REF!,#REF!,#REF!,#REF!,#REF!,#REF!,#REF!,#REF!,#REF!,#REF!</definedName>
    <definedName name="__APW_RESTORE_DATA483__" hidden="1">#REF!,#REF!,#REF!,#REF!,#REF!,#REF!,#REF!,#REF!,#REF!,#REF!,#REF!,#REF!,#REF!,#REF!,#REF!,#REF!</definedName>
    <definedName name="__APW_RESTORE_DATA484__" hidden="1">#REF!,#REF!,#REF!,#REF!,#REF!,#REF!,#REF!</definedName>
    <definedName name="__APW_RESTORE_DATA487__" hidden="1">#REF!,#REF!,#REF!,#REF!,#REF!,#REF!,#REF!,#REF!,#REF!,#REF!,#REF!,#REF!,#REF!,#REF!,#REF!,#REF!</definedName>
    <definedName name="__APW_RESTORE_DATA488__" hidden="1">#REF!,#REF!,#REF!,#REF!,#REF!,#REF!,#REF!,#REF!,#REF!,#REF!,#REF!,#REF!,#REF!,#REF!,#REF!,#REF!</definedName>
    <definedName name="__APW_RESTORE_DATA489__" hidden="1">#REF!,#REF!,#REF!,#REF!,#REF!,#REF!</definedName>
    <definedName name="__APW_RESTORE_DATA49__" hidden="1">#REF!,#REF!,#REF!,#REF!,#REF!,#REF!,#REF!,#REF!,#REF!,#REF!,#REF!,#REF!,#REF!,#REF!,#REF!</definedName>
    <definedName name="__APW_RESTORE_DATA492__" hidden="1">#REF!,#REF!,#REF!,#REF!,#REF!,#REF!,#REF!,#REF!,#REF!,#REF!,#REF!,#REF!,#REF!,#REF!,#REF!,#REF!</definedName>
    <definedName name="__APW_RESTORE_DATA493__" hidden="1">#REF!,#REF!,#REF!,#REF!,#REF!,#REF!,#REF!,#REF!,#REF!,#REF!,#REF!,#REF!,#REF!,#REF!,#REF!,#REF!</definedName>
    <definedName name="__APW_RESTORE_DATA494__" hidden="1">#REF!,#REF!,#REF!,#REF!,#REF!,#REF!</definedName>
    <definedName name="__APW_RESTORE_DATA497__" hidden="1">#REF!,#REF!,#REF!,#REF!,#REF!,#REF!,#REF!,#REF!,#REF!,#REF!,#REF!,#REF!,#REF!,#REF!,#REF!,#REF!</definedName>
    <definedName name="__APW_RESTORE_DATA498__" hidden="1">#REF!,#REF!,#REF!,#REF!,#REF!,#REF!,#REF!,#REF!,#REF!,#REF!,#REF!,#REF!,#REF!,#REF!,#REF!,#REF!</definedName>
    <definedName name="__APW_RESTORE_DATA499__" hidden="1">#REF!,#REF!,#REF!,#REF!,#REF!,#REF!,#REF!</definedName>
    <definedName name="__APW_RESTORE_DATA5__" hidden="1">#REF!,#REF!,#REF!,#REF!,#REF!,#REF!,#REF!,#REF!,#REF!,#REF!,#REF!,#REF!,#REF!,#REF!,#REF!,#REF!,#REF!</definedName>
    <definedName name="__APW_RESTORE_DATA50__" hidden="1">#REF!,#REF!,#REF!,#REF!,#REF!,#REF!,#REF!,#REF!,#REF!,#REF!,#REF!,#REF!,#REF!,#REF!,#REF!</definedName>
    <definedName name="__APW_RESTORE_DATA502__" hidden="1">#REF!,#REF!,#REF!,#REF!,#REF!,#REF!,#REF!,#REF!,#REF!,#REF!,#REF!,#REF!,#REF!,#REF!,#REF!,#REF!</definedName>
    <definedName name="__APW_RESTORE_DATA503__" hidden="1">#REF!,#REF!,#REF!,#REF!,#REF!,#REF!,#REF!,#REF!,#REF!,#REF!,#REF!,#REF!,#REF!,#REF!,#REF!,#REF!</definedName>
    <definedName name="__APW_RESTORE_DATA504__" hidden="1">#REF!,#REF!,#REF!,#REF!,#REF!,#REF!,#REF!</definedName>
    <definedName name="__APW_RESTORE_DATA507__" hidden="1">#REF!,#REF!,#REF!,#REF!,#REF!,#REF!,#REF!,#REF!,#REF!,#REF!,#REF!,#REF!,#REF!,#REF!,#REF!,#REF!</definedName>
    <definedName name="__APW_RESTORE_DATA508__" hidden="1">#REF!,#REF!,#REF!,#REF!,#REF!,#REF!,#REF!,#REF!,#REF!,#REF!,#REF!,#REF!,#REF!,#REF!,#REF!,#REF!</definedName>
    <definedName name="__APW_RESTORE_DATA509__" hidden="1">#REF!,#REF!,#REF!,#REF!,#REF!,#REF!,#REF!</definedName>
    <definedName name="__APW_RESTORE_DATA51__" hidden="1">#REF!,#REF!,#REF!,#REF!,#REF!,#REF!,#REF!,#REF!,#REF!,#REF!</definedName>
    <definedName name="__APW_RESTORE_DATA512__" hidden="1">#REF!,#REF!,#REF!,#REF!,#REF!,#REF!,#REF!,#REF!,#REF!,#REF!,#REF!,#REF!,#REF!,#REF!,#REF!,#REF!</definedName>
    <definedName name="__APW_RESTORE_DATA513__" hidden="1">#REF!,#REF!,#REF!,#REF!,#REF!,#REF!,#REF!,#REF!,#REF!,#REF!,#REF!,#REF!,#REF!,#REF!,#REF!,#REF!</definedName>
    <definedName name="__APW_RESTORE_DATA514__" hidden="1">#REF!,#REF!,#REF!,#REF!,#REF!,#REF!,#REF!</definedName>
    <definedName name="__APW_RESTORE_DATA517__" hidden="1">#REF!,#REF!,#REF!,#REF!,#REF!,#REF!,#REF!,#REF!,#REF!,#REF!,#REF!,#REF!,#REF!,#REF!,#REF!,#REF!</definedName>
    <definedName name="__APW_RESTORE_DATA518__" hidden="1">#REF!,#REF!,#REF!,#REF!,#REF!,#REF!,#REF!,#REF!,#REF!,#REF!,#REF!,#REF!,#REF!,#REF!,#REF!,#REF!</definedName>
    <definedName name="__APW_RESTORE_DATA519__" hidden="1">#REF!,#REF!,#REF!,#REF!,#REF!,#REF!,#REF!</definedName>
    <definedName name="__APW_RESTORE_DATA522__" hidden="1">#REF!,#REF!,#REF!,#REF!,#REF!,#REF!,#REF!,#REF!,#REF!,#REF!,#REF!,#REF!,#REF!,#REF!,#REF!,#REF!</definedName>
    <definedName name="__APW_RESTORE_DATA523__" hidden="1">#REF!,#REF!,#REF!,#REF!,#REF!,#REF!,#REF!,#REF!,#REF!,#REF!,#REF!,#REF!,#REF!,#REF!,#REF!,#REF!</definedName>
    <definedName name="__APW_RESTORE_DATA524__" hidden="1">#REF!,#REF!,#REF!,#REF!,#REF!,#REF!,#REF!</definedName>
    <definedName name="__APW_RESTORE_DATA527__" hidden="1">#REF!,#REF!,#REF!,#REF!,#REF!,#REF!,#REF!,#REF!,#REF!,#REF!,#REF!,#REF!,#REF!,#REF!,#REF!,#REF!</definedName>
    <definedName name="__APW_RESTORE_DATA528__" hidden="1">#REF!,#REF!,#REF!,#REF!,#REF!,#REF!,#REF!,#REF!,#REF!,#REF!,#REF!,#REF!,#REF!,#REF!,#REF!,#REF!</definedName>
    <definedName name="__APW_RESTORE_DATA529__" hidden="1">#REF!,#REF!,#REF!,#REF!,#REF!,#REF!,#REF!</definedName>
    <definedName name="__APW_RESTORE_DATA532__" hidden="1">#REF!,#REF!,#REF!,#REF!,#REF!,#REF!,#REF!,#REF!,#REF!,#REF!,#REF!,#REF!,#REF!,#REF!,#REF!,#REF!</definedName>
    <definedName name="__APW_RESTORE_DATA533__" hidden="1">#REF!,#REF!,#REF!,#REF!,#REF!,#REF!,#REF!,#REF!,#REF!,#REF!,#REF!,#REF!,#REF!,#REF!,#REF!,#REF!</definedName>
    <definedName name="__APW_RESTORE_DATA534__" hidden="1">#REF!,#REF!,#REF!,#REF!,#REF!,#REF!,#REF!</definedName>
    <definedName name="__APW_RESTORE_DATA57__" hidden="1">#REF!,#REF!,#REF!,#REF!,#REF!,#REF!,#REF!,#REF!,#REF!,#REF!,#REF!,#REF!,#REF!,#REF!,#REF!,#REF!</definedName>
    <definedName name="__APW_RESTORE_DATA58__" hidden="1">#REF!,#REF!,#REF!,#REF!,#REF!,#REF!,#REF!,#REF!,#REF!,#REF!,#REF!,#REF!,#REF!,#REF!,#REF!,#REF!</definedName>
    <definedName name="__APW_RESTORE_DATA59__" hidden="1">#REF!,#REF!,#REF!,#REF!,#REF!,#REF!,#REF!,#REF!,#REF!,#REF!,#REF!,#REF!,#REF!,#REF!,#REF!,#REF!</definedName>
    <definedName name="__APW_RESTORE_DATA6__" hidden="1">#REF!,#REF!</definedName>
    <definedName name="__APW_RESTORE_DATA60__" hidden="1">#REF!,#REF!,#REF!,#REF!,#REF!,#REF!,#REF!,#REF!,#REF!,#REF!,#REF!,#REF!,#REF!,#REF!,#REF!,#REF!</definedName>
    <definedName name="__APW_RESTORE_DATA61__" hidden="1">#REF!,#REF!,#REF!,#REF!,#REF!,#REF!</definedName>
    <definedName name="__FDS_HYPERLINK_TOGGLE_STATE__" hidden="1">"ON"</definedName>
    <definedName name="__FDS_UNIQUE_RANGE_ID_GENERATOR_COUNTER" hidden="1">1</definedName>
    <definedName name="__FDS_USED_FOR_REUSING_RANGE_IDS_RECYCLE" hidden="1">{573,574,575,576,577}</definedName>
    <definedName name="_1__123Graph_ACHART_1" hidden="1">'[1]Long Term Prices'!$DI$827:$DI$855</definedName>
    <definedName name="_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__123Graph_CCHART_1" hidden="1">[2]AnnualData!#REF!</definedName>
    <definedName name="_1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01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definedName>
    <definedName name="_101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definedName>
    <definedName name="_101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definedName>
    <definedName name="_101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definedName>
    <definedName name="_101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definedName>
    <definedName name="_101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definedName>
    <definedName name="_101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definedName>
    <definedName name="_101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definedName>
    <definedName name="_101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definedName>
    <definedName name="_10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2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definedName>
    <definedName name="_102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definedName>
    <definedName name="_102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definedName>
    <definedName name="_102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definedName>
    <definedName name="_102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definedName>
    <definedName name="_102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0"}</definedName>
    <definedName name="_102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170"}</definedName>
    <definedName name="_102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169"}</definedName>
    <definedName name="_102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168"}</definedName>
    <definedName name="_102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167"}</definedName>
    <definedName name="_10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3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166"}</definedName>
    <definedName name="_103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165"}</definedName>
    <definedName name="_103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164"}</definedName>
    <definedName name="_103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163"}</definedName>
    <definedName name="_103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162"}</definedName>
    <definedName name="_103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161"}</definedName>
    <definedName name="_103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160"}</definedName>
    <definedName name="_103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159"}</definedName>
    <definedName name="_103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158"}</definedName>
    <definedName name="_103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157"}</definedName>
    <definedName name="_10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4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156"}</definedName>
    <definedName name="_104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155"}</definedName>
    <definedName name="_104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154"}</definedName>
    <definedName name="_104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153"}</definedName>
    <definedName name="_104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152"}</definedName>
    <definedName name="_104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151"}</definedName>
    <definedName name="_104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150"}</definedName>
    <definedName name="_104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149"}</definedName>
    <definedName name="_104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148"}</definedName>
    <definedName name="_104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147"}</definedName>
    <definedName name="_10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5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146"}</definedName>
    <definedName name="_105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145"}</definedName>
    <definedName name="_105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144"}</definedName>
    <definedName name="_105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143"}</definedName>
    <definedName name="_105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142"}</definedName>
    <definedName name="_105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141"}</definedName>
    <definedName name="_105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140"}</definedName>
    <definedName name="_105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139"}</definedName>
    <definedName name="_105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138"}</definedName>
    <definedName name="_105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137"}</definedName>
    <definedName name="_10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6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136"}</definedName>
    <definedName name="_106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135"}</definedName>
    <definedName name="_106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134"}</definedName>
    <definedName name="_106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133"}</definedName>
    <definedName name="_106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132"}</definedName>
    <definedName name="_106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131"}</definedName>
    <definedName name="_106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130"}</definedName>
    <definedName name="_106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129"}</definedName>
    <definedName name="_106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128"}</definedName>
    <definedName name="_106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127"}</definedName>
    <definedName name="_10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7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126"}</definedName>
    <definedName name="_107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125"}</definedName>
    <definedName name="_107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124"}</definedName>
    <definedName name="_107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123"}</definedName>
    <definedName name="_107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122"}</definedName>
    <definedName name="_107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121"}</definedName>
    <definedName name="_107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120"}</definedName>
    <definedName name="_107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119"}</definedName>
    <definedName name="_107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118"}</definedName>
    <definedName name="_107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117"}</definedName>
    <definedName name="_10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8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116"}</definedName>
    <definedName name="_108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115"}</definedName>
    <definedName name="_108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114"}</definedName>
    <definedName name="_108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113"}</definedName>
    <definedName name="_108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112"}</definedName>
    <definedName name="_108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111"}</definedName>
    <definedName name="_108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110"}</definedName>
    <definedName name="_108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109"}</definedName>
    <definedName name="_108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108"}</definedName>
    <definedName name="_108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107"}</definedName>
    <definedName name="_10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09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106"}</definedName>
    <definedName name="_109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105"}</definedName>
    <definedName name="_109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104"}</definedName>
    <definedName name="_109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103"}</definedName>
    <definedName name="_109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102"}</definedName>
    <definedName name="_109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101"}</definedName>
    <definedName name="_109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100"}</definedName>
    <definedName name="_109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99"}</definedName>
    <definedName name="_109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98"}</definedName>
    <definedName name="_109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97"}</definedName>
    <definedName name="_11__123Graph_DCHART_5" hidden="1">[2]AnnualData!#REF!</definedName>
    <definedName name="_1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0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96"}</definedName>
    <definedName name="_110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95"}</definedName>
    <definedName name="_110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94"}</definedName>
    <definedName name="_110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93"}</definedName>
    <definedName name="_110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92"}</definedName>
    <definedName name="_110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91"}</definedName>
    <definedName name="_110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90"}</definedName>
    <definedName name="_110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89"}</definedName>
    <definedName name="_110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88"}</definedName>
    <definedName name="_110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87"}</definedName>
    <definedName name="_11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1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86"}</definedName>
    <definedName name="_111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85"}</definedName>
    <definedName name="_111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84"}</definedName>
    <definedName name="_111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83"}</definedName>
    <definedName name="_111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82"}</definedName>
    <definedName name="_111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81"}</definedName>
    <definedName name="_111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80"}</definedName>
    <definedName name="_111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79"}</definedName>
    <definedName name="_111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78"}</definedName>
    <definedName name="_111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77"}</definedName>
    <definedName name="_11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2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76"}</definedName>
    <definedName name="_112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75"}</definedName>
    <definedName name="_112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74"}</definedName>
    <definedName name="_112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73"}</definedName>
    <definedName name="_112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72"}</definedName>
    <definedName name="_112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71"}</definedName>
    <definedName name="_112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70"}</definedName>
    <definedName name="_112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69"}</definedName>
    <definedName name="_112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68"}</definedName>
    <definedName name="_112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67"}</definedName>
    <definedName name="_11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3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66"}</definedName>
    <definedName name="_113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65"}</definedName>
    <definedName name="_113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64"}</definedName>
    <definedName name="_113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63"}</definedName>
    <definedName name="_113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62"}</definedName>
    <definedName name="_113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61"}</definedName>
    <definedName name="_113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60"}</definedName>
    <definedName name="_113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59"}</definedName>
    <definedName name="_113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58"}</definedName>
    <definedName name="_113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57"}</definedName>
    <definedName name="_11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4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56"}</definedName>
    <definedName name="_114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55"}</definedName>
    <definedName name="_114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54"}</definedName>
    <definedName name="_114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53"}</definedName>
    <definedName name="_114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52"}</definedName>
    <definedName name="_114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51"}</definedName>
    <definedName name="_114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50"}</definedName>
    <definedName name="_114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49"}</definedName>
    <definedName name="_114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48"}</definedName>
    <definedName name="_114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47"}</definedName>
    <definedName name="_11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5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46"}</definedName>
    <definedName name="_115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45"}</definedName>
    <definedName name="_115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44"}</definedName>
    <definedName name="_115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43"}</definedName>
    <definedName name="_115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42"}</definedName>
    <definedName name="_115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41"}</definedName>
    <definedName name="_115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40"}</definedName>
    <definedName name="_115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39"}</definedName>
    <definedName name="_115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38"}</definedName>
    <definedName name="_115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37"}</definedName>
    <definedName name="_11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6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36"}</definedName>
    <definedName name="_116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35"}</definedName>
    <definedName name="_116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34"}</definedName>
    <definedName name="_116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33"}</definedName>
    <definedName name="_116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32"}</definedName>
    <definedName name="_116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31"}</definedName>
    <definedName name="_116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30"}</definedName>
    <definedName name="_116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29"}</definedName>
    <definedName name="_116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28"}</definedName>
    <definedName name="_116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27"}</definedName>
    <definedName name="_11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7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26"}</definedName>
    <definedName name="_117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25"}</definedName>
    <definedName name="_117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24"}</definedName>
    <definedName name="_117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23"}</definedName>
    <definedName name="_117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22"}</definedName>
    <definedName name="_117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21"}</definedName>
    <definedName name="_117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20"}</definedName>
    <definedName name="_117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19"}</definedName>
    <definedName name="_117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18"}</definedName>
    <definedName name="_117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17"}</definedName>
    <definedName name="_11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8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definedName>
    <definedName name="_118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definedName>
    <definedName name="_118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definedName>
    <definedName name="_118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definedName>
    <definedName name="_118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definedName>
    <definedName name="_118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definedName>
    <definedName name="_118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definedName>
    <definedName name="_118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definedName>
    <definedName name="_118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definedName>
    <definedName name="_118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definedName>
    <definedName name="_11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19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definedName>
    <definedName name="_119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definedName>
    <definedName name="_119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definedName>
    <definedName name="_119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definedName>
    <definedName name="_119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definedName>
    <definedName name="_119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definedName>
    <definedName name="_119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0"}</definedName>
    <definedName name="_119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170"}</definedName>
    <definedName name="_119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169"}</definedName>
    <definedName name="_119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168"}</definedName>
    <definedName name="_12__123Graph_BCHART_21A" hidden="1">#REF!</definedName>
    <definedName name="_12__123Graph_BCHART_8A" hidden="1">[5]SHELL!#REF!</definedName>
    <definedName name="_12__123Graph_XCHART_1" hidden="1">'[1]Long Term Prices'!$A$827:$A$855</definedName>
    <definedName name="_1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0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167"}</definedName>
    <definedName name="_120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166"}</definedName>
    <definedName name="_120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165"}</definedName>
    <definedName name="_120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164"}</definedName>
    <definedName name="_120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163"}</definedName>
    <definedName name="_120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162"}</definedName>
    <definedName name="_120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161"}</definedName>
    <definedName name="_120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160"}</definedName>
    <definedName name="_120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159"}</definedName>
    <definedName name="_120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158"}</definedName>
    <definedName name="_12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1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157"}</definedName>
    <definedName name="_121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156"}</definedName>
    <definedName name="_121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155"}</definedName>
    <definedName name="_121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154"}</definedName>
    <definedName name="_121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153"}</definedName>
    <definedName name="_121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152"}</definedName>
    <definedName name="_121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151"}</definedName>
    <definedName name="_121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150"}</definedName>
    <definedName name="_121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149"}</definedName>
    <definedName name="_121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148"}</definedName>
    <definedName name="_12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2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147"}</definedName>
    <definedName name="_122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146"}</definedName>
    <definedName name="_122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145"}</definedName>
    <definedName name="_122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144"}</definedName>
    <definedName name="_122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143"}</definedName>
    <definedName name="_122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142"}</definedName>
    <definedName name="_122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141"}</definedName>
    <definedName name="_122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140"}</definedName>
    <definedName name="_122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139"}</definedName>
    <definedName name="_122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138"}</definedName>
    <definedName name="_12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3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137"}</definedName>
    <definedName name="_123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136"}</definedName>
    <definedName name="_123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135"}</definedName>
    <definedName name="_123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134"}</definedName>
    <definedName name="_123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133"}</definedName>
    <definedName name="_123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132"}</definedName>
    <definedName name="_123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131"}</definedName>
    <definedName name="_123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130"}</definedName>
    <definedName name="_123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129"}</definedName>
    <definedName name="_123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128"}</definedName>
    <definedName name="_12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24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127"}</definedName>
    <definedName name="_124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126"}</definedName>
    <definedName name="_124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125"}</definedName>
    <definedName name="_124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124"}</definedName>
    <definedName name="_124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123"}</definedName>
    <definedName name="_124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122"}</definedName>
    <definedName name="_124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121"}</definedName>
    <definedName name="_124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120"}</definedName>
    <definedName name="_124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119"}</definedName>
    <definedName name="_124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118"}</definedName>
    <definedName name="_1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25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117"}</definedName>
    <definedName name="_125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116"}</definedName>
    <definedName name="_125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115"}</definedName>
    <definedName name="_125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114"}</definedName>
    <definedName name="_125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113"}</definedName>
    <definedName name="_125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112"}</definedName>
    <definedName name="_125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111"}</definedName>
    <definedName name="_125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110"}</definedName>
    <definedName name="_125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109"}</definedName>
    <definedName name="_125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108"}</definedName>
    <definedName name="_1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26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107"}</definedName>
    <definedName name="_126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106"}</definedName>
    <definedName name="_126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105"}</definedName>
    <definedName name="_126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104"}</definedName>
    <definedName name="_126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103"}</definedName>
    <definedName name="_126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102"}</definedName>
    <definedName name="_126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101"}</definedName>
    <definedName name="_126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100"}</definedName>
    <definedName name="_126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99"}</definedName>
    <definedName name="_126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98"}</definedName>
    <definedName name="_1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27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97"}</definedName>
    <definedName name="_127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96"}</definedName>
    <definedName name="_127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95"}</definedName>
    <definedName name="_127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94"}</definedName>
    <definedName name="_127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93"}</definedName>
    <definedName name="_127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92"}</definedName>
    <definedName name="_127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91"}</definedName>
    <definedName name="_127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90"}</definedName>
    <definedName name="_127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89"}</definedName>
    <definedName name="_127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88"}</definedName>
    <definedName name="_1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28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87"}</definedName>
    <definedName name="_128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86"}</definedName>
    <definedName name="_128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85"}</definedName>
    <definedName name="_128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84"}</definedName>
    <definedName name="_128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83"}</definedName>
    <definedName name="_128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82"}</definedName>
    <definedName name="_128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81"}</definedName>
    <definedName name="_128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80"}</definedName>
    <definedName name="_128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79"}</definedName>
    <definedName name="_128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78"}</definedName>
    <definedName name="_1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29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77"}</definedName>
    <definedName name="_129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76"}</definedName>
    <definedName name="_129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75"}</definedName>
    <definedName name="_129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74"}</definedName>
    <definedName name="_129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73"}</definedName>
    <definedName name="_129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72"}</definedName>
    <definedName name="_129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71"}</definedName>
    <definedName name="_129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70"}</definedName>
    <definedName name="_129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69"}</definedName>
    <definedName name="_129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68"}</definedName>
    <definedName name="_13__123Graph_XCHART_2" hidden="1">'[1]Long Term Prices'!#REF!</definedName>
    <definedName name="_1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0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67"}</definedName>
    <definedName name="_130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66"}</definedName>
    <definedName name="_130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65"}</definedName>
    <definedName name="_130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64"}</definedName>
    <definedName name="_130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63"}</definedName>
    <definedName name="_130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62"}</definedName>
    <definedName name="_130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61"}</definedName>
    <definedName name="_130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60"}</definedName>
    <definedName name="_130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59"}</definedName>
    <definedName name="_130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58"}</definedName>
    <definedName name="_1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1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57"}</definedName>
    <definedName name="_131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56"}</definedName>
    <definedName name="_131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55"}</definedName>
    <definedName name="_131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54"}</definedName>
    <definedName name="_131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53"}</definedName>
    <definedName name="_131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52"}</definedName>
    <definedName name="_131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51"}</definedName>
    <definedName name="_131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50"}</definedName>
    <definedName name="_131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49"}</definedName>
    <definedName name="_131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48"}</definedName>
    <definedName name="_1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2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47"}</definedName>
    <definedName name="_132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46"}</definedName>
    <definedName name="_132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45"}</definedName>
    <definedName name="_132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44"}</definedName>
    <definedName name="_132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43"}</definedName>
    <definedName name="_132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42"}</definedName>
    <definedName name="_132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41"}</definedName>
    <definedName name="_132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40"}</definedName>
    <definedName name="_132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39"}</definedName>
    <definedName name="_132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38"}</definedName>
    <definedName name="_1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3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37"}</definedName>
    <definedName name="_133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36"}</definedName>
    <definedName name="_133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35"}</definedName>
    <definedName name="_133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34"}</definedName>
    <definedName name="_133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33"}</definedName>
    <definedName name="_133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32"}</definedName>
    <definedName name="_133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31"}</definedName>
    <definedName name="_133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30"}</definedName>
    <definedName name="_133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29"}</definedName>
    <definedName name="_133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28"}</definedName>
    <definedName name="_1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4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27"}</definedName>
    <definedName name="_134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26"}</definedName>
    <definedName name="_134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25"}</definedName>
    <definedName name="_134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24"}</definedName>
    <definedName name="_134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23"}</definedName>
    <definedName name="_134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22"}</definedName>
    <definedName name="_134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21"}</definedName>
    <definedName name="_134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20"}</definedName>
    <definedName name="_134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19"}</definedName>
    <definedName name="_134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18"}</definedName>
    <definedName name="_1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5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17"}</definedName>
    <definedName name="_135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definedName>
    <definedName name="_135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definedName>
    <definedName name="_135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definedName>
    <definedName name="_135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definedName>
    <definedName name="_135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definedName>
    <definedName name="_135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definedName>
    <definedName name="_135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definedName>
    <definedName name="_135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definedName>
    <definedName name="_135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definedName>
    <definedName name="_1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6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definedName>
    <definedName name="_136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definedName>
    <definedName name="_136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definedName>
    <definedName name="_136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definedName>
    <definedName name="_136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definedName>
    <definedName name="_136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definedName>
    <definedName name="_136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definedName>
    <definedName name="_136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0"}</definedName>
    <definedName name="_136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170"}</definedName>
    <definedName name="_136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169"}</definedName>
    <definedName name="_1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7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168"}</definedName>
    <definedName name="_137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167"}</definedName>
    <definedName name="_137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166"}</definedName>
    <definedName name="_137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165"}</definedName>
    <definedName name="_137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164"}</definedName>
    <definedName name="_137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163"}</definedName>
    <definedName name="_137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162"}</definedName>
    <definedName name="_137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161"}</definedName>
    <definedName name="_137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160"}</definedName>
    <definedName name="_137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159"}</definedName>
    <definedName name="_1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8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158"}</definedName>
    <definedName name="_138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157"}</definedName>
    <definedName name="_138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156"}</definedName>
    <definedName name="_138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155"}</definedName>
    <definedName name="_138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154"}</definedName>
    <definedName name="_138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153"}</definedName>
    <definedName name="_138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152"}</definedName>
    <definedName name="_138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151"}</definedName>
    <definedName name="_138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150"}</definedName>
    <definedName name="_138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149"}</definedName>
    <definedName name="_1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39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148"}</definedName>
    <definedName name="_139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147"}</definedName>
    <definedName name="_139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146"}</definedName>
    <definedName name="_139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145"}</definedName>
    <definedName name="_139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144"}</definedName>
    <definedName name="_139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143"}</definedName>
    <definedName name="_139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142"}</definedName>
    <definedName name="_139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141"}</definedName>
    <definedName name="_139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140"}</definedName>
    <definedName name="_139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139"}</definedName>
    <definedName name="_14__123Graph_XCHART_3" hidden="1">[2]AnnualData!#REF!</definedName>
    <definedName name="_1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0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138"}</definedName>
    <definedName name="_140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137"}</definedName>
    <definedName name="_140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136"}</definedName>
    <definedName name="_140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135"}</definedName>
    <definedName name="_140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134"}</definedName>
    <definedName name="_140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133"}</definedName>
    <definedName name="_140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132"}</definedName>
    <definedName name="_140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131"}</definedName>
    <definedName name="_140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130"}</definedName>
    <definedName name="_140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129"}</definedName>
    <definedName name="_1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1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128"}</definedName>
    <definedName name="_141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127"}</definedName>
    <definedName name="_141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126"}</definedName>
    <definedName name="_141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125"}</definedName>
    <definedName name="_141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124"}</definedName>
    <definedName name="_141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123"}</definedName>
    <definedName name="_141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122"}</definedName>
    <definedName name="_141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121"}</definedName>
    <definedName name="_141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120"}</definedName>
    <definedName name="_141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119"}</definedName>
    <definedName name="_1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2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118"}</definedName>
    <definedName name="_142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117"}</definedName>
    <definedName name="_142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116"}</definedName>
    <definedName name="_142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115"}</definedName>
    <definedName name="_142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114"}</definedName>
    <definedName name="_142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113"}</definedName>
    <definedName name="_142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112"}</definedName>
    <definedName name="_142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111"}</definedName>
    <definedName name="_142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110"}</definedName>
    <definedName name="_142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109"}</definedName>
    <definedName name="_1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3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108"}</definedName>
    <definedName name="_143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107"}</definedName>
    <definedName name="_143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106"}</definedName>
    <definedName name="_143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105"}</definedName>
    <definedName name="_143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104"}</definedName>
    <definedName name="_143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103"}</definedName>
    <definedName name="_143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102"}</definedName>
    <definedName name="_143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101"}</definedName>
    <definedName name="_143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100"}</definedName>
    <definedName name="_143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99"}</definedName>
    <definedName name="_1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4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98"}</definedName>
    <definedName name="_144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97"}</definedName>
    <definedName name="_144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96"}</definedName>
    <definedName name="_144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95"}</definedName>
    <definedName name="_144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94"}</definedName>
    <definedName name="_144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93"}</definedName>
    <definedName name="_144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92"}</definedName>
    <definedName name="_144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91"}</definedName>
    <definedName name="_144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90"}</definedName>
    <definedName name="_144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89"}</definedName>
    <definedName name="_1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5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88"}</definedName>
    <definedName name="_145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87"}</definedName>
    <definedName name="_145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86"}</definedName>
    <definedName name="_145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85"}</definedName>
    <definedName name="_145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84"}</definedName>
    <definedName name="_145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83"}</definedName>
    <definedName name="_145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82"}</definedName>
    <definedName name="_145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81"}</definedName>
    <definedName name="_145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80"}</definedName>
    <definedName name="_145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79"}</definedName>
    <definedName name="_1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6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78"}</definedName>
    <definedName name="_146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77"}</definedName>
    <definedName name="_146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76"}</definedName>
    <definedName name="_146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75"}</definedName>
    <definedName name="_146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74"}</definedName>
    <definedName name="_146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73"}</definedName>
    <definedName name="_146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72"}</definedName>
    <definedName name="_146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71"}</definedName>
    <definedName name="_146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70"}</definedName>
    <definedName name="_146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69"}</definedName>
    <definedName name="_1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7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68"}</definedName>
    <definedName name="_147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67"}</definedName>
    <definedName name="_147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66"}</definedName>
    <definedName name="_147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65"}</definedName>
    <definedName name="_147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64"}</definedName>
    <definedName name="_147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63"}</definedName>
    <definedName name="_147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62"}</definedName>
    <definedName name="_147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61"}</definedName>
    <definedName name="_147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60"}</definedName>
    <definedName name="_147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59"}</definedName>
    <definedName name="_1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8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58"}</definedName>
    <definedName name="_148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57"}</definedName>
    <definedName name="_148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56"}</definedName>
    <definedName name="_148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55"}</definedName>
    <definedName name="_148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54"}</definedName>
    <definedName name="_148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53"}</definedName>
    <definedName name="_148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52"}</definedName>
    <definedName name="_148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51"}</definedName>
    <definedName name="_148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50"}</definedName>
    <definedName name="_148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49"}</definedName>
    <definedName name="_1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49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48"}</definedName>
    <definedName name="_149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47"}</definedName>
    <definedName name="_149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46"}</definedName>
    <definedName name="_149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45"}</definedName>
    <definedName name="_149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44"}</definedName>
    <definedName name="_149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43"}</definedName>
    <definedName name="_149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42"}</definedName>
    <definedName name="_149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41"}</definedName>
    <definedName name="_149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40"}</definedName>
    <definedName name="_149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39"}</definedName>
    <definedName name="_15__123Graph_BCHART_8A" hidden="1">#REF!</definedName>
    <definedName name="_15__123Graph_CCHART_21A" hidden="1">[5]SHELL!#REF!</definedName>
    <definedName name="_15__123Graph_XCHART_4" hidden="1">[2]AnnualData!#REF!</definedName>
    <definedName name="_1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0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38"}</definedName>
    <definedName name="_150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37"}</definedName>
    <definedName name="_150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36"}</definedName>
    <definedName name="_150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35"}</definedName>
    <definedName name="_150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34"}</definedName>
    <definedName name="_150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33"}</definedName>
    <definedName name="_150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32"}</definedName>
    <definedName name="_150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31"}</definedName>
    <definedName name="_150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30"}</definedName>
    <definedName name="_150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29"}</definedName>
    <definedName name="_1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1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28"}</definedName>
    <definedName name="_151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27"}</definedName>
    <definedName name="_151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26"}</definedName>
    <definedName name="_151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25"}</definedName>
    <definedName name="_151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24"}</definedName>
    <definedName name="_151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23"}</definedName>
    <definedName name="_151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22"}</definedName>
    <definedName name="_151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21"}</definedName>
    <definedName name="_151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20"}</definedName>
    <definedName name="_151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19"}</definedName>
    <definedName name="_1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2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18"}</definedName>
    <definedName name="_152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17"}</definedName>
    <definedName name="_152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definedName>
    <definedName name="_152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definedName>
    <definedName name="_152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definedName>
    <definedName name="_152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definedName>
    <definedName name="_152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definedName>
    <definedName name="_152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definedName>
    <definedName name="_152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definedName>
    <definedName name="_152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definedName>
    <definedName name="_1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3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definedName>
    <definedName name="_153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definedName>
    <definedName name="_153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definedName>
    <definedName name="_153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definedName>
    <definedName name="_153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definedName>
    <definedName name="_153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definedName>
    <definedName name="_153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definedName>
    <definedName name="_153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definedName>
    <definedName name="_153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0"}</definedName>
    <definedName name="_153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170"}</definedName>
    <definedName name="_1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4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169"}</definedName>
    <definedName name="_154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168"}</definedName>
    <definedName name="_154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167"}</definedName>
    <definedName name="_154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166"}</definedName>
    <definedName name="_154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165"}</definedName>
    <definedName name="_154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164"}</definedName>
    <definedName name="_154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163"}</definedName>
    <definedName name="_154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162"}</definedName>
    <definedName name="_154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161"}</definedName>
    <definedName name="_154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160"}</definedName>
    <definedName name="_1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5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159"}</definedName>
    <definedName name="_155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158"}</definedName>
    <definedName name="_155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157"}</definedName>
    <definedName name="_155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156"}</definedName>
    <definedName name="_155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155"}</definedName>
    <definedName name="_155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154"}</definedName>
    <definedName name="_155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153"}</definedName>
    <definedName name="_155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152"}</definedName>
    <definedName name="_155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151"}</definedName>
    <definedName name="_155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150"}</definedName>
    <definedName name="_1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6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149"}</definedName>
    <definedName name="_156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148"}</definedName>
    <definedName name="_156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147"}</definedName>
    <definedName name="_156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146"}</definedName>
    <definedName name="_156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145"}</definedName>
    <definedName name="_156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144"}</definedName>
    <definedName name="_156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143"}</definedName>
    <definedName name="_156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142"}</definedName>
    <definedName name="_156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141"}</definedName>
    <definedName name="_156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140"}</definedName>
    <definedName name="_1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7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139"}</definedName>
    <definedName name="_157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138"}</definedName>
    <definedName name="_157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137"}</definedName>
    <definedName name="_157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136"}</definedName>
    <definedName name="_157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135"}</definedName>
    <definedName name="_157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134"}</definedName>
    <definedName name="_157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133"}</definedName>
    <definedName name="_157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132"}</definedName>
    <definedName name="_157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131"}</definedName>
    <definedName name="_157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130"}</definedName>
    <definedName name="_1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8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129"}</definedName>
    <definedName name="_158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128"}</definedName>
    <definedName name="_158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127"}</definedName>
    <definedName name="_158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126"}</definedName>
    <definedName name="_158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125"}</definedName>
    <definedName name="_158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124"}</definedName>
    <definedName name="_158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123"}</definedName>
    <definedName name="_158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122"}</definedName>
    <definedName name="_158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121"}</definedName>
    <definedName name="_158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120"}</definedName>
    <definedName name="_1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59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119"}</definedName>
    <definedName name="_159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118"}</definedName>
    <definedName name="_159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117"}</definedName>
    <definedName name="_159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116"}</definedName>
    <definedName name="_159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115"}</definedName>
    <definedName name="_159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114"}</definedName>
    <definedName name="_159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113"}</definedName>
    <definedName name="_159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112"}</definedName>
    <definedName name="_159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111"}</definedName>
    <definedName name="_159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110"}</definedName>
    <definedName name="_16__123Graph_XCHART_5" hidden="1">[2]AnnualData!#REF!</definedName>
    <definedName name="_1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0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109"}</definedName>
    <definedName name="_160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108"}</definedName>
    <definedName name="_160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107"}</definedName>
    <definedName name="_160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106"}</definedName>
    <definedName name="_160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105"}</definedName>
    <definedName name="_160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104"}</definedName>
    <definedName name="_160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103"}</definedName>
    <definedName name="_160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102"}</definedName>
    <definedName name="_160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101"}</definedName>
    <definedName name="_160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100"}</definedName>
    <definedName name="_1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1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99"}</definedName>
    <definedName name="_161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98"}</definedName>
    <definedName name="_161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97"}</definedName>
    <definedName name="_161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96"}</definedName>
    <definedName name="_161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95"}</definedName>
    <definedName name="_161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94"}</definedName>
    <definedName name="_161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93"}</definedName>
    <definedName name="_161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92"}</definedName>
    <definedName name="_161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91"}</definedName>
    <definedName name="_161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90"}</definedName>
    <definedName name="_1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2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89"}</definedName>
    <definedName name="_162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88"}</definedName>
    <definedName name="_162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87"}</definedName>
    <definedName name="_162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86"}</definedName>
    <definedName name="_162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85"}</definedName>
    <definedName name="_162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84"}</definedName>
    <definedName name="_162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83"}</definedName>
    <definedName name="_162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82"}</definedName>
    <definedName name="_162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81"}</definedName>
    <definedName name="_162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80"}</definedName>
    <definedName name="_1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3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79"}</definedName>
    <definedName name="_163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78"}</definedName>
    <definedName name="_163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77"}</definedName>
    <definedName name="_163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76"}</definedName>
    <definedName name="_163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75"}</definedName>
    <definedName name="_163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74"}</definedName>
    <definedName name="_163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73"}</definedName>
    <definedName name="_163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72"}</definedName>
    <definedName name="_163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71"}</definedName>
    <definedName name="_163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70"}</definedName>
    <definedName name="_1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4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69"}</definedName>
    <definedName name="_164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68"}</definedName>
    <definedName name="_164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67"}</definedName>
    <definedName name="_164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66"}</definedName>
    <definedName name="_164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65"}</definedName>
    <definedName name="_164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64"}</definedName>
    <definedName name="_164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63"}</definedName>
    <definedName name="_164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62"}</definedName>
    <definedName name="_164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61"}</definedName>
    <definedName name="_164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60"}</definedName>
    <definedName name="_1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5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59"}</definedName>
    <definedName name="_165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58"}</definedName>
    <definedName name="_165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57"}</definedName>
    <definedName name="_165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56"}</definedName>
    <definedName name="_165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55"}</definedName>
    <definedName name="_165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54"}</definedName>
    <definedName name="_165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53"}</definedName>
    <definedName name="_165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52"}</definedName>
    <definedName name="_165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51"}</definedName>
    <definedName name="_165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50"}</definedName>
    <definedName name="_1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6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49"}</definedName>
    <definedName name="_166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48"}</definedName>
    <definedName name="_166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47"}</definedName>
    <definedName name="_166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46"}</definedName>
    <definedName name="_166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45"}</definedName>
    <definedName name="_166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44"}</definedName>
    <definedName name="_166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43"}</definedName>
    <definedName name="_166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42"}</definedName>
    <definedName name="_166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41"}</definedName>
    <definedName name="_166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40"}</definedName>
    <definedName name="_1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7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39"}</definedName>
    <definedName name="_167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38"}</definedName>
    <definedName name="_167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37"}</definedName>
    <definedName name="_167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36"}</definedName>
    <definedName name="_167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35"}</definedName>
    <definedName name="_167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34"}</definedName>
    <definedName name="_167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33"}</definedName>
    <definedName name="_167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32"}</definedName>
    <definedName name="_167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31"}</definedName>
    <definedName name="_167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30"}</definedName>
    <definedName name="_1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8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29"}</definedName>
    <definedName name="_168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28"}</definedName>
    <definedName name="_168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27"}</definedName>
    <definedName name="_168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26"}</definedName>
    <definedName name="_168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25"}</definedName>
    <definedName name="_168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24"}</definedName>
    <definedName name="_168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23"}</definedName>
    <definedName name="_168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22"}</definedName>
    <definedName name="_168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21"}</definedName>
    <definedName name="_168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20"}</definedName>
    <definedName name="_1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69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19"}</definedName>
    <definedName name="_169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18"}</definedName>
    <definedName name="_169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17"}</definedName>
    <definedName name="_169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16"}</definedName>
    <definedName name="_169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15"}</definedName>
    <definedName name="_169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14"}</definedName>
    <definedName name="_169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13"}</definedName>
    <definedName name="_169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12"}</definedName>
    <definedName name="_169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11"}</definedName>
    <definedName name="_1699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10"}</definedName>
    <definedName name="_1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00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9"}</definedName>
    <definedName name="_1701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8"}</definedName>
    <definedName name="_1702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7"}</definedName>
    <definedName name="_1703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6"}</definedName>
    <definedName name="_1704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5"}</definedName>
    <definedName name="_1705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4"}</definedName>
    <definedName name="_1706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3"}</definedName>
    <definedName name="_1707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2"}</definedName>
    <definedName name="_1708__FDSAUDITLINK__" hidden="1">{"fdsup://directions/FAT Viewer?action=UPDATE&amp;creator=factset&amp;DYN_ARGS=TRUE&amp;DOC_NAME=FAT:FQL_AUDITING_CLIENT_TEMPLATE.FAT&amp;display_string=Audit&amp;VAR:KEY=CJKLELIDMH&amp;VAR:QUERY=RkZfRU5UUlBSX1ZBTF9EQUlMWSgtMUNZLDAsLCwsJ0RJTCcp&amp;WINDOW=FIRST_POPUP&amp;HEIGHT=450&amp;WIDTH=","450&amp;START_MAXIMIZED=FALSE&amp;VAR:CALENDAR=US&amp;VAR:SYMBOL=34.11&amp;VAR:INDEX=1"}</definedName>
    <definedName name="_170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170"}</definedName>
    <definedName name="_1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1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169"}</definedName>
    <definedName name="_171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168"}</definedName>
    <definedName name="_171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167"}</definedName>
    <definedName name="_171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166"}</definedName>
    <definedName name="_171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165"}</definedName>
    <definedName name="_171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164"}</definedName>
    <definedName name="_171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163"}</definedName>
    <definedName name="_171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162"}</definedName>
    <definedName name="_171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161"}</definedName>
    <definedName name="_171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160"}</definedName>
    <definedName name="_1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2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159"}</definedName>
    <definedName name="_172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158"}</definedName>
    <definedName name="_172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157"}</definedName>
    <definedName name="_172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156"}</definedName>
    <definedName name="_172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155"}</definedName>
    <definedName name="_172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154"}</definedName>
    <definedName name="_172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153"}</definedName>
    <definedName name="_172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152"}</definedName>
    <definedName name="_172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151"}</definedName>
    <definedName name="_172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150"}</definedName>
    <definedName name="_1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3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149"}</definedName>
    <definedName name="_173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148"}</definedName>
    <definedName name="_173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147"}</definedName>
    <definedName name="_173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146"}</definedName>
    <definedName name="_173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145"}</definedName>
    <definedName name="_173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144"}</definedName>
    <definedName name="_173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143"}</definedName>
    <definedName name="_173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142"}</definedName>
    <definedName name="_173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141"}</definedName>
    <definedName name="_173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140"}</definedName>
    <definedName name="_1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4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139"}</definedName>
    <definedName name="_174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138"}</definedName>
    <definedName name="_174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137"}</definedName>
    <definedName name="_174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136"}</definedName>
    <definedName name="_174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135"}</definedName>
    <definedName name="_174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134"}</definedName>
    <definedName name="_174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133"}</definedName>
    <definedName name="_174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132"}</definedName>
    <definedName name="_174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131"}</definedName>
    <definedName name="_174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130"}</definedName>
    <definedName name="_1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5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129"}</definedName>
    <definedName name="_175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128"}</definedName>
    <definedName name="_175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127"}</definedName>
    <definedName name="_175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126"}</definedName>
    <definedName name="_175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125"}</definedName>
    <definedName name="_175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124"}</definedName>
    <definedName name="_175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123"}</definedName>
    <definedName name="_175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122"}</definedName>
    <definedName name="_175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121"}</definedName>
    <definedName name="_175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120"}</definedName>
    <definedName name="_1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6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119"}</definedName>
    <definedName name="_176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118"}</definedName>
    <definedName name="_176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117"}</definedName>
    <definedName name="_176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116"}</definedName>
    <definedName name="_176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115"}</definedName>
    <definedName name="_176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114"}</definedName>
    <definedName name="_176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113"}</definedName>
    <definedName name="_176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112"}</definedName>
    <definedName name="_176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111"}</definedName>
    <definedName name="_176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110"}</definedName>
    <definedName name="_1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7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109"}</definedName>
    <definedName name="_177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108"}</definedName>
    <definedName name="_177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107"}</definedName>
    <definedName name="_177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106"}</definedName>
    <definedName name="_177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105"}</definedName>
    <definedName name="_177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104"}</definedName>
    <definedName name="_177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103"}</definedName>
    <definedName name="_177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102"}</definedName>
    <definedName name="_177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101"}</definedName>
    <definedName name="_177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100"}</definedName>
    <definedName name="_1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8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99"}</definedName>
    <definedName name="_178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98"}</definedName>
    <definedName name="_178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97"}</definedName>
    <definedName name="_178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96"}</definedName>
    <definedName name="_178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95"}</definedName>
    <definedName name="_178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94"}</definedName>
    <definedName name="_178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93"}</definedName>
    <definedName name="_178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92"}</definedName>
    <definedName name="_178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91"}</definedName>
    <definedName name="_178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90"}</definedName>
    <definedName name="_1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79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89"}</definedName>
    <definedName name="_179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88"}</definedName>
    <definedName name="_179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87"}</definedName>
    <definedName name="_179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86"}</definedName>
    <definedName name="_179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85"}</definedName>
    <definedName name="_179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84"}</definedName>
    <definedName name="_179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83"}</definedName>
    <definedName name="_179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82"}</definedName>
    <definedName name="_179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81"}</definedName>
    <definedName name="_179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80"}</definedName>
    <definedName name="_18__123Graph_CCHART_21A" hidden="1">#REF!</definedName>
    <definedName name="_18__123Graph_CCHART_8A" hidden="1">[5]SHELL!#REF!</definedName>
    <definedName name="_1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0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79"}</definedName>
    <definedName name="_180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78"}</definedName>
    <definedName name="_180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77"}</definedName>
    <definedName name="_180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76"}</definedName>
    <definedName name="_180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75"}</definedName>
    <definedName name="_180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74"}</definedName>
    <definedName name="_180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73"}</definedName>
    <definedName name="_180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72"}</definedName>
    <definedName name="_180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71"}</definedName>
    <definedName name="_180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70"}</definedName>
    <definedName name="_1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1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69"}</definedName>
    <definedName name="_181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68"}</definedName>
    <definedName name="_181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67"}</definedName>
    <definedName name="_181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66"}</definedName>
    <definedName name="_181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65"}</definedName>
    <definedName name="_181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64"}</definedName>
    <definedName name="_181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63"}</definedName>
    <definedName name="_181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62"}</definedName>
    <definedName name="_181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61"}</definedName>
    <definedName name="_181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60"}</definedName>
    <definedName name="_1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2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59"}</definedName>
    <definedName name="_182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58"}</definedName>
    <definedName name="_182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57"}</definedName>
    <definedName name="_182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56"}</definedName>
    <definedName name="_182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55"}</definedName>
    <definedName name="_182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54"}</definedName>
    <definedName name="_182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53"}</definedName>
    <definedName name="_182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52"}</definedName>
    <definedName name="_182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51"}</definedName>
    <definedName name="_182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50"}</definedName>
    <definedName name="_1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3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49"}</definedName>
    <definedName name="_183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48"}</definedName>
    <definedName name="_183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47"}</definedName>
    <definedName name="_183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46"}</definedName>
    <definedName name="_183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45"}</definedName>
    <definedName name="_183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44"}</definedName>
    <definedName name="_183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43"}</definedName>
    <definedName name="_183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42"}</definedName>
    <definedName name="_183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41"}</definedName>
    <definedName name="_183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40"}</definedName>
    <definedName name="_1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4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39"}</definedName>
    <definedName name="_184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38"}</definedName>
    <definedName name="_184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37"}</definedName>
    <definedName name="_184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36"}</definedName>
    <definedName name="_184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35"}</definedName>
    <definedName name="_184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34"}</definedName>
    <definedName name="_184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33"}</definedName>
    <definedName name="_184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32"}</definedName>
    <definedName name="_184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31"}</definedName>
    <definedName name="_184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30"}</definedName>
    <definedName name="_1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5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29"}</definedName>
    <definedName name="_185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28"}</definedName>
    <definedName name="_185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27"}</definedName>
    <definedName name="_185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26"}</definedName>
    <definedName name="_185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25"}</definedName>
    <definedName name="_185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24"}</definedName>
    <definedName name="_185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23"}</definedName>
    <definedName name="_185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22"}</definedName>
    <definedName name="_185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21"}</definedName>
    <definedName name="_185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20"}</definedName>
    <definedName name="_1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6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19"}</definedName>
    <definedName name="_186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18"}</definedName>
    <definedName name="_186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17"}</definedName>
    <definedName name="_186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16"}</definedName>
    <definedName name="_186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15"}</definedName>
    <definedName name="_186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14"}</definedName>
    <definedName name="_186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13"}</definedName>
    <definedName name="_186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12"}</definedName>
    <definedName name="_186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11"}</definedName>
    <definedName name="_1869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10"}</definedName>
    <definedName name="_1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70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9"}</definedName>
    <definedName name="_1871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8"}</definedName>
    <definedName name="_1872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7"}</definedName>
    <definedName name="_1873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6"}</definedName>
    <definedName name="_1874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5"}</definedName>
    <definedName name="_1875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4"}</definedName>
    <definedName name="_1876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3"}</definedName>
    <definedName name="_1877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2"}</definedName>
    <definedName name="_1878__FDSAUDITLINK__" hidden="1">{"fdsup://directions/FAT Viewer?action=UPDATE&amp;creator=factset&amp;DYN_ARGS=TRUE&amp;DOC_NAME=FAT:FQL_AUDITING_CLIENT_TEMPLATE.FAT&amp;display_string=Audit&amp;VAR:KEY=SPYLYTGXYR&amp;VAR:QUERY=RkZfRU5UUlBSX1ZBTF9EQUlMWSgtMUNZLDAsLCwsJ0RJTCcp&amp;WINDOW=FIRST_POPUP&amp;HEIGHT=450&amp;WIDTH=","450&amp;START_MAXIMIZED=FALSE&amp;VAR:CALENDAR=US&amp;VAR:SYMBOL=10.61&amp;VAR:INDEX=1"}</definedName>
    <definedName name="_187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170"}</definedName>
    <definedName name="_1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8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169"}</definedName>
    <definedName name="_188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168"}</definedName>
    <definedName name="_188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167"}</definedName>
    <definedName name="_188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166"}</definedName>
    <definedName name="_188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165"}</definedName>
    <definedName name="_188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164"}</definedName>
    <definedName name="_188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163"}</definedName>
    <definedName name="_188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162"}</definedName>
    <definedName name="_188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161"}</definedName>
    <definedName name="_188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160"}</definedName>
    <definedName name="_1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89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159"}</definedName>
    <definedName name="_189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158"}</definedName>
    <definedName name="_189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157"}</definedName>
    <definedName name="_189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156"}</definedName>
    <definedName name="_189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155"}</definedName>
    <definedName name="_189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154"}</definedName>
    <definedName name="_189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153"}</definedName>
    <definedName name="_189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152"}</definedName>
    <definedName name="_189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151"}</definedName>
    <definedName name="_189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150"}</definedName>
    <definedName name="_1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1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0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149"}</definedName>
    <definedName name="_190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148"}</definedName>
    <definedName name="_190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147"}</definedName>
    <definedName name="_190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146"}</definedName>
    <definedName name="_190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145"}</definedName>
    <definedName name="_190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144"}</definedName>
    <definedName name="_190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143"}</definedName>
    <definedName name="_190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142"}</definedName>
    <definedName name="_190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141"}</definedName>
    <definedName name="_190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140"}</definedName>
    <definedName name="_1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1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139"}</definedName>
    <definedName name="_191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138"}</definedName>
    <definedName name="_191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137"}</definedName>
    <definedName name="_191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136"}</definedName>
    <definedName name="_191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135"}</definedName>
    <definedName name="_191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134"}</definedName>
    <definedName name="_191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133"}</definedName>
    <definedName name="_191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132"}</definedName>
    <definedName name="_191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131"}</definedName>
    <definedName name="_191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130"}</definedName>
    <definedName name="_1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2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129"}</definedName>
    <definedName name="_192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128"}</definedName>
    <definedName name="_192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127"}</definedName>
    <definedName name="_192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126"}</definedName>
    <definedName name="_192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125"}</definedName>
    <definedName name="_192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124"}</definedName>
    <definedName name="_192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123"}</definedName>
    <definedName name="_192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122"}</definedName>
    <definedName name="_192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121"}</definedName>
    <definedName name="_192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120"}</definedName>
    <definedName name="_1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3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119"}</definedName>
    <definedName name="_193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118"}</definedName>
    <definedName name="_193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117"}</definedName>
    <definedName name="_193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116"}</definedName>
    <definedName name="_193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115"}</definedName>
    <definedName name="_193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114"}</definedName>
    <definedName name="_193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113"}</definedName>
    <definedName name="_193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112"}</definedName>
    <definedName name="_193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111"}</definedName>
    <definedName name="_193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110"}</definedName>
    <definedName name="_1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4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109"}</definedName>
    <definedName name="_194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108"}</definedName>
    <definedName name="_194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107"}</definedName>
    <definedName name="_194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106"}</definedName>
    <definedName name="_194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105"}</definedName>
    <definedName name="_194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104"}</definedName>
    <definedName name="_194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103"}</definedName>
    <definedName name="_194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102"}</definedName>
    <definedName name="_194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101"}</definedName>
    <definedName name="_194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100"}</definedName>
    <definedName name="_1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5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99"}</definedName>
    <definedName name="_195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98"}</definedName>
    <definedName name="_195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97"}</definedName>
    <definedName name="_195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96"}</definedName>
    <definedName name="_195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95"}</definedName>
    <definedName name="_195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94"}</definedName>
    <definedName name="_195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93"}</definedName>
    <definedName name="_195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92"}</definedName>
    <definedName name="_195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91"}</definedName>
    <definedName name="_195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90"}</definedName>
    <definedName name="_1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6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89"}</definedName>
    <definedName name="_196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88"}</definedName>
    <definedName name="_196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87"}</definedName>
    <definedName name="_196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86"}</definedName>
    <definedName name="_196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85"}</definedName>
    <definedName name="_196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84"}</definedName>
    <definedName name="_196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83"}</definedName>
    <definedName name="_196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82"}</definedName>
    <definedName name="_196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81"}</definedName>
    <definedName name="_196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80"}</definedName>
    <definedName name="_1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7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79"}</definedName>
    <definedName name="_197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78"}</definedName>
    <definedName name="_197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77"}</definedName>
    <definedName name="_197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76"}</definedName>
    <definedName name="_197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75"}</definedName>
    <definedName name="_197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74"}</definedName>
    <definedName name="_197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73"}</definedName>
    <definedName name="_197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72"}</definedName>
    <definedName name="_197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71"}</definedName>
    <definedName name="_197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70"}</definedName>
    <definedName name="_1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8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69"}</definedName>
    <definedName name="_198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68"}</definedName>
    <definedName name="_198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67"}</definedName>
    <definedName name="_198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66"}</definedName>
    <definedName name="_198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65"}</definedName>
    <definedName name="_198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64"}</definedName>
    <definedName name="_198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63"}</definedName>
    <definedName name="_198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62"}</definedName>
    <definedName name="_198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61"}</definedName>
    <definedName name="_198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60"}</definedName>
    <definedName name="_1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199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59"}</definedName>
    <definedName name="_199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58"}</definedName>
    <definedName name="_199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57"}</definedName>
    <definedName name="_199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56"}</definedName>
    <definedName name="_199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55"}</definedName>
    <definedName name="_199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54"}</definedName>
    <definedName name="_199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53"}</definedName>
    <definedName name="_199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52"}</definedName>
    <definedName name="_199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51"}</definedName>
    <definedName name="_199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50"}</definedName>
    <definedName name="_2__123Graph_ACHART_2" hidden="1">'[1]Long Term Prices'!$BZ$486:$BZ$548</definedName>
    <definedName name="_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0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49"}</definedName>
    <definedName name="_200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48"}</definedName>
    <definedName name="_200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47"}</definedName>
    <definedName name="_200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46"}</definedName>
    <definedName name="_200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45"}</definedName>
    <definedName name="_200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44"}</definedName>
    <definedName name="_200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43"}</definedName>
    <definedName name="_200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42"}</definedName>
    <definedName name="_200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41"}</definedName>
    <definedName name="_200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40"}</definedName>
    <definedName name="_2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1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39"}</definedName>
    <definedName name="_201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38"}</definedName>
    <definedName name="_201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37"}</definedName>
    <definedName name="_201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36"}</definedName>
    <definedName name="_201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35"}</definedName>
    <definedName name="_201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34"}</definedName>
    <definedName name="_201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33"}</definedName>
    <definedName name="_201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32"}</definedName>
    <definedName name="_201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31"}</definedName>
    <definedName name="_201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30"}</definedName>
    <definedName name="_2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2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29"}</definedName>
    <definedName name="_202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28"}</definedName>
    <definedName name="_202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27"}</definedName>
    <definedName name="_202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26"}</definedName>
    <definedName name="_202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25"}</definedName>
    <definedName name="_202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24"}</definedName>
    <definedName name="_202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23"}</definedName>
    <definedName name="_202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22"}</definedName>
    <definedName name="_202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21"}</definedName>
    <definedName name="_202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20"}</definedName>
    <definedName name="_2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3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19"}</definedName>
    <definedName name="_203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18"}</definedName>
    <definedName name="_203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17"}</definedName>
    <definedName name="_203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16"}</definedName>
    <definedName name="_203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15"}</definedName>
    <definedName name="_203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14"}</definedName>
    <definedName name="_203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13"}</definedName>
    <definedName name="_203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12"}</definedName>
    <definedName name="_203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11"}</definedName>
    <definedName name="_2039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10"}</definedName>
    <definedName name="_2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40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9"}</definedName>
    <definedName name="_2041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8"}</definedName>
    <definedName name="_2042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7"}</definedName>
    <definedName name="_2043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6"}</definedName>
    <definedName name="_2044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5"}</definedName>
    <definedName name="_2045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4"}</definedName>
    <definedName name="_2046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3"}</definedName>
    <definedName name="_2047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2"}</definedName>
    <definedName name="_2048__FDSAUDITLINK__" hidden="1">{"fdsup://directions/FAT Viewer?action=UPDATE&amp;creator=factset&amp;DYN_ARGS=TRUE&amp;DOC_NAME=FAT:FQL_AUDITING_CLIENT_TEMPLATE.FAT&amp;display_string=Audit&amp;VAR:KEY=CJEXIBCZWV&amp;VAR:QUERY=RkZfRU5UUlBSX1ZBTF9EQUlMWSgtMUNZLDAsLCwsJ0RJTCcp&amp;WINDOW=FIRST_POPUP&amp;HEIGHT=450&amp;WIDTH=","450&amp;START_MAXIMIZED=FALSE&amp;VAR:CALENDAR=US&amp;VAR:SYMBOL=16.35&amp;VAR:INDEX=1"}</definedName>
    <definedName name="_204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170"}</definedName>
    <definedName name="_2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5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169"}</definedName>
    <definedName name="_205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168"}</definedName>
    <definedName name="_205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167"}</definedName>
    <definedName name="_205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166"}</definedName>
    <definedName name="_205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165"}</definedName>
    <definedName name="_205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164"}</definedName>
    <definedName name="_205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163"}</definedName>
    <definedName name="_205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162"}</definedName>
    <definedName name="_205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161"}</definedName>
    <definedName name="_205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160"}</definedName>
    <definedName name="_2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6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159"}</definedName>
    <definedName name="_206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158"}</definedName>
    <definedName name="_206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157"}</definedName>
    <definedName name="_206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156"}</definedName>
    <definedName name="_206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155"}</definedName>
    <definedName name="_206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154"}</definedName>
    <definedName name="_206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153"}</definedName>
    <definedName name="_206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152"}</definedName>
    <definedName name="_206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151"}</definedName>
    <definedName name="_206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150"}</definedName>
    <definedName name="_2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7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149"}</definedName>
    <definedName name="_207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148"}</definedName>
    <definedName name="_207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147"}</definedName>
    <definedName name="_207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146"}</definedName>
    <definedName name="_207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145"}</definedName>
    <definedName name="_207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144"}</definedName>
    <definedName name="_207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143"}</definedName>
    <definedName name="_207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142"}</definedName>
    <definedName name="_207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141"}</definedName>
    <definedName name="_207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140"}</definedName>
    <definedName name="_2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8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139"}</definedName>
    <definedName name="_208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138"}</definedName>
    <definedName name="_208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137"}</definedName>
    <definedName name="_208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136"}</definedName>
    <definedName name="_208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135"}</definedName>
    <definedName name="_208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134"}</definedName>
    <definedName name="_208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133"}</definedName>
    <definedName name="_208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132"}</definedName>
    <definedName name="_208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131"}</definedName>
    <definedName name="_208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130"}</definedName>
    <definedName name="_2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09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129"}</definedName>
    <definedName name="_209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128"}</definedName>
    <definedName name="_209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127"}</definedName>
    <definedName name="_209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126"}</definedName>
    <definedName name="_209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125"}</definedName>
    <definedName name="_209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124"}</definedName>
    <definedName name="_209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123"}</definedName>
    <definedName name="_209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122"}</definedName>
    <definedName name="_209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121"}</definedName>
    <definedName name="_209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120"}</definedName>
    <definedName name="_21__123Graph_CCHART_8A" hidden="1">#REF!</definedName>
    <definedName name="_21__123Graph_DCHART_21A" hidden="1">[5]SHELL!#REF!</definedName>
    <definedName name="_2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0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119"}</definedName>
    <definedName name="_210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118"}</definedName>
    <definedName name="_210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117"}</definedName>
    <definedName name="_210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116"}</definedName>
    <definedName name="_210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115"}</definedName>
    <definedName name="_210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114"}</definedName>
    <definedName name="_210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113"}</definedName>
    <definedName name="_210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112"}</definedName>
    <definedName name="_210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111"}</definedName>
    <definedName name="_210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110"}</definedName>
    <definedName name="_2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1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109"}</definedName>
    <definedName name="_211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108"}</definedName>
    <definedName name="_211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107"}</definedName>
    <definedName name="_211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106"}</definedName>
    <definedName name="_211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105"}</definedName>
    <definedName name="_211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104"}</definedName>
    <definedName name="_211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103"}</definedName>
    <definedName name="_211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102"}</definedName>
    <definedName name="_211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101"}</definedName>
    <definedName name="_211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100"}</definedName>
    <definedName name="_2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2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99"}</definedName>
    <definedName name="_212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98"}</definedName>
    <definedName name="_212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97"}</definedName>
    <definedName name="_212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96"}</definedName>
    <definedName name="_212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95"}</definedName>
    <definedName name="_212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94"}</definedName>
    <definedName name="_212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93"}</definedName>
    <definedName name="_212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92"}</definedName>
    <definedName name="_212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91"}</definedName>
    <definedName name="_212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90"}</definedName>
    <definedName name="_2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3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89"}</definedName>
    <definedName name="_213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88"}</definedName>
    <definedName name="_213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87"}</definedName>
    <definedName name="_213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86"}</definedName>
    <definedName name="_213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85"}</definedName>
    <definedName name="_213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84"}</definedName>
    <definedName name="_213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83"}</definedName>
    <definedName name="_213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82"}</definedName>
    <definedName name="_213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81"}</definedName>
    <definedName name="_213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80"}</definedName>
    <definedName name="_2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4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79"}</definedName>
    <definedName name="_214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78"}</definedName>
    <definedName name="_214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77"}</definedName>
    <definedName name="_214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76"}</definedName>
    <definedName name="_214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75"}</definedName>
    <definedName name="_214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74"}</definedName>
    <definedName name="_214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73"}</definedName>
    <definedName name="_214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72"}</definedName>
    <definedName name="_214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71"}</definedName>
    <definedName name="_214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70"}</definedName>
    <definedName name="_2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5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69"}</definedName>
    <definedName name="_215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68"}</definedName>
    <definedName name="_215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67"}</definedName>
    <definedName name="_215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66"}</definedName>
    <definedName name="_215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65"}</definedName>
    <definedName name="_215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64"}</definedName>
    <definedName name="_215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63"}</definedName>
    <definedName name="_215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62"}</definedName>
    <definedName name="_215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61"}</definedName>
    <definedName name="_215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60"}</definedName>
    <definedName name="_2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6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59"}</definedName>
    <definedName name="_216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58"}</definedName>
    <definedName name="_216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57"}</definedName>
    <definedName name="_216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56"}</definedName>
    <definedName name="_216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55"}</definedName>
    <definedName name="_216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54"}</definedName>
    <definedName name="_216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53"}</definedName>
    <definedName name="_216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52"}</definedName>
    <definedName name="_216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51"}</definedName>
    <definedName name="_216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50"}</definedName>
    <definedName name="_2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7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49"}</definedName>
    <definedName name="_217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48"}</definedName>
    <definedName name="_217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47"}</definedName>
    <definedName name="_217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46"}</definedName>
    <definedName name="_217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45"}</definedName>
    <definedName name="_217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44"}</definedName>
    <definedName name="_217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43"}</definedName>
    <definedName name="_217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42"}</definedName>
    <definedName name="_217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41"}</definedName>
    <definedName name="_217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40"}</definedName>
    <definedName name="_2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8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39"}</definedName>
    <definedName name="_218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38"}</definedName>
    <definedName name="_218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37"}</definedName>
    <definedName name="_218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36"}</definedName>
    <definedName name="_218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35"}</definedName>
    <definedName name="_218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34"}</definedName>
    <definedName name="_218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33"}</definedName>
    <definedName name="_218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32"}</definedName>
    <definedName name="_218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31"}</definedName>
    <definedName name="_218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30"}</definedName>
    <definedName name="_2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19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29"}</definedName>
    <definedName name="_219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28"}</definedName>
    <definedName name="_219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27"}</definedName>
    <definedName name="_219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26"}</definedName>
    <definedName name="_219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25"}</definedName>
    <definedName name="_219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24"}</definedName>
    <definedName name="_219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23"}</definedName>
    <definedName name="_219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22"}</definedName>
    <definedName name="_219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21"}</definedName>
    <definedName name="_219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20"}</definedName>
    <definedName name="_2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0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19"}</definedName>
    <definedName name="_220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18"}</definedName>
    <definedName name="_220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17"}</definedName>
    <definedName name="_220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16"}</definedName>
    <definedName name="_220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15"}</definedName>
    <definedName name="_220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14"}</definedName>
    <definedName name="_220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13"}</definedName>
    <definedName name="_220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12"}</definedName>
    <definedName name="_220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11"}</definedName>
    <definedName name="_2209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10"}</definedName>
    <definedName name="_2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10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9"}</definedName>
    <definedName name="_2211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8"}</definedName>
    <definedName name="_2212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7"}</definedName>
    <definedName name="_2213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6"}</definedName>
    <definedName name="_2214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5"}</definedName>
    <definedName name="_2215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4"}</definedName>
    <definedName name="_2216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3"}</definedName>
    <definedName name="_2217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2"}</definedName>
    <definedName name="_2218__FDSAUDITLINK__" hidden="1">{"fdsup://directions/FAT Viewer?action=UPDATE&amp;creator=factset&amp;DYN_ARGS=TRUE&amp;DOC_NAME=FAT:FQL_AUDITING_CLIENT_TEMPLATE.FAT&amp;display_string=Audit&amp;VAR:KEY=MRSNCHSNOP&amp;VAR:QUERY=RkZfRU5UUlBSX1ZBTF9EQUlMWSgtMUNZLDAsLCwsJ0RJTCcp&amp;WINDOW=FIRST_POPUP&amp;HEIGHT=450&amp;WIDTH=","450&amp;START_MAXIMIZED=FALSE&amp;VAR:CALENDAR=US&amp;VAR:SYMBOL=9.89&amp;VAR:INDEX=1"}</definedName>
    <definedName name="_221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170"}</definedName>
    <definedName name="_2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2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169"}</definedName>
    <definedName name="_222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168"}</definedName>
    <definedName name="_222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167"}</definedName>
    <definedName name="_222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166"}</definedName>
    <definedName name="_222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165"}</definedName>
    <definedName name="_222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164"}</definedName>
    <definedName name="_222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163"}</definedName>
    <definedName name="_222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162"}</definedName>
    <definedName name="_222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161"}</definedName>
    <definedName name="_222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160"}</definedName>
    <definedName name="_2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3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159"}</definedName>
    <definedName name="_223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158"}</definedName>
    <definedName name="_223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157"}</definedName>
    <definedName name="_223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156"}</definedName>
    <definedName name="_223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155"}</definedName>
    <definedName name="_223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154"}</definedName>
    <definedName name="_223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153"}</definedName>
    <definedName name="_223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152"}</definedName>
    <definedName name="_223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151"}</definedName>
    <definedName name="_223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150"}</definedName>
    <definedName name="_2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4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149"}</definedName>
    <definedName name="_224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148"}</definedName>
    <definedName name="_224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147"}</definedName>
    <definedName name="_224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146"}</definedName>
    <definedName name="_224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145"}</definedName>
    <definedName name="_224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144"}</definedName>
    <definedName name="_224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143"}</definedName>
    <definedName name="_224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142"}</definedName>
    <definedName name="_224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141"}</definedName>
    <definedName name="_224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140"}</definedName>
    <definedName name="_2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5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139"}</definedName>
    <definedName name="_225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138"}</definedName>
    <definedName name="_225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137"}</definedName>
    <definedName name="_225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136"}</definedName>
    <definedName name="_225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135"}</definedName>
    <definedName name="_225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134"}</definedName>
    <definedName name="_225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133"}</definedName>
    <definedName name="_225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132"}</definedName>
    <definedName name="_225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131"}</definedName>
    <definedName name="_225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130"}</definedName>
    <definedName name="_2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6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129"}</definedName>
    <definedName name="_226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128"}</definedName>
    <definedName name="_226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127"}</definedName>
    <definedName name="_226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126"}</definedName>
    <definedName name="_226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125"}</definedName>
    <definedName name="_226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124"}</definedName>
    <definedName name="_226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123"}</definedName>
    <definedName name="_226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122"}</definedName>
    <definedName name="_226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121"}</definedName>
    <definedName name="_226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120"}</definedName>
    <definedName name="_2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7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119"}</definedName>
    <definedName name="_227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118"}</definedName>
    <definedName name="_227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117"}</definedName>
    <definedName name="_227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116"}</definedName>
    <definedName name="_227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115"}</definedName>
    <definedName name="_227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114"}</definedName>
    <definedName name="_227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113"}</definedName>
    <definedName name="_227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112"}</definedName>
    <definedName name="_227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111"}</definedName>
    <definedName name="_227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110"}</definedName>
    <definedName name="_2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8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109"}</definedName>
    <definedName name="_228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108"}</definedName>
    <definedName name="_228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107"}</definedName>
    <definedName name="_228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106"}</definedName>
    <definedName name="_228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105"}</definedName>
    <definedName name="_228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104"}</definedName>
    <definedName name="_228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103"}</definedName>
    <definedName name="_228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102"}</definedName>
    <definedName name="_228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101"}</definedName>
    <definedName name="_228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100"}</definedName>
    <definedName name="_2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29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99"}</definedName>
    <definedName name="_229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98"}</definedName>
    <definedName name="_229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97"}</definedName>
    <definedName name="_229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96"}</definedName>
    <definedName name="_229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95"}</definedName>
    <definedName name="_229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94"}</definedName>
    <definedName name="_229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93"}</definedName>
    <definedName name="_229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92"}</definedName>
    <definedName name="_229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91"}</definedName>
    <definedName name="_229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90"}</definedName>
    <definedName name="_2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0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89"}</definedName>
    <definedName name="_230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88"}</definedName>
    <definedName name="_230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87"}</definedName>
    <definedName name="_230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86"}</definedName>
    <definedName name="_230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85"}</definedName>
    <definedName name="_230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84"}</definedName>
    <definedName name="_230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83"}</definedName>
    <definedName name="_230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82"}</definedName>
    <definedName name="_230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81"}</definedName>
    <definedName name="_230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80"}</definedName>
    <definedName name="_2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1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79"}</definedName>
    <definedName name="_231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78"}</definedName>
    <definedName name="_231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77"}</definedName>
    <definedName name="_231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76"}</definedName>
    <definedName name="_231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75"}</definedName>
    <definedName name="_231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74"}</definedName>
    <definedName name="_231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73"}</definedName>
    <definedName name="_231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72"}</definedName>
    <definedName name="_231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71"}</definedName>
    <definedName name="_231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70"}</definedName>
    <definedName name="_2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2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69"}</definedName>
    <definedName name="_232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68"}</definedName>
    <definedName name="_232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67"}</definedName>
    <definedName name="_232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66"}</definedName>
    <definedName name="_232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65"}</definedName>
    <definedName name="_232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64"}</definedName>
    <definedName name="_232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63"}</definedName>
    <definedName name="_232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62"}</definedName>
    <definedName name="_232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61"}</definedName>
    <definedName name="_232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60"}</definedName>
    <definedName name="_2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3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59"}</definedName>
    <definedName name="_233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58"}</definedName>
    <definedName name="_233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57"}</definedName>
    <definedName name="_233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56"}</definedName>
    <definedName name="_233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55"}</definedName>
    <definedName name="_233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54"}</definedName>
    <definedName name="_233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53"}</definedName>
    <definedName name="_233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52"}</definedName>
    <definedName name="_233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51"}</definedName>
    <definedName name="_233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50"}</definedName>
    <definedName name="_2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4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49"}</definedName>
    <definedName name="_234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48"}</definedName>
    <definedName name="_234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47"}</definedName>
    <definedName name="_234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46"}</definedName>
    <definedName name="_234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45"}</definedName>
    <definedName name="_234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44"}</definedName>
    <definedName name="_234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43"}</definedName>
    <definedName name="_234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42"}</definedName>
    <definedName name="_234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41"}</definedName>
    <definedName name="_234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40"}</definedName>
    <definedName name="_2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5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39"}</definedName>
    <definedName name="_235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38"}</definedName>
    <definedName name="_235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37"}</definedName>
    <definedName name="_235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36"}</definedName>
    <definedName name="_235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35"}</definedName>
    <definedName name="_235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34"}</definedName>
    <definedName name="_235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33"}</definedName>
    <definedName name="_235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32"}</definedName>
    <definedName name="_235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31"}</definedName>
    <definedName name="_235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30"}</definedName>
    <definedName name="_2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6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29"}</definedName>
    <definedName name="_236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28"}</definedName>
    <definedName name="_236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27"}</definedName>
    <definedName name="_236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26"}</definedName>
    <definedName name="_236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25"}</definedName>
    <definedName name="_236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24"}</definedName>
    <definedName name="_236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23"}</definedName>
    <definedName name="_236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22"}</definedName>
    <definedName name="_236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21"}</definedName>
    <definedName name="_236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20"}</definedName>
    <definedName name="_2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7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19"}</definedName>
    <definedName name="_237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18"}</definedName>
    <definedName name="_237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17"}</definedName>
    <definedName name="_237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16"}</definedName>
    <definedName name="_237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15"}</definedName>
    <definedName name="_237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14"}</definedName>
    <definedName name="_237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13"}</definedName>
    <definedName name="_237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12"}</definedName>
    <definedName name="_237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11"}</definedName>
    <definedName name="_2379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10"}</definedName>
    <definedName name="_2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80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9"}</definedName>
    <definedName name="_2381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8"}</definedName>
    <definedName name="_2382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7"}</definedName>
    <definedName name="_2383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6"}</definedName>
    <definedName name="_2384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5"}</definedName>
    <definedName name="_2385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4"}</definedName>
    <definedName name="_2386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3"}</definedName>
    <definedName name="_2387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2"}</definedName>
    <definedName name="_2388__FDSAUDITLINK__" hidden="1">{"fdsup://directions/FAT Viewer?action=UPDATE&amp;creator=factset&amp;DYN_ARGS=TRUE&amp;DOC_NAME=FAT:FQL_AUDITING_CLIENT_TEMPLATE.FAT&amp;display_string=Audit&amp;VAR:KEY=IRIBCHMHSB&amp;VAR:QUERY=RkZfRU5UUlBSX1ZBTF9EQUlMWSgtMUNZLDAsLCwsJ0RJTCcp&amp;WINDOW=FIRST_POPUP&amp;HEIGHT=450&amp;WIDTH=","450&amp;START_MAXIMIZED=FALSE&amp;VAR:CALENDAR=US&amp;VAR:SYMBOL=13.92&amp;VAR:INDEX=1"}</definedName>
    <definedName name="_238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326"}</definedName>
    <definedName name="_2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39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325"}</definedName>
    <definedName name="_239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324"}</definedName>
    <definedName name="_239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323"}</definedName>
    <definedName name="_239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322"}</definedName>
    <definedName name="_239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321"}</definedName>
    <definedName name="_239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320"}</definedName>
    <definedName name="_239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319"}</definedName>
    <definedName name="_239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318"}</definedName>
    <definedName name="_239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317"}</definedName>
    <definedName name="_239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316"}</definedName>
    <definedName name="_24__123Graph_DCHART_21A" hidden="1">#REF!</definedName>
    <definedName name="_24__123Graph_DCHART_8A" hidden="1">[5]SHELL!#REF!</definedName>
    <definedName name="_2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0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315"}</definedName>
    <definedName name="_240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314"}</definedName>
    <definedName name="_240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313"}</definedName>
    <definedName name="_240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312"}</definedName>
    <definedName name="_240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311"}</definedName>
    <definedName name="_240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310"}</definedName>
    <definedName name="_240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309"}</definedName>
    <definedName name="_240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308"}</definedName>
    <definedName name="_240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307"}</definedName>
    <definedName name="_240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306"}</definedName>
    <definedName name="_2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1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305"}</definedName>
    <definedName name="_241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304"}</definedName>
    <definedName name="_241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303"}</definedName>
    <definedName name="_241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302"}</definedName>
    <definedName name="_241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301"}</definedName>
    <definedName name="_241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300"}</definedName>
    <definedName name="_241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299"}</definedName>
    <definedName name="_241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298"}</definedName>
    <definedName name="_241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297"}</definedName>
    <definedName name="_241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296"}</definedName>
    <definedName name="_2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2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295"}</definedName>
    <definedName name="_242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294"}</definedName>
    <definedName name="_242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293"}</definedName>
    <definedName name="_242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292"}</definedName>
    <definedName name="_242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291"}</definedName>
    <definedName name="_242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290"}</definedName>
    <definedName name="_242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289"}</definedName>
    <definedName name="_242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288"}</definedName>
    <definedName name="_242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287"}</definedName>
    <definedName name="_242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286"}</definedName>
    <definedName name="_2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3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285"}</definedName>
    <definedName name="_243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284"}</definedName>
    <definedName name="_243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283"}</definedName>
    <definedName name="_243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282"}</definedName>
    <definedName name="_243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281"}</definedName>
    <definedName name="_243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280"}</definedName>
    <definedName name="_243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279"}</definedName>
    <definedName name="_243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278"}</definedName>
    <definedName name="_243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277"}</definedName>
    <definedName name="_243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276"}</definedName>
    <definedName name="_2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4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275"}</definedName>
    <definedName name="_244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274"}</definedName>
    <definedName name="_244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273"}</definedName>
    <definedName name="_244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272"}</definedName>
    <definedName name="_244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271"}</definedName>
    <definedName name="_244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270"}</definedName>
    <definedName name="_244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269"}</definedName>
    <definedName name="_244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268"}</definedName>
    <definedName name="_244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267"}</definedName>
    <definedName name="_244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266"}</definedName>
    <definedName name="_2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5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265"}</definedName>
    <definedName name="_245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264"}</definedName>
    <definedName name="_245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263"}</definedName>
    <definedName name="_245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262"}</definedName>
    <definedName name="_245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261"}</definedName>
    <definedName name="_245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260"}</definedName>
    <definedName name="_245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259"}</definedName>
    <definedName name="_245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258"}</definedName>
    <definedName name="_245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257"}</definedName>
    <definedName name="_245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256"}</definedName>
    <definedName name="_2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6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255"}</definedName>
    <definedName name="_246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254"}</definedName>
    <definedName name="_246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253"}</definedName>
    <definedName name="_246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252"}</definedName>
    <definedName name="_246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251"}</definedName>
    <definedName name="_246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250"}</definedName>
    <definedName name="_246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249"}</definedName>
    <definedName name="_246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248"}</definedName>
    <definedName name="_246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247"}</definedName>
    <definedName name="_246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246"}</definedName>
    <definedName name="_2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7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245"}</definedName>
    <definedName name="_247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244"}</definedName>
    <definedName name="_247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243"}</definedName>
    <definedName name="_247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242"}</definedName>
    <definedName name="_247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241"}</definedName>
    <definedName name="_247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240"}</definedName>
    <definedName name="_247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239"}</definedName>
    <definedName name="_247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238"}</definedName>
    <definedName name="_247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237"}</definedName>
    <definedName name="_247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236"}</definedName>
    <definedName name="_2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8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235"}</definedName>
    <definedName name="_248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234"}</definedName>
    <definedName name="_248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233"}</definedName>
    <definedName name="_248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232"}</definedName>
    <definedName name="_248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231"}</definedName>
    <definedName name="_248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230"}</definedName>
    <definedName name="_248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229"}</definedName>
    <definedName name="_248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228"}</definedName>
    <definedName name="_248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227"}</definedName>
    <definedName name="_248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226"}</definedName>
    <definedName name="_2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49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225"}</definedName>
    <definedName name="_249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224"}</definedName>
    <definedName name="_249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223"}</definedName>
    <definedName name="_249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222"}</definedName>
    <definedName name="_249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221"}</definedName>
    <definedName name="_249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220"}</definedName>
    <definedName name="_249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219"}</definedName>
    <definedName name="_249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218"}</definedName>
    <definedName name="_249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217"}</definedName>
    <definedName name="_249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216"}</definedName>
    <definedName name="_2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0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215"}</definedName>
    <definedName name="_250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214"}</definedName>
    <definedName name="_250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213"}</definedName>
    <definedName name="_250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212"}</definedName>
    <definedName name="_250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211"}</definedName>
    <definedName name="_250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210"}</definedName>
    <definedName name="_250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209"}</definedName>
    <definedName name="_250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208"}</definedName>
    <definedName name="_250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207"}</definedName>
    <definedName name="_250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206"}</definedName>
    <definedName name="_2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1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205"}</definedName>
    <definedName name="_251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204"}</definedName>
    <definedName name="_251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203"}</definedName>
    <definedName name="_251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202"}</definedName>
    <definedName name="_251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201"}</definedName>
    <definedName name="_251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200"}</definedName>
    <definedName name="_251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199"}</definedName>
    <definedName name="_251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198"}</definedName>
    <definedName name="_251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197"}</definedName>
    <definedName name="_251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196"}</definedName>
    <definedName name="_2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2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195"}</definedName>
    <definedName name="_252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194"}</definedName>
    <definedName name="_252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193"}</definedName>
    <definedName name="_252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192"}</definedName>
    <definedName name="_252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191"}</definedName>
    <definedName name="_252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190"}</definedName>
    <definedName name="_252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189"}</definedName>
    <definedName name="_252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188"}</definedName>
    <definedName name="_252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187"}</definedName>
    <definedName name="_252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186"}</definedName>
    <definedName name="_2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3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185"}</definedName>
    <definedName name="_253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184"}</definedName>
    <definedName name="_253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183"}</definedName>
    <definedName name="_253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182"}</definedName>
    <definedName name="_253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181"}</definedName>
    <definedName name="_253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180"}</definedName>
    <definedName name="_253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179"}</definedName>
    <definedName name="_253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178"}</definedName>
    <definedName name="_253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177"}</definedName>
    <definedName name="_253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176"}</definedName>
    <definedName name="_2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4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175"}</definedName>
    <definedName name="_254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174"}</definedName>
    <definedName name="_254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173"}</definedName>
    <definedName name="_254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172"}</definedName>
    <definedName name="_254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171"}</definedName>
    <definedName name="_254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170"}</definedName>
    <definedName name="_254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169"}</definedName>
    <definedName name="_254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168"}</definedName>
    <definedName name="_254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167"}</definedName>
    <definedName name="_254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166"}</definedName>
    <definedName name="_2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5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165"}</definedName>
    <definedName name="_255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164"}</definedName>
    <definedName name="_255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163"}</definedName>
    <definedName name="_255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162"}</definedName>
    <definedName name="_255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161"}</definedName>
    <definedName name="_255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160"}</definedName>
    <definedName name="_255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159"}</definedName>
    <definedName name="_255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158"}</definedName>
    <definedName name="_255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157"}</definedName>
    <definedName name="_255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156"}</definedName>
    <definedName name="_2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6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155"}</definedName>
    <definedName name="_256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154"}</definedName>
    <definedName name="_256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153"}</definedName>
    <definedName name="_256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152"}</definedName>
    <definedName name="_256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151"}</definedName>
    <definedName name="_256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150"}</definedName>
    <definedName name="_256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149"}</definedName>
    <definedName name="_256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148"}</definedName>
    <definedName name="_256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147"}</definedName>
    <definedName name="_256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146"}</definedName>
    <definedName name="_2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7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145"}</definedName>
    <definedName name="_257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144"}</definedName>
    <definedName name="_257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143"}</definedName>
    <definedName name="_257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142"}</definedName>
    <definedName name="_257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141"}</definedName>
    <definedName name="_257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140"}</definedName>
    <definedName name="_257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139"}</definedName>
    <definedName name="_257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138"}</definedName>
    <definedName name="_257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137"}</definedName>
    <definedName name="_257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136"}</definedName>
    <definedName name="_2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8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135"}</definedName>
    <definedName name="_258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134"}</definedName>
    <definedName name="_258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133"}</definedName>
    <definedName name="_258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132"}</definedName>
    <definedName name="_258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131"}</definedName>
    <definedName name="_258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130"}</definedName>
    <definedName name="_258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129"}</definedName>
    <definedName name="_258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128"}</definedName>
    <definedName name="_258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127"}</definedName>
    <definedName name="_258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126"}</definedName>
    <definedName name="_2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59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125"}</definedName>
    <definedName name="_259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124"}</definedName>
    <definedName name="_259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123"}</definedName>
    <definedName name="_259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122"}</definedName>
    <definedName name="_259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121"}</definedName>
    <definedName name="_259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120"}</definedName>
    <definedName name="_259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119"}</definedName>
    <definedName name="_259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118"}</definedName>
    <definedName name="_259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117"}</definedName>
    <definedName name="_259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116"}</definedName>
    <definedName name="_2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0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115"}</definedName>
    <definedName name="_260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114"}</definedName>
    <definedName name="_260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113"}</definedName>
    <definedName name="_260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112"}</definedName>
    <definedName name="_260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111"}</definedName>
    <definedName name="_260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110"}</definedName>
    <definedName name="_260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109"}</definedName>
    <definedName name="_260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108"}</definedName>
    <definedName name="_260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107"}</definedName>
    <definedName name="_260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106"}</definedName>
    <definedName name="_2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1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105"}</definedName>
    <definedName name="_261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104"}</definedName>
    <definedName name="_261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103"}</definedName>
    <definedName name="_261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102"}</definedName>
    <definedName name="_261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101"}</definedName>
    <definedName name="_261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100"}</definedName>
    <definedName name="_261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99"}</definedName>
    <definedName name="_261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98"}</definedName>
    <definedName name="_261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97"}</definedName>
    <definedName name="_261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96"}</definedName>
    <definedName name="_2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2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95"}</definedName>
    <definedName name="_262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94"}</definedName>
    <definedName name="_262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93"}</definedName>
    <definedName name="_262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92"}</definedName>
    <definedName name="_262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91"}</definedName>
    <definedName name="_262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90"}</definedName>
    <definedName name="_262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89"}</definedName>
    <definedName name="_262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88"}</definedName>
    <definedName name="_262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87"}</definedName>
    <definedName name="_262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86"}</definedName>
    <definedName name="_2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3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85"}</definedName>
    <definedName name="_263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84"}</definedName>
    <definedName name="_263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83"}</definedName>
    <definedName name="_263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82"}</definedName>
    <definedName name="_263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81"}</definedName>
    <definedName name="_263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80"}</definedName>
    <definedName name="_263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79"}</definedName>
    <definedName name="_263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78"}</definedName>
    <definedName name="_263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77"}</definedName>
    <definedName name="_263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76"}</definedName>
    <definedName name="_2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4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75"}</definedName>
    <definedName name="_264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74"}</definedName>
    <definedName name="_264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73"}</definedName>
    <definedName name="_264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72"}</definedName>
    <definedName name="_264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71"}</definedName>
    <definedName name="_264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70"}</definedName>
    <definedName name="_264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69"}</definedName>
    <definedName name="_264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68"}</definedName>
    <definedName name="_264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67"}</definedName>
    <definedName name="_264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66"}</definedName>
    <definedName name="_2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5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65"}</definedName>
    <definedName name="_265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64"}</definedName>
    <definedName name="_265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63"}</definedName>
    <definedName name="_265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62"}</definedName>
    <definedName name="_265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61"}</definedName>
    <definedName name="_265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60"}</definedName>
    <definedName name="_265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59"}</definedName>
    <definedName name="_265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58"}</definedName>
    <definedName name="_265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57"}</definedName>
    <definedName name="_265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56"}</definedName>
    <definedName name="_2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6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55"}</definedName>
    <definedName name="_266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54"}</definedName>
    <definedName name="_266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53"}</definedName>
    <definedName name="_266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52"}</definedName>
    <definedName name="_266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51"}</definedName>
    <definedName name="_266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50"}</definedName>
    <definedName name="_266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49"}</definedName>
    <definedName name="_266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48"}</definedName>
    <definedName name="_266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47"}</definedName>
    <definedName name="_266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46"}</definedName>
    <definedName name="_2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7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45"}</definedName>
    <definedName name="_267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44"}</definedName>
    <definedName name="_267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43"}</definedName>
    <definedName name="_267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42"}</definedName>
    <definedName name="_267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41"}</definedName>
    <definedName name="_267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40"}</definedName>
    <definedName name="_267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39"}</definedName>
    <definedName name="_267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38"}</definedName>
    <definedName name="_267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37"}</definedName>
    <definedName name="_267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36"}</definedName>
    <definedName name="_2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8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35"}</definedName>
    <definedName name="_268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34"}</definedName>
    <definedName name="_268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33"}</definedName>
    <definedName name="_268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32"}</definedName>
    <definedName name="_268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31"}</definedName>
    <definedName name="_268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30"}</definedName>
    <definedName name="_268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29"}</definedName>
    <definedName name="_268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28"}</definedName>
    <definedName name="_268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27"}</definedName>
    <definedName name="_268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26"}</definedName>
    <definedName name="_2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69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25"}</definedName>
    <definedName name="_269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24"}</definedName>
    <definedName name="_269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23"}</definedName>
    <definedName name="_269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22"}</definedName>
    <definedName name="_269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21"}</definedName>
    <definedName name="_269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20"}</definedName>
    <definedName name="_269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19"}</definedName>
    <definedName name="_269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18"}</definedName>
    <definedName name="_269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17"}</definedName>
    <definedName name="_269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16"}</definedName>
    <definedName name="_27__123Graph_DCHART_8A" hidden="1">#REF!</definedName>
    <definedName name="_27__123Graph_ECHART_21A" hidden="1">[5]SHELL!#REF!</definedName>
    <definedName name="_2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0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15"}</definedName>
    <definedName name="_270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14"}</definedName>
    <definedName name="_270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13"}</definedName>
    <definedName name="_270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12"}</definedName>
    <definedName name="_270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11"}</definedName>
    <definedName name="_2705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10"}</definedName>
    <definedName name="_2706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9"}</definedName>
    <definedName name="_2707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8"}</definedName>
    <definedName name="_2708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7"}</definedName>
    <definedName name="_2709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6"}</definedName>
    <definedName name="_2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10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5"}</definedName>
    <definedName name="_2711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4"}</definedName>
    <definedName name="_2712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3"}</definedName>
    <definedName name="_2713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2"}</definedName>
    <definedName name="_2714__FDSAUDITLINK__" hidden="1">{"fdsup://directions/FAT Viewer?action=UPDATE&amp;creator=factset&amp;DYN_ARGS=TRUE&amp;DOC_NAME=FAT:FQL_AUDITING_CLIENT_TEMPLATE.FAT&amp;display_string=Audit&amp;VAR:KEY=KDQZEFSHMX&amp;VAR:QUERY=RkZfRU5UUlBSX1ZBTF9EQUlMWSgxMi8zMS8wOSwwLCwsLCdESUwnKQ==&amp;WINDOW=FIRST_POPUP&amp;HEIGHT=45","0&amp;WIDTH=450&amp;START_MAXIMIZED=FALSE&amp;VAR:CALENDAR=US&amp;VAR:SYMBOL=PENN&amp;VAR:INDEX=1"}</definedName>
    <definedName name="_271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326"}</definedName>
    <definedName name="_271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325"}</definedName>
    <definedName name="_271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324"}</definedName>
    <definedName name="_271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323"}</definedName>
    <definedName name="_271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322"}</definedName>
    <definedName name="_2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2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321"}</definedName>
    <definedName name="_272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320"}</definedName>
    <definedName name="_272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319"}</definedName>
    <definedName name="_272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318"}</definedName>
    <definedName name="_272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317"}</definedName>
    <definedName name="_272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316"}</definedName>
    <definedName name="_272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315"}</definedName>
    <definedName name="_272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314"}</definedName>
    <definedName name="_272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313"}</definedName>
    <definedName name="_272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312"}</definedName>
    <definedName name="_2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3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311"}</definedName>
    <definedName name="_273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310"}</definedName>
    <definedName name="_273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309"}</definedName>
    <definedName name="_273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308"}</definedName>
    <definedName name="_273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307"}</definedName>
    <definedName name="_273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306"}</definedName>
    <definedName name="_273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305"}</definedName>
    <definedName name="_273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304"}</definedName>
    <definedName name="_273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303"}</definedName>
    <definedName name="_273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302"}</definedName>
    <definedName name="_2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4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301"}</definedName>
    <definedName name="_274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300"}</definedName>
    <definedName name="_274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299"}</definedName>
    <definedName name="_274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298"}</definedName>
    <definedName name="_274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297"}</definedName>
    <definedName name="_274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296"}</definedName>
    <definedName name="_274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295"}</definedName>
    <definedName name="_274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294"}</definedName>
    <definedName name="_274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293"}</definedName>
    <definedName name="_274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292"}</definedName>
    <definedName name="_2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5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291"}</definedName>
    <definedName name="_275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290"}</definedName>
    <definedName name="_275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289"}</definedName>
    <definedName name="_275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288"}</definedName>
    <definedName name="_275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287"}</definedName>
    <definedName name="_275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286"}</definedName>
    <definedName name="_275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285"}</definedName>
    <definedName name="_275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284"}</definedName>
    <definedName name="_275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283"}</definedName>
    <definedName name="_275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282"}</definedName>
    <definedName name="_2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6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281"}</definedName>
    <definedName name="_276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280"}</definedName>
    <definedName name="_276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279"}</definedName>
    <definedName name="_276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278"}</definedName>
    <definedName name="_276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277"}</definedName>
    <definedName name="_276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276"}</definedName>
    <definedName name="_276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275"}</definedName>
    <definedName name="_276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274"}</definedName>
    <definedName name="_276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273"}</definedName>
    <definedName name="_276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272"}</definedName>
    <definedName name="_2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7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271"}</definedName>
    <definedName name="_277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270"}</definedName>
    <definedName name="_277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269"}</definedName>
    <definedName name="_277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268"}</definedName>
    <definedName name="_277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267"}</definedName>
    <definedName name="_277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266"}</definedName>
    <definedName name="_277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265"}</definedName>
    <definedName name="_277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264"}</definedName>
    <definedName name="_277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263"}</definedName>
    <definedName name="_277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262"}</definedName>
    <definedName name="_2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8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261"}</definedName>
    <definedName name="_278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260"}</definedName>
    <definedName name="_278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259"}</definedName>
    <definedName name="_278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258"}</definedName>
    <definedName name="_278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257"}</definedName>
    <definedName name="_278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256"}</definedName>
    <definedName name="_278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255"}</definedName>
    <definedName name="_278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254"}</definedName>
    <definedName name="_278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253"}</definedName>
    <definedName name="_278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252"}</definedName>
    <definedName name="_2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79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251"}</definedName>
    <definedName name="_279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250"}</definedName>
    <definedName name="_279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249"}</definedName>
    <definedName name="_279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248"}</definedName>
    <definedName name="_279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247"}</definedName>
    <definedName name="_279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246"}</definedName>
    <definedName name="_279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245"}</definedName>
    <definedName name="_279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244"}</definedName>
    <definedName name="_279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243"}</definedName>
    <definedName name="_279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242"}</definedName>
    <definedName name="_2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0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241"}</definedName>
    <definedName name="_280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240"}</definedName>
    <definedName name="_280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239"}</definedName>
    <definedName name="_280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238"}</definedName>
    <definedName name="_280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237"}</definedName>
    <definedName name="_280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236"}</definedName>
    <definedName name="_280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235"}</definedName>
    <definedName name="_280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234"}</definedName>
    <definedName name="_280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233"}</definedName>
    <definedName name="_280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232"}</definedName>
    <definedName name="_2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1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231"}</definedName>
    <definedName name="_281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230"}</definedName>
    <definedName name="_281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229"}</definedName>
    <definedName name="_281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228"}</definedName>
    <definedName name="_281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227"}</definedName>
    <definedName name="_281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226"}</definedName>
    <definedName name="_281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225"}</definedName>
    <definedName name="_281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224"}</definedName>
    <definedName name="_281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223"}</definedName>
    <definedName name="_281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222"}</definedName>
    <definedName name="_2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2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221"}</definedName>
    <definedName name="_282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220"}</definedName>
    <definedName name="_282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219"}</definedName>
    <definedName name="_282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218"}</definedName>
    <definedName name="_282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217"}</definedName>
    <definedName name="_282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216"}</definedName>
    <definedName name="_282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215"}</definedName>
    <definedName name="_282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214"}</definedName>
    <definedName name="_282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213"}</definedName>
    <definedName name="_282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212"}</definedName>
    <definedName name="_2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3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211"}</definedName>
    <definedName name="_283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210"}</definedName>
    <definedName name="_283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209"}</definedName>
    <definedName name="_283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208"}</definedName>
    <definedName name="_283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207"}</definedName>
    <definedName name="_283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206"}</definedName>
    <definedName name="_283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205"}</definedName>
    <definedName name="_283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204"}</definedName>
    <definedName name="_283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203"}</definedName>
    <definedName name="_283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202"}</definedName>
    <definedName name="_2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4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201"}</definedName>
    <definedName name="_284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200"}</definedName>
    <definedName name="_284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199"}</definedName>
    <definedName name="_284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198"}</definedName>
    <definedName name="_284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197"}</definedName>
    <definedName name="_284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196"}</definedName>
    <definedName name="_284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195"}</definedName>
    <definedName name="_284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194"}</definedName>
    <definedName name="_284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193"}</definedName>
    <definedName name="_284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192"}</definedName>
    <definedName name="_2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5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191"}</definedName>
    <definedName name="_285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190"}</definedName>
    <definedName name="_285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189"}</definedName>
    <definedName name="_285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188"}</definedName>
    <definedName name="_285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187"}</definedName>
    <definedName name="_285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186"}</definedName>
    <definedName name="_285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185"}</definedName>
    <definedName name="_285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184"}</definedName>
    <definedName name="_285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183"}</definedName>
    <definedName name="_285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182"}</definedName>
    <definedName name="_2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6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181"}</definedName>
    <definedName name="_286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180"}</definedName>
    <definedName name="_286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179"}</definedName>
    <definedName name="_286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178"}</definedName>
    <definedName name="_286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177"}</definedName>
    <definedName name="_286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176"}</definedName>
    <definedName name="_286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175"}</definedName>
    <definedName name="_286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174"}</definedName>
    <definedName name="_286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173"}</definedName>
    <definedName name="_286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172"}</definedName>
    <definedName name="_2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7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171"}</definedName>
    <definedName name="_287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170"}</definedName>
    <definedName name="_287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169"}</definedName>
    <definedName name="_287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168"}</definedName>
    <definedName name="_287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167"}</definedName>
    <definedName name="_287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166"}</definedName>
    <definedName name="_287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165"}</definedName>
    <definedName name="_287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164"}</definedName>
    <definedName name="_287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163"}</definedName>
    <definedName name="_287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162"}</definedName>
    <definedName name="_2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8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161"}</definedName>
    <definedName name="_288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160"}</definedName>
    <definedName name="_288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159"}</definedName>
    <definedName name="_288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158"}</definedName>
    <definedName name="_288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157"}</definedName>
    <definedName name="_288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156"}</definedName>
    <definedName name="_288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155"}</definedName>
    <definedName name="_288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154"}</definedName>
    <definedName name="_288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153"}</definedName>
    <definedName name="_288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152"}</definedName>
    <definedName name="_2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89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151"}</definedName>
    <definedName name="_289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150"}</definedName>
    <definedName name="_289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149"}</definedName>
    <definedName name="_289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148"}</definedName>
    <definedName name="_289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147"}</definedName>
    <definedName name="_289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146"}</definedName>
    <definedName name="_289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145"}</definedName>
    <definedName name="_289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144"}</definedName>
    <definedName name="_289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143"}</definedName>
    <definedName name="_289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142"}</definedName>
    <definedName name="_2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2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0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141"}</definedName>
    <definedName name="_290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140"}</definedName>
    <definedName name="_290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139"}</definedName>
    <definedName name="_290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138"}</definedName>
    <definedName name="_290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137"}</definedName>
    <definedName name="_290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136"}</definedName>
    <definedName name="_290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135"}</definedName>
    <definedName name="_290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134"}</definedName>
    <definedName name="_290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133"}</definedName>
    <definedName name="_290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132"}</definedName>
    <definedName name="_2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1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131"}</definedName>
    <definedName name="_291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130"}</definedName>
    <definedName name="_291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129"}</definedName>
    <definedName name="_291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128"}</definedName>
    <definedName name="_291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127"}</definedName>
    <definedName name="_291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126"}</definedName>
    <definedName name="_291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125"}</definedName>
    <definedName name="_291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124"}</definedName>
    <definedName name="_291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123"}</definedName>
    <definedName name="_291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122"}</definedName>
    <definedName name="_2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2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121"}</definedName>
    <definedName name="_292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120"}</definedName>
    <definedName name="_292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119"}</definedName>
    <definedName name="_292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118"}</definedName>
    <definedName name="_292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117"}</definedName>
    <definedName name="_292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116"}</definedName>
    <definedName name="_292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115"}</definedName>
    <definedName name="_292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114"}</definedName>
    <definedName name="_292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113"}</definedName>
    <definedName name="_292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112"}</definedName>
    <definedName name="_2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3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111"}</definedName>
    <definedName name="_293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110"}</definedName>
    <definedName name="_293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109"}</definedName>
    <definedName name="_293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108"}</definedName>
    <definedName name="_293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107"}</definedName>
    <definedName name="_293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106"}</definedName>
    <definedName name="_293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105"}</definedName>
    <definedName name="_293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104"}</definedName>
    <definedName name="_293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103"}</definedName>
    <definedName name="_293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102"}</definedName>
    <definedName name="_2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4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101"}</definedName>
    <definedName name="_294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100"}</definedName>
    <definedName name="_294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99"}</definedName>
    <definedName name="_294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98"}</definedName>
    <definedName name="_294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97"}</definedName>
    <definedName name="_294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96"}</definedName>
    <definedName name="_294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95"}</definedName>
    <definedName name="_294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94"}</definedName>
    <definedName name="_294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93"}</definedName>
    <definedName name="_294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92"}</definedName>
    <definedName name="_2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5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91"}</definedName>
    <definedName name="_295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90"}</definedName>
    <definedName name="_295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89"}</definedName>
    <definedName name="_295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88"}</definedName>
    <definedName name="_295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87"}</definedName>
    <definedName name="_295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86"}</definedName>
    <definedName name="_295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85"}</definedName>
    <definedName name="_295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84"}</definedName>
    <definedName name="_295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83"}</definedName>
    <definedName name="_295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82"}</definedName>
    <definedName name="_2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6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81"}</definedName>
    <definedName name="_296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80"}</definedName>
    <definedName name="_296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79"}</definedName>
    <definedName name="_296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78"}</definedName>
    <definedName name="_296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77"}</definedName>
    <definedName name="_296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76"}</definedName>
    <definedName name="_296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75"}</definedName>
    <definedName name="_296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74"}</definedName>
    <definedName name="_296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73"}</definedName>
    <definedName name="_296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72"}</definedName>
    <definedName name="_2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7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71"}</definedName>
    <definedName name="_297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70"}</definedName>
    <definedName name="_297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69"}</definedName>
    <definedName name="_297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68"}</definedName>
    <definedName name="_297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67"}</definedName>
    <definedName name="_297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66"}</definedName>
    <definedName name="_297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65"}</definedName>
    <definedName name="_297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64"}</definedName>
    <definedName name="_297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63"}</definedName>
    <definedName name="_297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62"}</definedName>
    <definedName name="_2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8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61"}</definedName>
    <definedName name="_298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60"}</definedName>
    <definedName name="_298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59"}</definedName>
    <definedName name="_298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58"}</definedName>
    <definedName name="_298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57"}</definedName>
    <definedName name="_298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56"}</definedName>
    <definedName name="_298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55"}</definedName>
    <definedName name="_298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54"}</definedName>
    <definedName name="_298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53"}</definedName>
    <definedName name="_298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52"}</definedName>
    <definedName name="_2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299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51"}</definedName>
    <definedName name="_299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50"}</definedName>
    <definedName name="_299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49"}</definedName>
    <definedName name="_299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48"}</definedName>
    <definedName name="_299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47"}</definedName>
    <definedName name="_299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46"}</definedName>
    <definedName name="_299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45"}</definedName>
    <definedName name="_299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44"}</definedName>
    <definedName name="_299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43"}</definedName>
    <definedName name="_299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42"}</definedName>
    <definedName name="_3__123Graph_ACHART_21A" hidden="1">[5]SHELL!#REF!</definedName>
    <definedName name="_3__123Graph_ACHART_3" hidden="1">[2]AnnualData!#REF!</definedName>
    <definedName name="_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0__123Graph_ECHART_21A" hidden="1">#REF!</definedName>
    <definedName name="_30__123Graph_ECHART_8A" hidden="1">[5]SHELL!#REF!</definedName>
    <definedName name="_3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0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41"}</definedName>
    <definedName name="_300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40"}</definedName>
    <definedName name="_300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39"}</definedName>
    <definedName name="_300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38"}</definedName>
    <definedName name="_300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37"}</definedName>
    <definedName name="_300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36"}</definedName>
    <definedName name="_300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35"}</definedName>
    <definedName name="_300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34"}</definedName>
    <definedName name="_300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33"}</definedName>
    <definedName name="_300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32"}</definedName>
    <definedName name="_3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1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31"}</definedName>
    <definedName name="_301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30"}</definedName>
    <definedName name="_301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29"}</definedName>
    <definedName name="_301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28"}</definedName>
    <definedName name="_301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27"}</definedName>
    <definedName name="_301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26"}</definedName>
    <definedName name="_301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25"}</definedName>
    <definedName name="_301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24"}</definedName>
    <definedName name="_301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23"}</definedName>
    <definedName name="_301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22"}</definedName>
    <definedName name="_3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2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21"}</definedName>
    <definedName name="_302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20"}</definedName>
    <definedName name="_302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19"}</definedName>
    <definedName name="_302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18"}</definedName>
    <definedName name="_302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17"}</definedName>
    <definedName name="_302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16"}</definedName>
    <definedName name="_302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15"}</definedName>
    <definedName name="_302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14"}</definedName>
    <definedName name="_302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13"}</definedName>
    <definedName name="_302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12"}</definedName>
    <definedName name="_3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3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11"}</definedName>
    <definedName name="_303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10"}</definedName>
    <definedName name="_3032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9"}</definedName>
    <definedName name="_3033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8"}</definedName>
    <definedName name="_3034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7"}</definedName>
    <definedName name="_3035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6"}</definedName>
    <definedName name="_3036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5"}</definedName>
    <definedName name="_3037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4"}</definedName>
    <definedName name="_3038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3"}</definedName>
    <definedName name="_3039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2"}</definedName>
    <definedName name="_3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40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1"}</definedName>
    <definedName name="_3041__FDSAUDITLINK__" hidden="1">{"fdsup://directions/FAT Viewer?action=UPDATE&amp;creator=factset&amp;DYN_ARGS=TRUE&amp;DOC_NAME=FAT:FQL_AUDITING_CLIENT_TEMPLATE.FAT&amp;display_string=Audit&amp;VAR:KEY=WREFKFCHIH&amp;VAR:QUERY=RkZfRU5UUlBSX1ZBTF9EQUlMWSgxMi8zMS8wOSwwLCwsLCdESUwnKQ==&amp;WINDOW=FIRST_POPUP&amp;HEIGHT=45","0&amp;WIDTH=450&amp;START_MAXIMIZED=FALSE&amp;VAR:CALENDAR=US&amp;VAR:SYMBOL=ISLE&amp;VAR:INDEX=0"}</definedName>
    <definedName name="_304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326"}</definedName>
    <definedName name="_304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325"}</definedName>
    <definedName name="_304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324"}</definedName>
    <definedName name="_304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323"}</definedName>
    <definedName name="_304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322"}</definedName>
    <definedName name="_304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321"}</definedName>
    <definedName name="_304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320"}</definedName>
    <definedName name="_304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319"}</definedName>
    <definedName name="_3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5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318"}</definedName>
    <definedName name="_305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317"}</definedName>
    <definedName name="_305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316"}</definedName>
    <definedName name="_305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315"}</definedName>
    <definedName name="_305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314"}</definedName>
    <definedName name="_305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313"}</definedName>
    <definedName name="_305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312"}</definedName>
    <definedName name="_305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311"}</definedName>
    <definedName name="_305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310"}</definedName>
    <definedName name="_305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309"}</definedName>
    <definedName name="_3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6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308"}</definedName>
    <definedName name="_306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307"}</definedName>
    <definedName name="_306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306"}</definedName>
    <definedName name="_306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305"}</definedName>
    <definedName name="_306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304"}</definedName>
    <definedName name="_306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303"}</definedName>
    <definedName name="_306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302"}</definedName>
    <definedName name="_306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301"}</definedName>
    <definedName name="_306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300"}</definedName>
    <definedName name="_306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299"}</definedName>
    <definedName name="_3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7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298"}</definedName>
    <definedName name="_307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297"}</definedName>
    <definedName name="_307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296"}</definedName>
    <definedName name="_307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295"}</definedName>
    <definedName name="_307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294"}</definedName>
    <definedName name="_307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293"}</definedName>
    <definedName name="_307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292"}</definedName>
    <definedName name="_307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291"}</definedName>
    <definedName name="_307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290"}</definedName>
    <definedName name="_307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289"}</definedName>
    <definedName name="_3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8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288"}</definedName>
    <definedName name="_308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287"}</definedName>
    <definedName name="_308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286"}</definedName>
    <definedName name="_308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285"}</definedName>
    <definedName name="_308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284"}</definedName>
    <definedName name="_308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283"}</definedName>
    <definedName name="_308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282"}</definedName>
    <definedName name="_308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281"}</definedName>
    <definedName name="_308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280"}</definedName>
    <definedName name="_308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279"}</definedName>
    <definedName name="_3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09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278"}</definedName>
    <definedName name="_309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277"}</definedName>
    <definedName name="_309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276"}</definedName>
    <definedName name="_309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275"}</definedName>
    <definedName name="_309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274"}</definedName>
    <definedName name="_309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273"}</definedName>
    <definedName name="_309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272"}</definedName>
    <definedName name="_309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271"}</definedName>
    <definedName name="_309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270"}</definedName>
    <definedName name="_309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269"}</definedName>
    <definedName name="_3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0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268"}</definedName>
    <definedName name="_310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267"}</definedName>
    <definedName name="_310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266"}</definedName>
    <definedName name="_310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265"}</definedName>
    <definedName name="_310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264"}</definedName>
    <definedName name="_310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263"}</definedName>
    <definedName name="_310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262"}</definedName>
    <definedName name="_310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261"}</definedName>
    <definedName name="_310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260"}</definedName>
    <definedName name="_310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259"}</definedName>
    <definedName name="_3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1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258"}</definedName>
    <definedName name="_311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257"}</definedName>
    <definedName name="_311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256"}</definedName>
    <definedName name="_311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255"}</definedName>
    <definedName name="_311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254"}</definedName>
    <definedName name="_311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253"}</definedName>
    <definedName name="_311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252"}</definedName>
    <definedName name="_311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251"}</definedName>
    <definedName name="_311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250"}</definedName>
    <definedName name="_311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249"}</definedName>
    <definedName name="_3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2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248"}</definedName>
    <definedName name="_312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247"}</definedName>
    <definedName name="_312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246"}</definedName>
    <definedName name="_312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245"}</definedName>
    <definedName name="_312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244"}</definedName>
    <definedName name="_312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243"}</definedName>
    <definedName name="_312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242"}</definedName>
    <definedName name="_312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241"}</definedName>
    <definedName name="_312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240"}</definedName>
    <definedName name="_312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239"}</definedName>
    <definedName name="_3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3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238"}</definedName>
    <definedName name="_313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237"}</definedName>
    <definedName name="_313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236"}</definedName>
    <definedName name="_313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235"}</definedName>
    <definedName name="_313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234"}</definedName>
    <definedName name="_313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233"}</definedName>
    <definedName name="_313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232"}</definedName>
    <definedName name="_313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231"}</definedName>
    <definedName name="_313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230"}</definedName>
    <definedName name="_313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229"}</definedName>
    <definedName name="_3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4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228"}</definedName>
    <definedName name="_314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227"}</definedName>
    <definedName name="_314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226"}</definedName>
    <definedName name="_314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225"}</definedName>
    <definedName name="_314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224"}</definedName>
    <definedName name="_314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223"}</definedName>
    <definedName name="_314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222"}</definedName>
    <definedName name="_314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221"}</definedName>
    <definedName name="_314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220"}</definedName>
    <definedName name="_314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219"}</definedName>
    <definedName name="_3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5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218"}</definedName>
    <definedName name="_315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217"}</definedName>
    <definedName name="_315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216"}</definedName>
    <definedName name="_315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215"}</definedName>
    <definedName name="_315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214"}</definedName>
    <definedName name="_315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213"}</definedName>
    <definedName name="_315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212"}</definedName>
    <definedName name="_315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211"}</definedName>
    <definedName name="_315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210"}</definedName>
    <definedName name="_315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209"}</definedName>
    <definedName name="_3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6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208"}</definedName>
    <definedName name="_316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207"}</definedName>
    <definedName name="_316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206"}</definedName>
    <definedName name="_316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205"}</definedName>
    <definedName name="_316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204"}</definedName>
    <definedName name="_316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203"}</definedName>
    <definedName name="_316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202"}</definedName>
    <definedName name="_316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201"}</definedName>
    <definedName name="_316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200"}</definedName>
    <definedName name="_316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199"}</definedName>
    <definedName name="_3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7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198"}</definedName>
    <definedName name="_317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197"}</definedName>
    <definedName name="_317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196"}</definedName>
    <definedName name="_317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195"}</definedName>
    <definedName name="_317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194"}</definedName>
    <definedName name="_317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193"}</definedName>
    <definedName name="_317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192"}</definedName>
    <definedName name="_317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191"}</definedName>
    <definedName name="_317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190"}</definedName>
    <definedName name="_317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189"}</definedName>
    <definedName name="_3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8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188"}</definedName>
    <definedName name="_318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187"}</definedName>
    <definedName name="_318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186"}</definedName>
    <definedName name="_318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185"}</definedName>
    <definedName name="_318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184"}</definedName>
    <definedName name="_318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183"}</definedName>
    <definedName name="_318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182"}</definedName>
    <definedName name="_318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181"}</definedName>
    <definedName name="_318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180"}</definedName>
    <definedName name="_318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179"}</definedName>
    <definedName name="_3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19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178"}</definedName>
    <definedName name="_319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177"}</definedName>
    <definedName name="_319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176"}</definedName>
    <definedName name="_319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175"}</definedName>
    <definedName name="_319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174"}</definedName>
    <definedName name="_319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173"}</definedName>
    <definedName name="_319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172"}</definedName>
    <definedName name="_319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171"}</definedName>
    <definedName name="_319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170"}</definedName>
    <definedName name="_319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169"}</definedName>
    <definedName name="_3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0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168"}</definedName>
    <definedName name="_320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167"}</definedName>
    <definedName name="_320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166"}</definedName>
    <definedName name="_320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165"}</definedName>
    <definedName name="_320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164"}</definedName>
    <definedName name="_320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163"}</definedName>
    <definedName name="_320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162"}</definedName>
    <definedName name="_320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161"}</definedName>
    <definedName name="_320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160"}</definedName>
    <definedName name="_320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159"}</definedName>
    <definedName name="_3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1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158"}</definedName>
    <definedName name="_321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157"}</definedName>
    <definedName name="_321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156"}</definedName>
    <definedName name="_321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155"}</definedName>
    <definedName name="_321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154"}</definedName>
    <definedName name="_321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153"}</definedName>
    <definedName name="_321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152"}</definedName>
    <definedName name="_321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151"}</definedName>
    <definedName name="_321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150"}</definedName>
    <definedName name="_321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149"}</definedName>
    <definedName name="_3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2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148"}</definedName>
    <definedName name="_322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147"}</definedName>
    <definedName name="_322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146"}</definedName>
    <definedName name="_322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145"}</definedName>
    <definedName name="_322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144"}</definedName>
    <definedName name="_322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143"}</definedName>
    <definedName name="_322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142"}</definedName>
    <definedName name="_322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141"}</definedName>
    <definedName name="_322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140"}</definedName>
    <definedName name="_322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139"}</definedName>
    <definedName name="_3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3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138"}</definedName>
    <definedName name="_323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137"}</definedName>
    <definedName name="_323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136"}</definedName>
    <definedName name="_323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135"}</definedName>
    <definedName name="_323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134"}</definedName>
    <definedName name="_323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133"}</definedName>
    <definedName name="_323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132"}</definedName>
    <definedName name="_323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131"}</definedName>
    <definedName name="_323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130"}</definedName>
    <definedName name="_323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129"}</definedName>
    <definedName name="_3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4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128"}</definedName>
    <definedName name="_324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127"}</definedName>
    <definedName name="_324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126"}</definedName>
    <definedName name="_324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125"}</definedName>
    <definedName name="_324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124"}</definedName>
    <definedName name="_324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123"}</definedName>
    <definedName name="_324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122"}</definedName>
    <definedName name="_324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121"}</definedName>
    <definedName name="_324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120"}</definedName>
    <definedName name="_324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119"}</definedName>
    <definedName name="_3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5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118"}</definedName>
    <definedName name="_325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117"}</definedName>
    <definedName name="_325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116"}</definedName>
    <definedName name="_325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115"}</definedName>
    <definedName name="_325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114"}</definedName>
    <definedName name="_325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113"}</definedName>
    <definedName name="_325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112"}</definedName>
    <definedName name="_325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111"}</definedName>
    <definedName name="_325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110"}</definedName>
    <definedName name="_325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109"}</definedName>
    <definedName name="_3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6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108"}</definedName>
    <definedName name="_326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107"}</definedName>
    <definedName name="_326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106"}</definedName>
    <definedName name="_326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105"}</definedName>
    <definedName name="_326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104"}</definedName>
    <definedName name="_326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103"}</definedName>
    <definedName name="_326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102"}</definedName>
    <definedName name="_326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101"}</definedName>
    <definedName name="_326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100"}</definedName>
    <definedName name="_326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99"}</definedName>
    <definedName name="_3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7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98"}</definedName>
    <definedName name="_327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97"}</definedName>
    <definedName name="_327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96"}</definedName>
    <definedName name="_327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95"}</definedName>
    <definedName name="_327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94"}</definedName>
    <definedName name="_327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93"}</definedName>
    <definedName name="_327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92"}</definedName>
    <definedName name="_327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91"}</definedName>
    <definedName name="_327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90"}</definedName>
    <definedName name="_327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89"}</definedName>
    <definedName name="_3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8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88"}</definedName>
    <definedName name="_328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87"}</definedName>
    <definedName name="_328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86"}</definedName>
    <definedName name="_328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85"}</definedName>
    <definedName name="_328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84"}</definedName>
    <definedName name="_328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83"}</definedName>
    <definedName name="_328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82"}</definedName>
    <definedName name="_328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81"}</definedName>
    <definedName name="_328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80"}</definedName>
    <definedName name="_328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79"}</definedName>
    <definedName name="_3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29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78"}</definedName>
    <definedName name="_329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77"}</definedName>
    <definedName name="_329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76"}</definedName>
    <definedName name="_329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75"}</definedName>
    <definedName name="_329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74"}</definedName>
    <definedName name="_329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73"}</definedName>
    <definedName name="_329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72"}</definedName>
    <definedName name="_329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71"}</definedName>
    <definedName name="_329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70"}</definedName>
    <definedName name="_329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69"}</definedName>
    <definedName name="_33__123Graph_ECHART_8A" hidden="1">#REF!</definedName>
    <definedName name="_33__123Graph_FCHART_21A" hidden="1">[5]SHELL!#REF!</definedName>
    <definedName name="_3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0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68"}</definedName>
    <definedName name="_330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67"}</definedName>
    <definedName name="_330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66"}</definedName>
    <definedName name="_330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65"}</definedName>
    <definedName name="_330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64"}</definedName>
    <definedName name="_330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63"}</definedName>
    <definedName name="_330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62"}</definedName>
    <definedName name="_330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61"}</definedName>
    <definedName name="_330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60"}</definedName>
    <definedName name="_330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59"}</definedName>
    <definedName name="_3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1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58"}</definedName>
    <definedName name="_331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57"}</definedName>
    <definedName name="_331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56"}</definedName>
    <definedName name="_331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55"}</definedName>
    <definedName name="_331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54"}</definedName>
    <definedName name="_331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53"}</definedName>
    <definedName name="_331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52"}</definedName>
    <definedName name="_331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51"}</definedName>
    <definedName name="_331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50"}</definedName>
    <definedName name="_331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49"}</definedName>
    <definedName name="_3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2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48"}</definedName>
    <definedName name="_332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47"}</definedName>
    <definedName name="_332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46"}</definedName>
    <definedName name="_332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45"}</definedName>
    <definedName name="_332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44"}</definedName>
    <definedName name="_332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43"}</definedName>
    <definedName name="_332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42"}</definedName>
    <definedName name="_332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41"}</definedName>
    <definedName name="_332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40"}</definedName>
    <definedName name="_332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39"}</definedName>
    <definedName name="_3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3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38"}</definedName>
    <definedName name="_333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37"}</definedName>
    <definedName name="_333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36"}</definedName>
    <definedName name="_333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35"}</definedName>
    <definedName name="_333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34"}</definedName>
    <definedName name="_333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33"}</definedName>
    <definedName name="_333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32"}</definedName>
    <definedName name="_333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31"}</definedName>
    <definedName name="_333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30"}</definedName>
    <definedName name="_333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29"}</definedName>
    <definedName name="_3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4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28"}</definedName>
    <definedName name="_334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27"}</definedName>
    <definedName name="_334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26"}</definedName>
    <definedName name="_334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25"}</definedName>
    <definedName name="_334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24"}</definedName>
    <definedName name="_334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23"}</definedName>
    <definedName name="_334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22"}</definedName>
    <definedName name="_334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21"}</definedName>
    <definedName name="_334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20"}</definedName>
    <definedName name="_334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19"}</definedName>
    <definedName name="_3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5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18"}</definedName>
    <definedName name="_335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17"}</definedName>
    <definedName name="_335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16"}</definedName>
    <definedName name="_335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15"}</definedName>
    <definedName name="_335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14"}</definedName>
    <definedName name="_335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13"}</definedName>
    <definedName name="_335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12"}</definedName>
    <definedName name="_335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11"}</definedName>
    <definedName name="_335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10"}</definedName>
    <definedName name="_3359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9"}</definedName>
    <definedName name="_3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60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8"}</definedName>
    <definedName name="_3361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7"}</definedName>
    <definedName name="_3362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6"}</definedName>
    <definedName name="_3363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5"}</definedName>
    <definedName name="_3364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4"}</definedName>
    <definedName name="_3365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3"}</definedName>
    <definedName name="_3366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2"}</definedName>
    <definedName name="_3367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1"}</definedName>
    <definedName name="_3368__FDSAUDITLINK__" hidden="1">{"fdsup://directions/FAT Viewer?action=UPDATE&amp;creator=factset&amp;DYN_ARGS=TRUE&amp;DOC_NAME=FAT:FQL_AUDITING_CLIENT_TEMPLATE.FAT&amp;display_string=Audit&amp;VAR:KEY=KTOTGDUFIX&amp;VAR:QUERY=RkZfRU5UUlBSX1ZBTF9EQUlMWSgxMi8zMS8wOSwwLCwsLCdESUwnKQ==&amp;WINDOW=FIRST_POPUP&amp;HEIGHT=45","0&amp;WIDTH=450&amp;START_MAXIMIZED=FALSE&amp;VAR:CALENDAR=US&amp;VAR:SYMBOL=ASCA&amp;VAR:INDEX=0"}</definedName>
    <definedName name="_336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326"}</definedName>
    <definedName name="_3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7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325"}</definedName>
    <definedName name="_337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324"}</definedName>
    <definedName name="_337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323"}</definedName>
    <definedName name="_337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322"}</definedName>
    <definedName name="_337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321"}</definedName>
    <definedName name="_337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320"}</definedName>
    <definedName name="_337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319"}</definedName>
    <definedName name="_337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318"}</definedName>
    <definedName name="_337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317"}</definedName>
    <definedName name="_337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316"}</definedName>
    <definedName name="_3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8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315"}</definedName>
    <definedName name="_338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314"}</definedName>
    <definedName name="_338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313"}</definedName>
    <definedName name="_338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312"}</definedName>
    <definedName name="_338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311"}</definedName>
    <definedName name="_338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310"}</definedName>
    <definedName name="_338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309"}</definedName>
    <definedName name="_338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308"}</definedName>
    <definedName name="_338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307"}</definedName>
    <definedName name="_338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306"}</definedName>
    <definedName name="_3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39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305"}</definedName>
    <definedName name="_339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304"}</definedName>
    <definedName name="_339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303"}</definedName>
    <definedName name="_339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302"}</definedName>
    <definedName name="_339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301"}</definedName>
    <definedName name="_339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300"}</definedName>
    <definedName name="_339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299"}</definedName>
    <definedName name="_339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298"}</definedName>
    <definedName name="_339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297"}</definedName>
    <definedName name="_339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296"}</definedName>
    <definedName name="_3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0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295"}</definedName>
    <definedName name="_340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294"}</definedName>
    <definedName name="_340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293"}</definedName>
    <definedName name="_340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292"}</definedName>
    <definedName name="_340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291"}</definedName>
    <definedName name="_340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290"}</definedName>
    <definedName name="_340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289"}</definedName>
    <definedName name="_340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288"}</definedName>
    <definedName name="_340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287"}</definedName>
    <definedName name="_340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286"}</definedName>
    <definedName name="_3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1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285"}</definedName>
    <definedName name="_341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284"}</definedName>
    <definedName name="_341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283"}</definedName>
    <definedName name="_341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282"}</definedName>
    <definedName name="_341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281"}</definedName>
    <definedName name="_341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280"}</definedName>
    <definedName name="_341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279"}</definedName>
    <definedName name="_341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278"}</definedName>
    <definedName name="_341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277"}</definedName>
    <definedName name="_341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276"}</definedName>
    <definedName name="_3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2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275"}</definedName>
    <definedName name="_342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274"}</definedName>
    <definedName name="_342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273"}</definedName>
    <definedName name="_342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272"}</definedName>
    <definedName name="_342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271"}</definedName>
    <definedName name="_342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270"}</definedName>
    <definedName name="_342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269"}</definedName>
    <definedName name="_342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268"}</definedName>
    <definedName name="_342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267"}</definedName>
    <definedName name="_342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266"}</definedName>
    <definedName name="_3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3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265"}</definedName>
    <definedName name="_343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264"}</definedName>
    <definedName name="_343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263"}</definedName>
    <definedName name="_343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262"}</definedName>
    <definedName name="_343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261"}</definedName>
    <definedName name="_343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260"}</definedName>
    <definedName name="_343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259"}</definedName>
    <definedName name="_343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258"}</definedName>
    <definedName name="_343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257"}</definedName>
    <definedName name="_343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256"}</definedName>
    <definedName name="_3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4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255"}</definedName>
    <definedName name="_344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254"}</definedName>
    <definedName name="_344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253"}</definedName>
    <definedName name="_344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252"}</definedName>
    <definedName name="_344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251"}</definedName>
    <definedName name="_344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250"}</definedName>
    <definedName name="_344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249"}</definedName>
    <definedName name="_344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248"}</definedName>
    <definedName name="_344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247"}</definedName>
    <definedName name="_344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246"}</definedName>
    <definedName name="_3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5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245"}</definedName>
    <definedName name="_345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244"}</definedName>
    <definedName name="_345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243"}</definedName>
    <definedName name="_345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242"}</definedName>
    <definedName name="_345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241"}</definedName>
    <definedName name="_345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240"}</definedName>
    <definedName name="_345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239"}</definedName>
    <definedName name="_345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238"}</definedName>
    <definedName name="_345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237"}</definedName>
    <definedName name="_345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236"}</definedName>
    <definedName name="_3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6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235"}</definedName>
    <definedName name="_346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234"}</definedName>
    <definedName name="_346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233"}</definedName>
    <definedName name="_346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232"}</definedName>
    <definedName name="_346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231"}</definedName>
    <definedName name="_346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230"}</definedName>
    <definedName name="_346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229"}</definedName>
    <definedName name="_346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228"}</definedName>
    <definedName name="_346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227"}</definedName>
    <definedName name="_346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226"}</definedName>
    <definedName name="_3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7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225"}</definedName>
    <definedName name="_347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224"}</definedName>
    <definedName name="_347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223"}</definedName>
    <definedName name="_347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222"}</definedName>
    <definedName name="_347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221"}</definedName>
    <definedName name="_347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220"}</definedName>
    <definedName name="_347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219"}</definedName>
    <definedName name="_347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218"}</definedName>
    <definedName name="_347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217"}</definedName>
    <definedName name="_347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216"}</definedName>
    <definedName name="_3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8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215"}</definedName>
    <definedName name="_348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214"}</definedName>
    <definedName name="_348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213"}</definedName>
    <definedName name="_348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212"}</definedName>
    <definedName name="_348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211"}</definedName>
    <definedName name="_348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210"}</definedName>
    <definedName name="_348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209"}</definedName>
    <definedName name="_348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208"}</definedName>
    <definedName name="_348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207"}</definedName>
    <definedName name="_348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206"}</definedName>
    <definedName name="_3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49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205"}</definedName>
    <definedName name="_349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204"}</definedName>
    <definedName name="_349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203"}</definedName>
    <definedName name="_349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202"}</definedName>
    <definedName name="_349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201"}</definedName>
    <definedName name="_349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200"}</definedName>
    <definedName name="_349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199"}</definedName>
    <definedName name="_349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198"}</definedName>
    <definedName name="_349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197"}</definedName>
    <definedName name="_349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196"}</definedName>
    <definedName name="_3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0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195"}</definedName>
    <definedName name="_350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194"}</definedName>
    <definedName name="_350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193"}</definedName>
    <definedName name="_350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192"}</definedName>
    <definedName name="_350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191"}</definedName>
    <definedName name="_350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190"}</definedName>
    <definedName name="_350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189"}</definedName>
    <definedName name="_350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188"}</definedName>
    <definedName name="_350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187"}</definedName>
    <definedName name="_350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186"}</definedName>
    <definedName name="_3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1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185"}</definedName>
    <definedName name="_351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184"}</definedName>
    <definedName name="_351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183"}</definedName>
    <definedName name="_351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182"}</definedName>
    <definedName name="_351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181"}</definedName>
    <definedName name="_351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180"}</definedName>
    <definedName name="_351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179"}</definedName>
    <definedName name="_351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178"}</definedName>
    <definedName name="_351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177"}</definedName>
    <definedName name="_351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176"}</definedName>
    <definedName name="_3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2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175"}</definedName>
    <definedName name="_352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174"}</definedName>
    <definedName name="_352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173"}</definedName>
    <definedName name="_352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172"}</definedName>
    <definedName name="_352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171"}</definedName>
    <definedName name="_352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170"}</definedName>
    <definedName name="_352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169"}</definedName>
    <definedName name="_352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168"}</definedName>
    <definedName name="_352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167"}</definedName>
    <definedName name="_352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166"}</definedName>
    <definedName name="_3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3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165"}</definedName>
    <definedName name="_353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164"}</definedName>
    <definedName name="_353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163"}</definedName>
    <definedName name="_353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162"}</definedName>
    <definedName name="_353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161"}</definedName>
    <definedName name="_353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160"}</definedName>
    <definedName name="_353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159"}</definedName>
    <definedName name="_353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158"}</definedName>
    <definedName name="_353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157"}</definedName>
    <definedName name="_353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156"}</definedName>
    <definedName name="_3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4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155"}</definedName>
    <definedName name="_354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154"}</definedName>
    <definedName name="_354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153"}</definedName>
    <definedName name="_354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152"}</definedName>
    <definedName name="_354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151"}</definedName>
    <definedName name="_354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150"}</definedName>
    <definedName name="_354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149"}</definedName>
    <definedName name="_354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148"}</definedName>
    <definedName name="_354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147"}</definedName>
    <definedName name="_354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146"}</definedName>
    <definedName name="_3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5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145"}</definedName>
    <definedName name="_355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144"}</definedName>
    <definedName name="_355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143"}</definedName>
    <definedName name="_355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142"}</definedName>
    <definedName name="_355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141"}</definedName>
    <definedName name="_355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140"}</definedName>
    <definedName name="_355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139"}</definedName>
    <definedName name="_355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138"}</definedName>
    <definedName name="_355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137"}</definedName>
    <definedName name="_355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136"}</definedName>
    <definedName name="_3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6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135"}</definedName>
    <definedName name="_356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134"}</definedName>
    <definedName name="_356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133"}</definedName>
    <definedName name="_356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132"}</definedName>
    <definedName name="_356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131"}</definedName>
    <definedName name="_356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130"}</definedName>
    <definedName name="_356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129"}</definedName>
    <definedName name="_356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128"}</definedName>
    <definedName name="_356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127"}</definedName>
    <definedName name="_356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126"}</definedName>
    <definedName name="_3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7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125"}</definedName>
    <definedName name="_357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124"}</definedName>
    <definedName name="_357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123"}</definedName>
    <definedName name="_357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122"}</definedName>
    <definedName name="_357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121"}</definedName>
    <definedName name="_357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120"}</definedName>
    <definedName name="_357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119"}</definedName>
    <definedName name="_357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118"}</definedName>
    <definedName name="_357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117"}</definedName>
    <definedName name="_357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116"}</definedName>
    <definedName name="_3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8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115"}</definedName>
    <definedName name="_358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114"}</definedName>
    <definedName name="_358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113"}</definedName>
    <definedName name="_358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112"}</definedName>
    <definedName name="_358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111"}</definedName>
    <definedName name="_358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110"}</definedName>
    <definedName name="_358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109"}</definedName>
    <definedName name="_358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108"}</definedName>
    <definedName name="_358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107"}</definedName>
    <definedName name="_358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106"}</definedName>
    <definedName name="_3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59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105"}</definedName>
    <definedName name="_359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104"}</definedName>
    <definedName name="_359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103"}</definedName>
    <definedName name="_359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102"}</definedName>
    <definedName name="_359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101"}</definedName>
    <definedName name="_359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100"}</definedName>
    <definedName name="_359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99"}</definedName>
    <definedName name="_359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98"}</definedName>
    <definedName name="_359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97"}</definedName>
    <definedName name="_359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96"}</definedName>
    <definedName name="_36__123Graph_FCHART_21A" hidden="1">#REF!</definedName>
    <definedName name="_36__123Graph_XCHART_21A" hidden="1">[5]SHELL!#REF!</definedName>
    <definedName name="_3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0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95"}</definedName>
    <definedName name="_360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94"}</definedName>
    <definedName name="_360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93"}</definedName>
    <definedName name="_360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92"}</definedName>
    <definedName name="_360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91"}</definedName>
    <definedName name="_360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90"}</definedName>
    <definedName name="_360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89"}</definedName>
    <definedName name="_360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88"}</definedName>
    <definedName name="_360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87"}</definedName>
    <definedName name="_360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86"}</definedName>
    <definedName name="_3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1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85"}</definedName>
    <definedName name="_361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84"}</definedName>
    <definedName name="_361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83"}</definedName>
    <definedName name="_361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82"}</definedName>
    <definedName name="_361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81"}</definedName>
    <definedName name="_361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80"}</definedName>
    <definedName name="_361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79"}</definedName>
    <definedName name="_361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78"}</definedName>
    <definedName name="_361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77"}</definedName>
    <definedName name="_361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76"}</definedName>
    <definedName name="_3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2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75"}</definedName>
    <definedName name="_362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74"}</definedName>
    <definedName name="_362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73"}</definedName>
    <definedName name="_362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72"}</definedName>
    <definedName name="_362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71"}</definedName>
    <definedName name="_362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70"}</definedName>
    <definedName name="_362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69"}</definedName>
    <definedName name="_362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68"}</definedName>
    <definedName name="_362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67"}</definedName>
    <definedName name="_362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66"}</definedName>
    <definedName name="_3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3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65"}</definedName>
    <definedName name="_363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64"}</definedName>
    <definedName name="_363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63"}</definedName>
    <definedName name="_363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62"}</definedName>
    <definedName name="_363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61"}</definedName>
    <definedName name="_363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60"}</definedName>
    <definedName name="_363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59"}</definedName>
    <definedName name="_363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58"}</definedName>
    <definedName name="_363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57"}</definedName>
    <definedName name="_363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56"}</definedName>
    <definedName name="_3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4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55"}</definedName>
    <definedName name="_364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54"}</definedName>
    <definedName name="_364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53"}</definedName>
    <definedName name="_364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52"}</definedName>
    <definedName name="_364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51"}</definedName>
    <definedName name="_364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50"}</definedName>
    <definedName name="_364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49"}</definedName>
    <definedName name="_364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48"}</definedName>
    <definedName name="_364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47"}</definedName>
    <definedName name="_364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46"}</definedName>
    <definedName name="_3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5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45"}</definedName>
    <definedName name="_365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44"}</definedName>
    <definedName name="_365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43"}</definedName>
    <definedName name="_365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42"}</definedName>
    <definedName name="_365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41"}</definedName>
    <definedName name="_365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40"}</definedName>
    <definedName name="_365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39"}</definedName>
    <definedName name="_365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38"}</definedName>
    <definedName name="_365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37"}</definedName>
    <definedName name="_365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36"}</definedName>
    <definedName name="_3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6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35"}</definedName>
    <definedName name="_366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34"}</definedName>
    <definedName name="_366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33"}</definedName>
    <definedName name="_366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32"}</definedName>
    <definedName name="_366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31"}</definedName>
    <definedName name="_366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30"}</definedName>
    <definedName name="_366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29"}</definedName>
    <definedName name="_366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28"}</definedName>
    <definedName name="_366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27"}</definedName>
    <definedName name="_366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26"}</definedName>
    <definedName name="_3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7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25"}</definedName>
    <definedName name="_367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24"}</definedName>
    <definedName name="_367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23"}</definedName>
    <definedName name="_367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22"}</definedName>
    <definedName name="_367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21"}</definedName>
    <definedName name="_367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20"}</definedName>
    <definedName name="_367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19"}</definedName>
    <definedName name="_367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18"}</definedName>
    <definedName name="_367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17"}</definedName>
    <definedName name="_367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16"}</definedName>
    <definedName name="_3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8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15"}</definedName>
    <definedName name="_368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14"}</definedName>
    <definedName name="_368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13"}</definedName>
    <definedName name="_368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12"}</definedName>
    <definedName name="_368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11"}</definedName>
    <definedName name="_368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10"}</definedName>
    <definedName name="_3686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9"}</definedName>
    <definedName name="_3687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8"}</definedName>
    <definedName name="_3688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7"}</definedName>
    <definedName name="_3689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6"}</definedName>
    <definedName name="_3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690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5"}</definedName>
    <definedName name="_3691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4"}</definedName>
    <definedName name="_3692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3"}</definedName>
    <definedName name="_3693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2"}</definedName>
    <definedName name="_3694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1"}</definedName>
    <definedName name="_3695__FDSAUDITLINK__" hidden="1">{"fdsup://directions/FAT Viewer?action=UPDATE&amp;creator=factset&amp;DYN_ARGS=TRUE&amp;DOC_NAME=FAT:FQL_AUDITING_CLIENT_TEMPLATE.FAT&amp;display_string=Audit&amp;VAR:KEY=ABGRSPUNGX&amp;VAR:QUERY=RkZfRU5UUlBSX1ZBTF9EQUlMWSgxMi8zMS8wOSwwLCwsLCdESUwnKQ==&amp;WINDOW=FIRST_POPUP&amp;HEIGHT=45","0&amp;WIDTH=450&amp;START_MAXIMIZED=FALSE&amp;VAR:CALENDAR=US&amp;VAR:SYMBOL=BYD&amp;VAR:INDEX=0"}</definedName>
    <definedName name="_369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326"}</definedName>
    <definedName name="_369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325"}</definedName>
    <definedName name="_369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324"}</definedName>
    <definedName name="_369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323"}</definedName>
    <definedName name="_3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0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322"}</definedName>
    <definedName name="_370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321"}</definedName>
    <definedName name="_370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320"}</definedName>
    <definedName name="_370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319"}</definedName>
    <definedName name="_370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318"}</definedName>
    <definedName name="_370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317"}</definedName>
    <definedName name="_370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316"}</definedName>
    <definedName name="_370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315"}</definedName>
    <definedName name="_370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314"}</definedName>
    <definedName name="_370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313"}</definedName>
    <definedName name="_3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1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312"}</definedName>
    <definedName name="_371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311"}</definedName>
    <definedName name="_371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310"}</definedName>
    <definedName name="_371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309"}</definedName>
    <definedName name="_371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308"}</definedName>
    <definedName name="_371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307"}</definedName>
    <definedName name="_371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306"}</definedName>
    <definedName name="_371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305"}</definedName>
    <definedName name="_371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304"}</definedName>
    <definedName name="_371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303"}</definedName>
    <definedName name="_3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2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302"}</definedName>
    <definedName name="_372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301"}</definedName>
    <definedName name="_372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300"}</definedName>
    <definedName name="_372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299"}</definedName>
    <definedName name="_372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298"}</definedName>
    <definedName name="_372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297"}</definedName>
    <definedName name="_372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296"}</definedName>
    <definedName name="_372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295"}</definedName>
    <definedName name="_372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294"}</definedName>
    <definedName name="_372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293"}</definedName>
    <definedName name="_3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3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292"}</definedName>
    <definedName name="_373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291"}</definedName>
    <definedName name="_373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290"}</definedName>
    <definedName name="_373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289"}</definedName>
    <definedName name="_373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288"}</definedName>
    <definedName name="_373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287"}</definedName>
    <definedName name="_373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286"}</definedName>
    <definedName name="_373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285"}</definedName>
    <definedName name="_373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284"}</definedName>
    <definedName name="_373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283"}</definedName>
    <definedName name="_3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4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282"}</definedName>
    <definedName name="_374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281"}</definedName>
    <definedName name="_374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280"}</definedName>
    <definedName name="_374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279"}</definedName>
    <definedName name="_374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278"}</definedName>
    <definedName name="_374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277"}</definedName>
    <definedName name="_374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276"}</definedName>
    <definedName name="_374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275"}</definedName>
    <definedName name="_374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274"}</definedName>
    <definedName name="_374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273"}</definedName>
    <definedName name="_3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5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272"}</definedName>
    <definedName name="_375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271"}</definedName>
    <definedName name="_375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270"}</definedName>
    <definedName name="_375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269"}</definedName>
    <definedName name="_375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268"}</definedName>
    <definedName name="_375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267"}</definedName>
    <definedName name="_375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266"}</definedName>
    <definedName name="_375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265"}</definedName>
    <definedName name="_375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264"}</definedName>
    <definedName name="_375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263"}</definedName>
    <definedName name="_3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6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262"}</definedName>
    <definedName name="_376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261"}</definedName>
    <definedName name="_376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260"}</definedName>
    <definedName name="_376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259"}</definedName>
    <definedName name="_376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258"}</definedName>
    <definedName name="_376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257"}</definedName>
    <definedName name="_376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256"}</definedName>
    <definedName name="_376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255"}</definedName>
    <definedName name="_376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254"}</definedName>
    <definedName name="_376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253"}</definedName>
    <definedName name="_3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7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252"}</definedName>
    <definedName name="_377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251"}</definedName>
    <definedName name="_377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250"}</definedName>
    <definedName name="_377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249"}</definedName>
    <definedName name="_377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248"}</definedName>
    <definedName name="_377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247"}</definedName>
    <definedName name="_377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246"}</definedName>
    <definedName name="_377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245"}</definedName>
    <definedName name="_377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244"}</definedName>
    <definedName name="_377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243"}</definedName>
    <definedName name="_3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8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242"}</definedName>
    <definedName name="_378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241"}</definedName>
    <definedName name="_378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240"}</definedName>
    <definedName name="_378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239"}</definedName>
    <definedName name="_378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238"}</definedName>
    <definedName name="_378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237"}</definedName>
    <definedName name="_378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236"}</definedName>
    <definedName name="_378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235"}</definedName>
    <definedName name="_378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234"}</definedName>
    <definedName name="_378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233"}</definedName>
    <definedName name="_3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79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232"}</definedName>
    <definedName name="_379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231"}</definedName>
    <definedName name="_379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230"}</definedName>
    <definedName name="_379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229"}</definedName>
    <definedName name="_379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228"}</definedName>
    <definedName name="_379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227"}</definedName>
    <definedName name="_379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226"}</definedName>
    <definedName name="_379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225"}</definedName>
    <definedName name="_379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224"}</definedName>
    <definedName name="_379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223"}</definedName>
    <definedName name="_3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0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222"}</definedName>
    <definedName name="_380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221"}</definedName>
    <definedName name="_380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220"}</definedName>
    <definedName name="_380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219"}</definedName>
    <definedName name="_380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218"}</definedName>
    <definedName name="_380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217"}</definedName>
    <definedName name="_380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216"}</definedName>
    <definedName name="_380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215"}</definedName>
    <definedName name="_380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214"}</definedName>
    <definedName name="_380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213"}</definedName>
    <definedName name="_3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1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212"}</definedName>
    <definedName name="_381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211"}</definedName>
    <definedName name="_381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210"}</definedName>
    <definedName name="_381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209"}</definedName>
    <definedName name="_381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208"}</definedName>
    <definedName name="_381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207"}</definedName>
    <definedName name="_381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206"}</definedName>
    <definedName name="_381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205"}</definedName>
    <definedName name="_381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204"}</definedName>
    <definedName name="_381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203"}</definedName>
    <definedName name="_3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2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202"}</definedName>
    <definedName name="_382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201"}</definedName>
    <definedName name="_382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200"}</definedName>
    <definedName name="_382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199"}</definedName>
    <definedName name="_382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198"}</definedName>
    <definedName name="_382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197"}</definedName>
    <definedName name="_382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196"}</definedName>
    <definedName name="_382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195"}</definedName>
    <definedName name="_382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194"}</definedName>
    <definedName name="_382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193"}</definedName>
    <definedName name="_3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3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192"}</definedName>
    <definedName name="_383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191"}</definedName>
    <definedName name="_383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190"}</definedName>
    <definedName name="_383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189"}</definedName>
    <definedName name="_383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188"}</definedName>
    <definedName name="_383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187"}</definedName>
    <definedName name="_383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186"}</definedName>
    <definedName name="_383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185"}</definedName>
    <definedName name="_383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184"}</definedName>
    <definedName name="_383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183"}</definedName>
    <definedName name="_3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4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182"}</definedName>
    <definedName name="_384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181"}</definedName>
    <definedName name="_384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180"}</definedName>
    <definedName name="_384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179"}</definedName>
    <definedName name="_384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178"}</definedName>
    <definedName name="_384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177"}</definedName>
    <definedName name="_384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176"}</definedName>
    <definedName name="_384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175"}</definedName>
    <definedName name="_384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174"}</definedName>
    <definedName name="_384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173"}</definedName>
    <definedName name="_3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5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172"}</definedName>
    <definedName name="_385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171"}</definedName>
    <definedName name="_385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170"}</definedName>
    <definedName name="_385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169"}</definedName>
    <definedName name="_385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168"}</definedName>
    <definedName name="_385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167"}</definedName>
    <definedName name="_385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166"}</definedName>
    <definedName name="_385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165"}</definedName>
    <definedName name="_385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164"}</definedName>
    <definedName name="_385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163"}</definedName>
    <definedName name="_3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6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162"}</definedName>
    <definedName name="_386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161"}</definedName>
    <definedName name="_386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160"}</definedName>
    <definedName name="_386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159"}</definedName>
    <definedName name="_386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158"}</definedName>
    <definedName name="_386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157"}</definedName>
    <definedName name="_386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156"}</definedName>
    <definedName name="_386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155"}</definedName>
    <definedName name="_386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154"}</definedName>
    <definedName name="_386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153"}</definedName>
    <definedName name="_3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7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152"}</definedName>
    <definedName name="_387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151"}</definedName>
    <definedName name="_387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150"}</definedName>
    <definedName name="_387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149"}</definedName>
    <definedName name="_387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148"}</definedName>
    <definedName name="_387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147"}</definedName>
    <definedName name="_387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146"}</definedName>
    <definedName name="_387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145"}</definedName>
    <definedName name="_387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144"}</definedName>
    <definedName name="_387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143"}</definedName>
    <definedName name="_3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8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142"}</definedName>
    <definedName name="_388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141"}</definedName>
    <definedName name="_388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140"}</definedName>
    <definedName name="_388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139"}</definedName>
    <definedName name="_388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138"}</definedName>
    <definedName name="_388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137"}</definedName>
    <definedName name="_388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136"}</definedName>
    <definedName name="_388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135"}</definedName>
    <definedName name="_388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134"}</definedName>
    <definedName name="_388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133"}</definedName>
    <definedName name="_3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89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132"}</definedName>
    <definedName name="_389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131"}</definedName>
    <definedName name="_389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130"}</definedName>
    <definedName name="_389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129"}</definedName>
    <definedName name="_389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128"}</definedName>
    <definedName name="_389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127"}</definedName>
    <definedName name="_389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126"}</definedName>
    <definedName name="_389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125"}</definedName>
    <definedName name="_389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124"}</definedName>
    <definedName name="_389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123"}</definedName>
    <definedName name="_39__123Graph_XCHART_21A" hidden="1">#REF!</definedName>
    <definedName name="_3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3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0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122"}</definedName>
    <definedName name="_390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121"}</definedName>
    <definedName name="_390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120"}</definedName>
    <definedName name="_390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119"}</definedName>
    <definedName name="_390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118"}</definedName>
    <definedName name="_390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117"}</definedName>
    <definedName name="_390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116"}</definedName>
    <definedName name="_390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115"}</definedName>
    <definedName name="_390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114"}</definedName>
    <definedName name="_390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113"}</definedName>
    <definedName name="_3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1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112"}</definedName>
    <definedName name="_391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111"}</definedName>
    <definedName name="_391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110"}</definedName>
    <definedName name="_391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109"}</definedName>
    <definedName name="_391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108"}</definedName>
    <definedName name="_391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107"}</definedName>
    <definedName name="_391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106"}</definedName>
    <definedName name="_391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105"}</definedName>
    <definedName name="_391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104"}</definedName>
    <definedName name="_391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103"}</definedName>
    <definedName name="_3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2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102"}</definedName>
    <definedName name="_392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101"}</definedName>
    <definedName name="_392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100"}</definedName>
    <definedName name="_392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99"}</definedName>
    <definedName name="_392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98"}</definedName>
    <definedName name="_392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97"}</definedName>
    <definedName name="_392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96"}</definedName>
    <definedName name="_392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95"}</definedName>
    <definedName name="_392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94"}</definedName>
    <definedName name="_392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93"}</definedName>
    <definedName name="_3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3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92"}</definedName>
    <definedName name="_393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91"}</definedName>
    <definedName name="_393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90"}</definedName>
    <definedName name="_393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89"}</definedName>
    <definedName name="_393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88"}</definedName>
    <definedName name="_393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87"}</definedName>
    <definedName name="_393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86"}</definedName>
    <definedName name="_393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85"}</definedName>
    <definedName name="_393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84"}</definedName>
    <definedName name="_393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83"}</definedName>
    <definedName name="_3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4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82"}</definedName>
    <definedName name="_394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81"}</definedName>
    <definedName name="_394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80"}</definedName>
    <definedName name="_394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79"}</definedName>
    <definedName name="_394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78"}</definedName>
    <definedName name="_394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77"}</definedName>
    <definedName name="_394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76"}</definedName>
    <definedName name="_394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75"}</definedName>
    <definedName name="_394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74"}</definedName>
    <definedName name="_394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73"}</definedName>
    <definedName name="_3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5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72"}</definedName>
    <definedName name="_395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71"}</definedName>
    <definedName name="_395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70"}</definedName>
    <definedName name="_395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69"}</definedName>
    <definedName name="_395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68"}</definedName>
    <definedName name="_395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67"}</definedName>
    <definedName name="_395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66"}</definedName>
    <definedName name="_395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65"}</definedName>
    <definedName name="_395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64"}</definedName>
    <definedName name="_395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63"}</definedName>
    <definedName name="_3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6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62"}</definedName>
    <definedName name="_396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61"}</definedName>
    <definedName name="_396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60"}</definedName>
    <definedName name="_396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59"}</definedName>
    <definedName name="_396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58"}</definedName>
    <definedName name="_396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57"}</definedName>
    <definedName name="_396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56"}</definedName>
    <definedName name="_396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55"}</definedName>
    <definedName name="_396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54"}</definedName>
    <definedName name="_396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53"}</definedName>
    <definedName name="_3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7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52"}</definedName>
    <definedName name="_397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51"}</definedName>
    <definedName name="_397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50"}</definedName>
    <definedName name="_397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49"}</definedName>
    <definedName name="_397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48"}</definedName>
    <definedName name="_397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47"}</definedName>
    <definedName name="_397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46"}</definedName>
    <definedName name="_397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45"}</definedName>
    <definedName name="_397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44"}</definedName>
    <definedName name="_397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43"}</definedName>
    <definedName name="_3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8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42"}</definedName>
    <definedName name="_398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41"}</definedName>
    <definedName name="_398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40"}</definedName>
    <definedName name="_398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39"}</definedName>
    <definedName name="_398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38"}</definedName>
    <definedName name="_398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37"}</definedName>
    <definedName name="_398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36"}</definedName>
    <definedName name="_398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35"}</definedName>
    <definedName name="_398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34"}</definedName>
    <definedName name="_398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33"}</definedName>
    <definedName name="_3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399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32"}</definedName>
    <definedName name="_399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31"}</definedName>
    <definedName name="_399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30"}</definedName>
    <definedName name="_399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29"}</definedName>
    <definedName name="_399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28"}</definedName>
    <definedName name="_399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27"}</definedName>
    <definedName name="_399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26"}</definedName>
    <definedName name="_399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25"}</definedName>
    <definedName name="_399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24"}</definedName>
    <definedName name="_399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23"}</definedName>
    <definedName name="_4__123Graph_ACHART_4" hidden="1">[2]AnnualData!#REF!</definedName>
    <definedName name="_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0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22"}</definedName>
    <definedName name="_400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21"}</definedName>
    <definedName name="_400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20"}</definedName>
    <definedName name="_400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19"}</definedName>
    <definedName name="_400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18"}</definedName>
    <definedName name="_400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17"}</definedName>
    <definedName name="_400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16"}</definedName>
    <definedName name="_400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15"}</definedName>
    <definedName name="_400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14"}</definedName>
    <definedName name="_400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13"}</definedName>
    <definedName name="_4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1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12"}</definedName>
    <definedName name="_401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11"}</definedName>
    <definedName name="_401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10"}</definedName>
    <definedName name="_4013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9"}</definedName>
    <definedName name="_4014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8"}</definedName>
    <definedName name="_4015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7"}</definedName>
    <definedName name="_4016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6"}</definedName>
    <definedName name="_4017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5"}</definedName>
    <definedName name="_4018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4"}</definedName>
    <definedName name="_4019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3"}</definedName>
    <definedName name="_4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20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2"}</definedName>
    <definedName name="_4021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1"}</definedName>
    <definedName name="_4022__FDSAUDITLINK__" hidden="1">{"fdsup://directions/FAT Viewer?action=UPDATE&amp;creator=factset&amp;DYN_ARGS=TRUE&amp;DOC_NAME=FAT:FQL_AUDITING_CLIENT_TEMPLATE.FAT&amp;display_string=Audit&amp;VAR:KEY=UPCRMJALCR&amp;VAR:QUERY=RkZfRU5UUlBSX1ZBTF9EQUlMWSgxMi8zMS8wOSwwLCwsLCdESUwnKQ==&amp;WINDOW=FIRST_POPUP&amp;HEIGHT=45","0&amp;WIDTH=450&amp;START_MAXIMIZED=FALSE&amp;VAR:CALENDAR=US&amp;VAR:SYMBOL=PNK&amp;VAR:INDEX=0"}</definedName>
    <definedName name="_402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326"}</definedName>
    <definedName name="_402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325"}</definedName>
    <definedName name="_402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324"}</definedName>
    <definedName name="_402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323"}</definedName>
    <definedName name="_402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322"}</definedName>
    <definedName name="_402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321"}</definedName>
    <definedName name="_402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320"}</definedName>
    <definedName name="_4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3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319"}</definedName>
    <definedName name="_403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318"}</definedName>
    <definedName name="_403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317"}</definedName>
    <definedName name="_403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316"}</definedName>
    <definedName name="_403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315"}</definedName>
    <definedName name="_403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314"}</definedName>
    <definedName name="_403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313"}</definedName>
    <definedName name="_403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312"}</definedName>
    <definedName name="_403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311"}</definedName>
    <definedName name="_403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310"}</definedName>
    <definedName name="_4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4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309"}</definedName>
    <definedName name="_404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308"}</definedName>
    <definedName name="_404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307"}</definedName>
    <definedName name="_404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306"}</definedName>
    <definedName name="_404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305"}</definedName>
    <definedName name="_404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304"}</definedName>
    <definedName name="_404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303"}</definedName>
    <definedName name="_404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302"}</definedName>
    <definedName name="_404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301"}</definedName>
    <definedName name="_404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300"}</definedName>
    <definedName name="_4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5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299"}</definedName>
    <definedName name="_405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298"}</definedName>
    <definedName name="_405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297"}</definedName>
    <definedName name="_405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296"}</definedName>
    <definedName name="_405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295"}</definedName>
    <definedName name="_405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294"}</definedName>
    <definedName name="_405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293"}</definedName>
    <definedName name="_405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292"}</definedName>
    <definedName name="_405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291"}</definedName>
    <definedName name="_405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290"}</definedName>
    <definedName name="_4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6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289"}</definedName>
    <definedName name="_406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288"}</definedName>
    <definedName name="_406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287"}</definedName>
    <definedName name="_406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286"}</definedName>
    <definedName name="_406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285"}</definedName>
    <definedName name="_406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284"}</definedName>
    <definedName name="_406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283"}</definedName>
    <definedName name="_406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282"}</definedName>
    <definedName name="_406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281"}</definedName>
    <definedName name="_406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280"}</definedName>
    <definedName name="_4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7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279"}</definedName>
    <definedName name="_407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278"}</definedName>
    <definedName name="_407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277"}</definedName>
    <definedName name="_407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276"}</definedName>
    <definedName name="_407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275"}</definedName>
    <definedName name="_407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274"}</definedName>
    <definedName name="_407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273"}</definedName>
    <definedName name="_407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272"}</definedName>
    <definedName name="_407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271"}</definedName>
    <definedName name="_407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270"}</definedName>
    <definedName name="_4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8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269"}</definedName>
    <definedName name="_408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268"}</definedName>
    <definedName name="_408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267"}</definedName>
    <definedName name="_408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266"}</definedName>
    <definedName name="_408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265"}</definedName>
    <definedName name="_408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264"}</definedName>
    <definedName name="_408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263"}</definedName>
    <definedName name="_408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262"}</definedName>
    <definedName name="_408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261"}</definedName>
    <definedName name="_408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260"}</definedName>
    <definedName name="_4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09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259"}</definedName>
    <definedName name="_409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258"}</definedName>
    <definedName name="_409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257"}</definedName>
    <definedName name="_409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256"}</definedName>
    <definedName name="_409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255"}</definedName>
    <definedName name="_409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254"}</definedName>
    <definedName name="_409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253"}</definedName>
    <definedName name="_409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252"}</definedName>
    <definedName name="_409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251"}</definedName>
    <definedName name="_409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250"}</definedName>
    <definedName name="_4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0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249"}</definedName>
    <definedName name="_410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248"}</definedName>
    <definedName name="_410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247"}</definedName>
    <definedName name="_410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246"}</definedName>
    <definedName name="_410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245"}</definedName>
    <definedName name="_410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244"}</definedName>
    <definedName name="_410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243"}</definedName>
    <definedName name="_410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242"}</definedName>
    <definedName name="_410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241"}</definedName>
    <definedName name="_410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240"}</definedName>
    <definedName name="_4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1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239"}</definedName>
    <definedName name="_411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238"}</definedName>
    <definedName name="_411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237"}</definedName>
    <definedName name="_411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236"}</definedName>
    <definedName name="_411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235"}</definedName>
    <definedName name="_411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234"}</definedName>
    <definedName name="_411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233"}</definedName>
    <definedName name="_411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232"}</definedName>
    <definedName name="_411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231"}</definedName>
    <definedName name="_411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230"}</definedName>
    <definedName name="_4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2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229"}</definedName>
    <definedName name="_412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228"}</definedName>
    <definedName name="_412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227"}</definedName>
    <definedName name="_412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226"}</definedName>
    <definedName name="_412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225"}</definedName>
    <definedName name="_412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224"}</definedName>
    <definedName name="_412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223"}</definedName>
    <definedName name="_412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222"}</definedName>
    <definedName name="_412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221"}</definedName>
    <definedName name="_412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220"}</definedName>
    <definedName name="_4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3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219"}</definedName>
    <definedName name="_413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218"}</definedName>
    <definedName name="_413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217"}</definedName>
    <definedName name="_413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216"}</definedName>
    <definedName name="_413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215"}</definedName>
    <definedName name="_413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214"}</definedName>
    <definedName name="_413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213"}</definedName>
    <definedName name="_413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212"}</definedName>
    <definedName name="_413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211"}</definedName>
    <definedName name="_413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210"}</definedName>
    <definedName name="_4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4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209"}</definedName>
    <definedName name="_414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208"}</definedName>
    <definedName name="_414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207"}</definedName>
    <definedName name="_414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206"}</definedName>
    <definedName name="_414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205"}</definedName>
    <definedName name="_414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204"}</definedName>
    <definedName name="_414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203"}</definedName>
    <definedName name="_414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202"}</definedName>
    <definedName name="_414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201"}</definedName>
    <definedName name="_414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200"}</definedName>
    <definedName name="_4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5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199"}</definedName>
    <definedName name="_415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198"}</definedName>
    <definedName name="_415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197"}</definedName>
    <definedName name="_415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196"}</definedName>
    <definedName name="_415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195"}</definedName>
    <definedName name="_415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194"}</definedName>
    <definedName name="_415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193"}</definedName>
    <definedName name="_415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192"}</definedName>
    <definedName name="_415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191"}</definedName>
    <definedName name="_415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190"}</definedName>
    <definedName name="_4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6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189"}</definedName>
    <definedName name="_416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188"}</definedName>
    <definedName name="_416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187"}</definedName>
    <definedName name="_416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186"}</definedName>
    <definedName name="_416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185"}</definedName>
    <definedName name="_416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184"}</definedName>
    <definedName name="_416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183"}</definedName>
    <definedName name="_416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182"}</definedName>
    <definedName name="_416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181"}</definedName>
    <definedName name="_416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180"}</definedName>
    <definedName name="_4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7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179"}</definedName>
    <definedName name="_417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178"}</definedName>
    <definedName name="_417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177"}</definedName>
    <definedName name="_417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176"}</definedName>
    <definedName name="_417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175"}</definedName>
    <definedName name="_417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174"}</definedName>
    <definedName name="_417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173"}</definedName>
    <definedName name="_417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172"}</definedName>
    <definedName name="_417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171"}</definedName>
    <definedName name="_417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170"}</definedName>
    <definedName name="_4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8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169"}</definedName>
    <definedName name="_418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168"}</definedName>
    <definedName name="_418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167"}</definedName>
    <definedName name="_418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166"}</definedName>
    <definedName name="_418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165"}</definedName>
    <definedName name="_418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164"}</definedName>
    <definedName name="_418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163"}</definedName>
    <definedName name="_418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162"}</definedName>
    <definedName name="_418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161"}</definedName>
    <definedName name="_418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160"}</definedName>
    <definedName name="_4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19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159"}</definedName>
    <definedName name="_419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158"}</definedName>
    <definedName name="_419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157"}</definedName>
    <definedName name="_419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156"}</definedName>
    <definedName name="_419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155"}</definedName>
    <definedName name="_419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154"}</definedName>
    <definedName name="_419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153"}</definedName>
    <definedName name="_419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152"}</definedName>
    <definedName name="_419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151"}</definedName>
    <definedName name="_419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150"}</definedName>
    <definedName name="_4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0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149"}</definedName>
    <definedName name="_420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148"}</definedName>
    <definedName name="_420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147"}</definedName>
    <definedName name="_420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146"}</definedName>
    <definedName name="_420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145"}</definedName>
    <definedName name="_420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144"}</definedName>
    <definedName name="_420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143"}</definedName>
    <definedName name="_420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142"}</definedName>
    <definedName name="_420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141"}</definedName>
    <definedName name="_420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140"}</definedName>
    <definedName name="_4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1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139"}</definedName>
    <definedName name="_421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138"}</definedName>
    <definedName name="_421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137"}</definedName>
    <definedName name="_421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136"}</definedName>
    <definedName name="_421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135"}</definedName>
    <definedName name="_421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134"}</definedName>
    <definedName name="_421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133"}</definedName>
    <definedName name="_421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132"}</definedName>
    <definedName name="_421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131"}</definedName>
    <definedName name="_421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130"}</definedName>
    <definedName name="_4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2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129"}</definedName>
    <definedName name="_422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128"}</definedName>
    <definedName name="_422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127"}</definedName>
    <definedName name="_422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126"}</definedName>
    <definedName name="_422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125"}</definedName>
    <definedName name="_422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124"}</definedName>
    <definedName name="_422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123"}</definedName>
    <definedName name="_422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122"}</definedName>
    <definedName name="_422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121"}</definedName>
    <definedName name="_422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120"}</definedName>
    <definedName name="_4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3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119"}</definedName>
    <definedName name="_423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118"}</definedName>
    <definedName name="_423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117"}</definedName>
    <definedName name="_423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116"}</definedName>
    <definedName name="_423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115"}</definedName>
    <definedName name="_423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114"}</definedName>
    <definedName name="_423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113"}</definedName>
    <definedName name="_423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112"}</definedName>
    <definedName name="_423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111"}</definedName>
    <definedName name="_423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110"}</definedName>
    <definedName name="_4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4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109"}</definedName>
    <definedName name="_424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108"}</definedName>
    <definedName name="_424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107"}</definedName>
    <definedName name="_424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106"}</definedName>
    <definedName name="_424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105"}</definedName>
    <definedName name="_424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104"}</definedName>
    <definedName name="_424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103"}</definedName>
    <definedName name="_424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102"}</definedName>
    <definedName name="_424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101"}</definedName>
    <definedName name="_424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100"}</definedName>
    <definedName name="_4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5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99"}</definedName>
    <definedName name="_425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98"}</definedName>
    <definedName name="_425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97"}</definedName>
    <definedName name="_425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96"}</definedName>
    <definedName name="_425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95"}</definedName>
    <definedName name="_425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94"}</definedName>
    <definedName name="_425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93"}</definedName>
    <definedName name="_425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92"}</definedName>
    <definedName name="_425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91"}</definedName>
    <definedName name="_425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90"}</definedName>
    <definedName name="_4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6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89"}</definedName>
    <definedName name="_426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88"}</definedName>
    <definedName name="_426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87"}</definedName>
    <definedName name="_426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86"}</definedName>
    <definedName name="_426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85"}</definedName>
    <definedName name="_426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84"}</definedName>
    <definedName name="_426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83"}</definedName>
    <definedName name="_426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82"}</definedName>
    <definedName name="_426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81"}</definedName>
    <definedName name="_426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80"}</definedName>
    <definedName name="_4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7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79"}</definedName>
    <definedName name="_427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78"}</definedName>
    <definedName name="_427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77"}</definedName>
    <definedName name="_427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76"}</definedName>
    <definedName name="_427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75"}</definedName>
    <definedName name="_427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74"}</definedName>
    <definedName name="_427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73"}</definedName>
    <definedName name="_427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72"}</definedName>
    <definedName name="_427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71"}</definedName>
    <definedName name="_427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70"}</definedName>
    <definedName name="_4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8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69"}</definedName>
    <definedName name="_428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68"}</definedName>
    <definedName name="_428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67"}</definedName>
    <definedName name="_428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66"}</definedName>
    <definedName name="_428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65"}</definedName>
    <definedName name="_428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64"}</definedName>
    <definedName name="_428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63"}</definedName>
    <definedName name="_428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62"}</definedName>
    <definedName name="_428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61"}</definedName>
    <definedName name="_428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60"}</definedName>
    <definedName name="_4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29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59"}</definedName>
    <definedName name="_429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58"}</definedName>
    <definedName name="_429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57"}</definedName>
    <definedName name="_429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56"}</definedName>
    <definedName name="_429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55"}</definedName>
    <definedName name="_429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54"}</definedName>
    <definedName name="_429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53"}</definedName>
    <definedName name="_429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52"}</definedName>
    <definedName name="_429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51"}</definedName>
    <definedName name="_429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50"}</definedName>
    <definedName name="_4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0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49"}</definedName>
    <definedName name="_430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48"}</definedName>
    <definedName name="_430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47"}</definedName>
    <definedName name="_430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46"}</definedName>
    <definedName name="_430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45"}</definedName>
    <definedName name="_430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44"}</definedName>
    <definedName name="_430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43"}</definedName>
    <definedName name="_430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42"}</definedName>
    <definedName name="_430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41"}</definedName>
    <definedName name="_430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40"}</definedName>
    <definedName name="_4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1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39"}</definedName>
    <definedName name="_431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38"}</definedName>
    <definedName name="_431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37"}</definedName>
    <definedName name="_431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36"}</definedName>
    <definedName name="_431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35"}</definedName>
    <definedName name="_431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34"}</definedName>
    <definedName name="_431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33"}</definedName>
    <definedName name="_431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32"}</definedName>
    <definedName name="_431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31"}</definedName>
    <definedName name="_431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30"}</definedName>
    <definedName name="_4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2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29"}</definedName>
    <definedName name="_432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28"}</definedName>
    <definedName name="_432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27"}</definedName>
    <definedName name="_432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26"}</definedName>
    <definedName name="_432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25"}</definedName>
    <definedName name="_432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24"}</definedName>
    <definedName name="_432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23"}</definedName>
    <definedName name="_432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22"}</definedName>
    <definedName name="_432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21"}</definedName>
    <definedName name="_432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20"}</definedName>
    <definedName name="_4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3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19"}</definedName>
    <definedName name="_433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18"}</definedName>
    <definedName name="_433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17"}</definedName>
    <definedName name="_433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16"}</definedName>
    <definedName name="_433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15"}</definedName>
    <definedName name="_433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14"}</definedName>
    <definedName name="_433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13"}</definedName>
    <definedName name="_433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12"}</definedName>
    <definedName name="_433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11"}</definedName>
    <definedName name="_433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10"}</definedName>
    <definedName name="_4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4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9"}</definedName>
    <definedName name="_4341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8"}</definedName>
    <definedName name="_4342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7"}</definedName>
    <definedName name="_4343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6"}</definedName>
    <definedName name="_4344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5"}</definedName>
    <definedName name="_4345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4"}</definedName>
    <definedName name="_4346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3"}</definedName>
    <definedName name="_4347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2"}</definedName>
    <definedName name="_4348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1"}</definedName>
    <definedName name="_4349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0"}</definedName>
    <definedName name="_4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50__FDSAUDITLINK__" hidden="1">{"fdsup://directions/FAT Viewer?action=UPDATE&amp;creator=factset&amp;DYN_ARGS=TRUE&amp;DOC_NAME=FAT:FQL_AUDITING_CLIENT_TEMPLATE.FAT&amp;display_string=Audit&amp;VAR:KEY=PCRYJMPWTO&amp;VAR:QUERY=RkZfRU5UUlBSX1ZBTF9EQUlMWSgxMi8zMS8wOSwwLCwsLCdESUwnKQ==&amp;WINDOW=FIRST_POPUP&amp;HEIGHT=45","0&amp;WIDTH=450&amp;START_MAXIMIZED=FALSE&amp;VAR:CALENDAR=US&amp;VAR:SYMBOL=PENN&amp;VAR:INDEX=0"}</definedName>
    <definedName name="_435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326"}</definedName>
    <definedName name="_435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325"}</definedName>
    <definedName name="_435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324"}</definedName>
    <definedName name="_435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323"}</definedName>
    <definedName name="_435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322"}</definedName>
    <definedName name="_435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321"}</definedName>
    <definedName name="_435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320"}</definedName>
    <definedName name="_435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319"}</definedName>
    <definedName name="_435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318"}</definedName>
    <definedName name="_4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6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317"}</definedName>
    <definedName name="_436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316"}</definedName>
    <definedName name="_436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315"}</definedName>
    <definedName name="_436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314"}</definedName>
    <definedName name="_436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313"}</definedName>
    <definedName name="_436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312"}</definedName>
    <definedName name="_436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311"}</definedName>
    <definedName name="_436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310"}</definedName>
    <definedName name="_436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309"}</definedName>
    <definedName name="_436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308"}</definedName>
    <definedName name="_4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7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307"}</definedName>
    <definedName name="_437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306"}</definedName>
    <definedName name="_437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305"}</definedName>
    <definedName name="_437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304"}</definedName>
    <definedName name="_437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303"}</definedName>
    <definedName name="_437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302"}</definedName>
    <definedName name="_437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301"}</definedName>
    <definedName name="_437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300"}</definedName>
    <definedName name="_437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299"}</definedName>
    <definedName name="_437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298"}</definedName>
    <definedName name="_4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8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297"}</definedName>
    <definedName name="_438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296"}</definedName>
    <definedName name="_438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295"}</definedName>
    <definedName name="_438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294"}</definedName>
    <definedName name="_438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293"}</definedName>
    <definedName name="_438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292"}</definedName>
    <definedName name="_438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291"}</definedName>
    <definedName name="_438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290"}</definedName>
    <definedName name="_438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289"}</definedName>
    <definedName name="_438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288"}</definedName>
    <definedName name="_4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39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287"}</definedName>
    <definedName name="_439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286"}</definedName>
    <definedName name="_439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285"}</definedName>
    <definedName name="_439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284"}</definedName>
    <definedName name="_439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283"}</definedName>
    <definedName name="_439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282"}</definedName>
    <definedName name="_439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281"}</definedName>
    <definedName name="_439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280"}</definedName>
    <definedName name="_439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279"}</definedName>
    <definedName name="_439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278"}</definedName>
    <definedName name="_4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0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277"}</definedName>
    <definedName name="_440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276"}</definedName>
    <definedName name="_440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275"}</definedName>
    <definedName name="_440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274"}</definedName>
    <definedName name="_440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273"}</definedName>
    <definedName name="_440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272"}</definedName>
    <definedName name="_440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271"}</definedName>
    <definedName name="_440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270"}</definedName>
    <definedName name="_440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269"}</definedName>
    <definedName name="_440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268"}</definedName>
    <definedName name="_4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1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267"}</definedName>
    <definedName name="_441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266"}</definedName>
    <definedName name="_441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265"}</definedName>
    <definedName name="_441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264"}</definedName>
    <definedName name="_441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263"}</definedName>
    <definedName name="_441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262"}</definedName>
    <definedName name="_441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261"}</definedName>
    <definedName name="_441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260"}</definedName>
    <definedName name="_441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259"}</definedName>
    <definedName name="_441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258"}</definedName>
    <definedName name="_4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2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257"}</definedName>
    <definedName name="_442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256"}</definedName>
    <definedName name="_442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255"}</definedName>
    <definedName name="_442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254"}</definedName>
    <definedName name="_442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253"}</definedName>
    <definedName name="_442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252"}</definedName>
    <definedName name="_442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251"}</definedName>
    <definedName name="_442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250"}</definedName>
    <definedName name="_442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249"}</definedName>
    <definedName name="_442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248"}</definedName>
    <definedName name="_4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3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247"}</definedName>
    <definedName name="_443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246"}</definedName>
    <definedName name="_443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245"}</definedName>
    <definedName name="_443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244"}</definedName>
    <definedName name="_443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243"}</definedName>
    <definedName name="_443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242"}</definedName>
    <definedName name="_443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241"}</definedName>
    <definedName name="_443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240"}</definedName>
    <definedName name="_443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239"}</definedName>
    <definedName name="_443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238"}</definedName>
    <definedName name="_4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4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237"}</definedName>
    <definedName name="_444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236"}</definedName>
    <definedName name="_444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235"}</definedName>
    <definedName name="_444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234"}</definedName>
    <definedName name="_444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233"}</definedName>
    <definedName name="_444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232"}</definedName>
    <definedName name="_444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231"}</definedName>
    <definedName name="_444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230"}</definedName>
    <definedName name="_444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229"}</definedName>
    <definedName name="_444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228"}</definedName>
    <definedName name="_4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5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227"}</definedName>
    <definedName name="_445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226"}</definedName>
    <definedName name="_445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225"}</definedName>
    <definedName name="_445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224"}</definedName>
    <definedName name="_445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223"}</definedName>
    <definedName name="_445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222"}</definedName>
    <definedName name="_445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221"}</definedName>
    <definedName name="_445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220"}</definedName>
    <definedName name="_445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219"}</definedName>
    <definedName name="_445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218"}</definedName>
    <definedName name="_4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6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217"}</definedName>
    <definedName name="_446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216"}</definedName>
    <definedName name="_446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215"}</definedName>
    <definedName name="_446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214"}</definedName>
    <definedName name="_446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213"}</definedName>
    <definedName name="_446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212"}</definedName>
    <definedName name="_446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211"}</definedName>
    <definedName name="_446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210"}</definedName>
    <definedName name="_446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209"}</definedName>
    <definedName name="_446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208"}</definedName>
    <definedName name="_4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7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207"}</definedName>
    <definedName name="_447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206"}</definedName>
    <definedName name="_447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205"}</definedName>
    <definedName name="_447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204"}</definedName>
    <definedName name="_447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203"}</definedName>
    <definedName name="_447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202"}</definedName>
    <definedName name="_447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201"}</definedName>
    <definedName name="_447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200"}</definedName>
    <definedName name="_447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199"}</definedName>
    <definedName name="_447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198"}</definedName>
    <definedName name="_4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8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197"}</definedName>
    <definedName name="_448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196"}</definedName>
    <definedName name="_448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195"}</definedName>
    <definedName name="_448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194"}</definedName>
    <definedName name="_448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193"}</definedName>
    <definedName name="_448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192"}</definedName>
    <definedName name="_448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191"}</definedName>
    <definedName name="_448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190"}</definedName>
    <definedName name="_448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189"}</definedName>
    <definedName name="_448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188"}</definedName>
    <definedName name="_4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49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187"}</definedName>
    <definedName name="_449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186"}</definedName>
    <definedName name="_449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185"}</definedName>
    <definedName name="_449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184"}</definedName>
    <definedName name="_449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183"}</definedName>
    <definedName name="_449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182"}</definedName>
    <definedName name="_449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181"}</definedName>
    <definedName name="_449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180"}</definedName>
    <definedName name="_449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179"}</definedName>
    <definedName name="_449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178"}</definedName>
    <definedName name="_4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0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177"}</definedName>
    <definedName name="_450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176"}</definedName>
    <definedName name="_450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175"}</definedName>
    <definedName name="_450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174"}</definedName>
    <definedName name="_450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173"}</definedName>
    <definedName name="_450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172"}</definedName>
    <definedName name="_450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171"}</definedName>
    <definedName name="_450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170"}</definedName>
    <definedName name="_450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169"}</definedName>
    <definedName name="_450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168"}</definedName>
    <definedName name="_4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1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167"}</definedName>
    <definedName name="_451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166"}</definedName>
    <definedName name="_451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165"}</definedName>
    <definedName name="_451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164"}</definedName>
    <definedName name="_451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163"}</definedName>
    <definedName name="_451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162"}</definedName>
    <definedName name="_451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161"}</definedName>
    <definedName name="_451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160"}</definedName>
    <definedName name="_451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159"}</definedName>
    <definedName name="_451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158"}</definedName>
    <definedName name="_4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2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157"}</definedName>
    <definedName name="_452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156"}</definedName>
    <definedName name="_452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155"}</definedName>
    <definedName name="_452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154"}</definedName>
    <definedName name="_452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153"}</definedName>
    <definedName name="_452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152"}</definedName>
    <definedName name="_452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151"}</definedName>
    <definedName name="_452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150"}</definedName>
    <definedName name="_452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149"}</definedName>
    <definedName name="_452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148"}</definedName>
    <definedName name="_4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3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147"}</definedName>
    <definedName name="_453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146"}</definedName>
    <definedName name="_453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145"}</definedName>
    <definedName name="_453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144"}</definedName>
    <definedName name="_453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143"}</definedName>
    <definedName name="_453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142"}</definedName>
    <definedName name="_453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141"}</definedName>
    <definedName name="_453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140"}</definedName>
    <definedName name="_453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139"}</definedName>
    <definedName name="_453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138"}</definedName>
    <definedName name="_4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4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137"}</definedName>
    <definedName name="_454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136"}</definedName>
    <definedName name="_454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135"}</definedName>
    <definedName name="_454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134"}</definedName>
    <definedName name="_454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133"}</definedName>
    <definedName name="_454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132"}</definedName>
    <definedName name="_454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131"}</definedName>
    <definedName name="_454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130"}</definedName>
    <definedName name="_454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129"}</definedName>
    <definedName name="_454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128"}</definedName>
    <definedName name="_4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5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127"}</definedName>
    <definedName name="_455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126"}</definedName>
    <definedName name="_455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125"}</definedName>
    <definedName name="_455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124"}</definedName>
    <definedName name="_455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123"}</definedName>
    <definedName name="_455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122"}</definedName>
    <definedName name="_455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121"}</definedName>
    <definedName name="_455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120"}</definedName>
    <definedName name="_455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119"}</definedName>
    <definedName name="_455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118"}</definedName>
    <definedName name="_4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6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117"}</definedName>
    <definedName name="_456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116"}</definedName>
    <definedName name="_456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115"}</definedName>
    <definedName name="_456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114"}</definedName>
    <definedName name="_456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113"}</definedName>
    <definedName name="_456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112"}</definedName>
    <definedName name="_456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111"}</definedName>
    <definedName name="_456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110"}</definedName>
    <definedName name="_456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109"}</definedName>
    <definedName name="_456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108"}</definedName>
    <definedName name="_4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7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107"}</definedName>
    <definedName name="_457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106"}</definedName>
    <definedName name="_457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105"}</definedName>
    <definedName name="_457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104"}</definedName>
    <definedName name="_457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103"}</definedName>
    <definedName name="_457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102"}</definedName>
    <definedName name="_457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101"}</definedName>
    <definedName name="_457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100"}</definedName>
    <definedName name="_457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99"}</definedName>
    <definedName name="_457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98"}</definedName>
    <definedName name="_4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8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97"}</definedName>
    <definedName name="_458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96"}</definedName>
    <definedName name="_458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95"}</definedName>
    <definedName name="_458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94"}</definedName>
    <definedName name="_458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93"}</definedName>
    <definedName name="_458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92"}</definedName>
    <definedName name="_458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91"}</definedName>
    <definedName name="_458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90"}</definedName>
    <definedName name="_458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89"}</definedName>
    <definedName name="_458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88"}</definedName>
    <definedName name="_4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59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87"}</definedName>
    <definedName name="_459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86"}</definedName>
    <definedName name="_459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85"}</definedName>
    <definedName name="_459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84"}</definedName>
    <definedName name="_459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83"}</definedName>
    <definedName name="_459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82"}</definedName>
    <definedName name="_459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81"}</definedName>
    <definedName name="_459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80"}</definedName>
    <definedName name="_459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79"}</definedName>
    <definedName name="_459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78"}</definedName>
    <definedName name="_4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0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77"}</definedName>
    <definedName name="_460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76"}</definedName>
    <definedName name="_460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75"}</definedName>
    <definedName name="_460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74"}</definedName>
    <definedName name="_460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73"}</definedName>
    <definedName name="_460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72"}</definedName>
    <definedName name="_460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71"}</definedName>
    <definedName name="_460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70"}</definedName>
    <definedName name="_460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69"}</definedName>
    <definedName name="_460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68"}</definedName>
    <definedName name="_4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1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67"}</definedName>
    <definedName name="_461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66"}</definedName>
    <definedName name="_461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65"}</definedName>
    <definedName name="_461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64"}</definedName>
    <definedName name="_461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63"}</definedName>
    <definedName name="_461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62"}</definedName>
    <definedName name="_461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61"}</definedName>
    <definedName name="_461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60"}</definedName>
    <definedName name="_461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59"}</definedName>
    <definedName name="_461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58"}</definedName>
    <definedName name="_4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2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57"}</definedName>
    <definedName name="_462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56"}</definedName>
    <definedName name="_462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55"}</definedName>
    <definedName name="_462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54"}</definedName>
    <definedName name="_462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53"}</definedName>
    <definedName name="_462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52"}</definedName>
    <definedName name="_462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51"}</definedName>
    <definedName name="_462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50"}</definedName>
    <definedName name="_462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49"}</definedName>
    <definedName name="_462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48"}</definedName>
    <definedName name="_4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3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47"}</definedName>
    <definedName name="_463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46"}</definedName>
    <definedName name="_463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45"}</definedName>
    <definedName name="_463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44"}</definedName>
    <definedName name="_463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43"}</definedName>
    <definedName name="_463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42"}</definedName>
    <definedName name="_463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41"}</definedName>
    <definedName name="_463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40"}</definedName>
    <definedName name="_463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39"}</definedName>
    <definedName name="_463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38"}</definedName>
    <definedName name="_4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4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37"}</definedName>
    <definedName name="_464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36"}</definedName>
    <definedName name="_464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35"}</definedName>
    <definedName name="_464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34"}</definedName>
    <definedName name="_464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33"}</definedName>
    <definedName name="_464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32"}</definedName>
    <definedName name="_464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31"}</definedName>
    <definedName name="_464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30"}</definedName>
    <definedName name="_464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29"}</definedName>
    <definedName name="_464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28"}</definedName>
    <definedName name="_4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5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27"}</definedName>
    <definedName name="_465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26"}</definedName>
    <definedName name="_465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25"}</definedName>
    <definedName name="_465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24"}</definedName>
    <definedName name="_465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23"}</definedName>
    <definedName name="_465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22"}</definedName>
    <definedName name="_465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21"}</definedName>
    <definedName name="_465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20"}</definedName>
    <definedName name="_465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19"}</definedName>
    <definedName name="_465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18"}</definedName>
    <definedName name="_4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6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17"}</definedName>
    <definedName name="_466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16"}</definedName>
    <definedName name="_466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15"}</definedName>
    <definedName name="_466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14"}</definedName>
    <definedName name="_466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13"}</definedName>
    <definedName name="_466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12"}</definedName>
    <definedName name="_466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11"}</definedName>
    <definedName name="_4667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10"}</definedName>
    <definedName name="_4668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9"}</definedName>
    <definedName name="_4669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8"}</definedName>
    <definedName name="_4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70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7"}</definedName>
    <definedName name="_4671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6"}</definedName>
    <definedName name="_4672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5"}</definedName>
    <definedName name="_4673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4"}</definedName>
    <definedName name="_4674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3"}</definedName>
    <definedName name="_4675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2"}</definedName>
    <definedName name="_4676__FDSAUDITLINK__" hidden="1">{"fdsup://directions/FAT Viewer?action=UPDATE&amp;creator=factset&amp;DYN_ARGS=TRUE&amp;DOC_NAME=FAT:FQL_AUDITING_CLIENT_TEMPLATE.FAT&amp;display_string=Audit&amp;VAR:KEY=FUDYXIPSVQ&amp;VAR:QUERY=RkZfRU5UUlBSX1ZBTF9EQUlMWSgxMi8zMS8wOSwwLCwsLCdESUwnKQ==&amp;WINDOW=FIRST_POPUP&amp;HEIGHT=45","0&amp;WIDTH=450&amp;START_MAXIMIZED=FALSE&amp;VAR:CALENDAR=US&amp;VAR:SYMBOL=BYD&amp;VAR:INDEX=1"}</definedName>
    <definedName name="_467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326"}</definedName>
    <definedName name="_467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325"}</definedName>
    <definedName name="_467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324"}</definedName>
    <definedName name="_4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8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323"}</definedName>
    <definedName name="_468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322"}</definedName>
    <definedName name="_468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321"}</definedName>
    <definedName name="_468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320"}</definedName>
    <definedName name="_468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319"}</definedName>
    <definedName name="_468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318"}</definedName>
    <definedName name="_468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317"}</definedName>
    <definedName name="_468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316"}</definedName>
    <definedName name="_468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315"}</definedName>
    <definedName name="_468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314"}</definedName>
    <definedName name="_4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69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313"}</definedName>
    <definedName name="_469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312"}</definedName>
    <definedName name="_469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311"}</definedName>
    <definedName name="_469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310"}</definedName>
    <definedName name="_469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309"}</definedName>
    <definedName name="_469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308"}</definedName>
    <definedName name="_469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307"}</definedName>
    <definedName name="_469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306"}</definedName>
    <definedName name="_469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305"}</definedName>
    <definedName name="_469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304"}</definedName>
    <definedName name="_4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0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303"}</definedName>
    <definedName name="_470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302"}</definedName>
    <definedName name="_470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301"}</definedName>
    <definedName name="_470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300"}</definedName>
    <definedName name="_470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299"}</definedName>
    <definedName name="_470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298"}</definedName>
    <definedName name="_470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297"}</definedName>
    <definedName name="_470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296"}</definedName>
    <definedName name="_470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295"}</definedName>
    <definedName name="_470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294"}</definedName>
    <definedName name="_4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1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293"}</definedName>
    <definedName name="_471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292"}</definedName>
    <definedName name="_471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291"}</definedName>
    <definedName name="_471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290"}</definedName>
    <definedName name="_471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289"}</definedName>
    <definedName name="_471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288"}</definedName>
    <definedName name="_471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287"}</definedName>
    <definedName name="_471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286"}</definedName>
    <definedName name="_471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285"}</definedName>
    <definedName name="_471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284"}</definedName>
    <definedName name="_4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2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283"}</definedName>
    <definedName name="_472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282"}</definedName>
    <definedName name="_472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281"}</definedName>
    <definedName name="_472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280"}</definedName>
    <definedName name="_472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279"}</definedName>
    <definedName name="_472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278"}</definedName>
    <definedName name="_472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277"}</definedName>
    <definedName name="_472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276"}</definedName>
    <definedName name="_472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275"}</definedName>
    <definedName name="_472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274"}</definedName>
    <definedName name="_4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3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273"}</definedName>
    <definedName name="_473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272"}</definedName>
    <definedName name="_473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271"}</definedName>
    <definedName name="_473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270"}</definedName>
    <definedName name="_473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269"}</definedName>
    <definedName name="_473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268"}</definedName>
    <definedName name="_473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267"}</definedName>
    <definedName name="_473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266"}</definedName>
    <definedName name="_473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265"}</definedName>
    <definedName name="_473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264"}</definedName>
    <definedName name="_4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4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263"}</definedName>
    <definedName name="_474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262"}</definedName>
    <definedName name="_474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261"}</definedName>
    <definedName name="_474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260"}</definedName>
    <definedName name="_474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259"}</definedName>
    <definedName name="_474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258"}</definedName>
    <definedName name="_474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257"}</definedName>
    <definedName name="_474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256"}</definedName>
    <definedName name="_474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255"}</definedName>
    <definedName name="_474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254"}</definedName>
    <definedName name="_4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5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253"}</definedName>
    <definedName name="_475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252"}</definedName>
    <definedName name="_475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251"}</definedName>
    <definedName name="_475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250"}</definedName>
    <definedName name="_475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249"}</definedName>
    <definedName name="_475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248"}</definedName>
    <definedName name="_475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247"}</definedName>
    <definedName name="_475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246"}</definedName>
    <definedName name="_475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245"}</definedName>
    <definedName name="_475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244"}</definedName>
    <definedName name="_4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6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243"}</definedName>
    <definedName name="_476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242"}</definedName>
    <definedName name="_476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241"}</definedName>
    <definedName name="_476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240"}</definedName>
    <definedName name="_476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239"}</definedName>
    <definedName name="_476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238"}</definedName>
    <definedName name="_476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237"}</definedName>
    <definedName name="_476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236"}</definedName>
    <definedName name="_476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235"}</definedName>
    <definedName name="_476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234"}</definedName>
    <definedName name="_4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7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233"}</definedName>
    <definedName name="_477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232"}</definedName>
    <definedName name="_477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231"}</definedName>
    <definedName name="_477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230"}</definedName>
    <definedName name="_477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229"}</definedName>
    <definedName name="_477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228"}</definedName>
    <definedName name="_477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227"}</definedName>
    <definedName name="_477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226"}</definedName>
    <definedName name="_477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225"}</definedName>
    <definedName name="_477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224"}</definedName>
    <definedName name="_4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8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223"}</definedName>
    <definedName name="_478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222"}</definedName>
    <definedName name="_478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221"}</definedName>
    <definedName name="_478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220"}</definedName>
    <definedName name="_478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219"}</definedName>
    <definedName name="_478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218"}</definedName>
    <definedName name="_478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217"}</definedName>
    <definedName name="_478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216"}</definedName>
    <definedName name="_478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215"}</definedName>
    <definedName name="_478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214"}</definedName>
    <definedName name="_4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79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213"}</definedName>
    <definedName name="_479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212"}</definedName>
    <definedName name="_479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211"}</definedName>
    <definedName name="_479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210"}</definedName>
    <definedName name="_479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209"}</definedName>
    <definedName name="_479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208"}</definedName>
    <definedName name="_479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207"}</definedName>
    <definedName name="_479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206"}</definedName>
    <definedName name="_479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205"}</definedName>
    <definedName name="_479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204"}</definedName>
    <definedName name="_4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0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203"}</definedName>
    <definedName name="_480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202"}</definedName>
    <definedName name="_480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201"}</definedName>
    <definedName name="_480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200"}</definedName>
    <definedName name="_480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199"}</definedName>
    <definedName name="_480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198"}</definedName>
    <definedName name="_480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197"}</definedName>
    <definedName name="_480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196"}</definedName>
    <definedName name="_480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195"}</definedName>
    <definedName name="_480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194"}</definedName>
    <definedName name="_4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1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193"}</definedName>
    <definedName name="_481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192"}</definedName>
    <definedName name="_481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191"}</definedName>
    <definedName name="_481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190"}</definedName>
    <definedName name="_481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189"}</definedName>
    <definedName name="_481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188"}</definedName>
    <definedName name="_481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187"}</definedName>
    <definedName name="_481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186"}</definedName>
    <definedName name="_481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185"}</definedName>
    <definedName name="_481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184"}</definedName>
    <definedName name="_4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2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183"}</definedName>
    <definedName name="_482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182"}</definedName>
    <definedName name="_482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181"}</definedName>
    <definedName name="_482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180"}</definedName>
    <definedName name="_482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179"}</definedName>
    <definedName name="_482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178"}</definedName>
    <definedName name="_482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177"}</definedName>
    <definedName name="_482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176"}</definedName>
    <definedName name="_482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175"}</definedName>
    <definedName name="_482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174"}</definedName>
    <definedName name="_4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3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173"}</definedName>
    <definedName name="_483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172"}</definedName>
    <definedName name="_483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171"}</definedName>
    <definedName name="_483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170"}</definedName>
    <definedName name="_483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169"}</definedName>
    <definedName name="_483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168"}</definedName>
    <definedName name="_483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167"}</definedName>
    <definedName name="_483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166"}</definedName>
    <definedName name="_483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165"}</definedName>
    <definedName name="_483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164"}</definedName>
    <definedName name="_4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4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163"}</definedName>
    <definedName name="_484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162"}</definedName>
    <definedName name="_484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161"}</definedName>
    <definedName name="_484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160"}</definedName>
    <definedName name="_484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159"}</definedName>
    <definedName name="_484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158"}</definedName>
    <definedName name="_484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157"}</definedName>
    <definedName name="_484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156"}</definedName>
    <definedName name="_484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155"}</definedName>
    <definedName name="_484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154"}</definedName>
    <definedName name="_4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5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153"}</definedName>
    <definedName name="_485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152"}</definedName>
    <definedName name="_485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151"}</definedName>
    <definedName name="_485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150"}</definedName>
    <definedName name="_485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149"}</definedName>
    <definedName name="_485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148"}</definedName>
    <definedName name="_485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147"}</definedName>
    <definedName name="_485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146"}</definedName>
    <definedName name="_485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145"}</definedName>
    <definedName name="_485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144"}</definedName>
    <definedName name="_4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6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143"}</definedName>
    <definedName name="_486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142"}</definedName>
    <definedName name="_486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141"}</definedName>
    <definedName name="_486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140"}</definedName>
    <definedName name="_486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139"}</definedName>
    <definedName name="_486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138"}</definedName>
    <definedName name="_486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137"}</definedName>
    <definedName name="_486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136"}</definedName>
    <definedName name="_486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135"}</definedName>
    <definedName name="_486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134"}</definedName>
    <definedName name="_4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7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133"}</definedName>
    <definedName name="_487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132"}</definedName>
    <definedName name="_487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131"}</definedName>
    <definedName name="_487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130"}</definedName>
    <definedName name="_487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129"}</definedName>
    <definedName name="_487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128"}</definedName>
    <definedName name="_487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127"}</definedName>
    <definedName name="_487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126"}</definedName>
    <definedName name="_487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125"}</definedName>
    <definedName name="_487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124"}</definedName>
    <definedName name="_4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8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123"}</definedName>
    <definedName name="_488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122"}</definedName>
    <definedName name="_488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121"}</definedName>
    <definedName name="_488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120"}</definedName>
    <definedName name="_488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119"}</definedName>
    <definedName name="_488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118"}</definedName>
    <definedName name="_488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117"}</definedName>
    <definedName name="_488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116"}</definedName>
    <definedName name="_488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115"}</definedName>
    <definedName name="_488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114"}</definedName>
    <definedName name="_4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89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113"}</definedName>
    <definedName name="_489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112"}</definedName>
    <definedName name="_489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111"}</definedName>
    <definedName name="_489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110"}</definedName>
    <definedName name="_489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109"}</definedName>
    <definedName name="_489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108"}</definedName>
    <definedName name="_489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107"}</definedName>
    <definedName name="_489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106"}</definedName>
    <definedName name="_489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105"}</definedName>
    <definedName name="_489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104"}</definedName>
    <definedName name="_4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4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0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103"}</definedName>
    <definedName name="_490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102"}</definedName>
    <definedName name="_490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101"}</definedName>
    <definedName name="_490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100"}</definedName>
    <definedName name="_490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99"}</definedName>
    <definedName name="_490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98"}</definedName>
    <definedName name="_490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97"}</definedName>
    <definedName name="_490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96"}</definedName>
    <definedName name="_490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95"}</definedName>
    <definedName name="_490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94"}</definedName>
    <definedName name="_4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1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93"}</definedName>
    <definedName name="_491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92"}</definedName>
    <definedName name="_491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91"}</definedName>
    <definedName name="_491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90"}</definedName>
    <definedName name="_491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89"}</definedName>
    <definedName name="_491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88"}</definedName>
    <definedName name="_491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87"}</definedName>
    <definedName name="_491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86"}</definedName>
    <definedName name="_491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85"}</definedName>
    <definedName name="_491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84"}</definedName>
    <definedName name="_4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2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83"}</definedName>
    <definedName name="_492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82"}</definedName>
    <definedName name="_492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81"}</definedName>
    <definedName name="_492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80"}</definedName>
    <definedName name="_492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79"}</definedName>
    <definedName name="_492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78"}</definedName>
    <definedName name="_492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77"}</definedName>
    <definedName name="_492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76"}</definedName>
    <definedName name="_492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75"}</definedName>
    <definedName name="_492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74"}</definedName>
    <definedName name="_4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3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73"}</definedName>
    <definedName name="_493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72"}</definedName>
    <definedName name="_493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71"}</definedName>
    <definedName name="_493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70"}</definedName>
    <definedName name="_493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69"}</definedName>
    <definedName name="_493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68"}</definedName>
    <definedName name="_493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67"}</definedName>
    <definedName name="_493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66"}</definedName>
    <definedName name="_493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65"}</definedName>
    <definedName name="_493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64"}</definedName>
    <definedName name="_4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4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63"}</definedName>
    <definedName name="_494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62"}</definedName>
    <definedName name="_494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61"}</definedName>
    <definedName name="_494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60"}</definedName>
    <definedName name="_494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59"}</definedName>
    <definedName name="_494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58"}</definedName>
    <definedName name="_494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57"}</definedName>
    <definedName name="_494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56"}</definedName>
    <definedName name="_494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55"}</definedName>
    <definedName name="_494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54"}</definedName>
    <definedName name="_4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5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53"}</definedName>
    <definedName name="_495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52"}</definedName>
    <definedName name="_495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51"}</definedName>
    <definedName name="_495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50"}</definedName>
    <definedName name="_495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49"}</definedName>
    <definedName name="_495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48"}</definedName>
    <definedName name="_495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47"}</definedName>
    <definedName name="_495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46"}</definedName>
    <definedName name="_495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45"}</definedName>
    <definedName name="_495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44"}</definedName>
    <definedName name="_4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6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43"}</definedName>
    <definedName name="_496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42"}</definedName>
    <definedName name="_496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41"}</definedName>
    <definedName name="_496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40"}</definedName>
    <definedName name="_496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39"}</definedName>
    <definedName name="_496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38"}</definedName>
    <definedName name="_496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37"}</definedName>
    <definedName name="_496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36"}</definedName>
    <definedName name="_496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35"}</definedName>
    <definedName name="_496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34"}</definedName>
    <definedName name="_4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7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33"}</definedName>
    <definedName name="_497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32"}</definedName>
    <definedName name="_497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31"}</definedName>
    <definedName name="_497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30"}</definedName>
    <definedName name="_497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29"}</definedName>
    <definedName name="_497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28"}</definedName>
    <definedName name="_497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27"}</definedName>
    <definedName name="_497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26"}</definedName>
    <definedName name="_497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25"}</definedName>
    <definedName name="_497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24"}</definedName>
    <definedName name="_4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8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23"}</definedName>
    <definedName name="_498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22"}</definedName>
    <definedName name="_498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21"}</definedName>
    <definedName name="_498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20"}</definedName>
    <definedName name="_498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19"}</definedName>
    <definedName name="_498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18"}</definedName>
    <definedName name="_498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17"}</definedName>
    <definedName name="_498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16"}</definedName>
    <definedName name="_498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15"}</definedName>
    <definedName name="_498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14"}</definedName>
    <definedName name="_4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499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13"}</definedName>
    <definedName name="_499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12"}</definedName>
    <definedName name="_499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11"}</definedName>
    <definedName name="_4993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10"}</definedName>
    <definedName name="_4994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9"}</definedName>
    <definedName name="_4995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8"}</definedName>
    <definedName name="_4996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7"}</definedName>
    <definedName name="_4997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6"}</definedName>
    <definedName name="_4998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5"}</definedName>
    <definedName name="_4999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4"}</definedName>
    <definedName name="_5__123Graph_ACHART_5" hidden="1">[2]AnnualData!#REF!</definedName>
    <definedName name="_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00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3"}</definedName>
    <definedName name="_5001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2"}</definedName>
    <definedName name="_5002__FDSAUDITLINK__" hidden="1">{"fdsup://directions/FAT Viewer?action=UPDATE&amp;creator=factset&amp;DYN_ARGS=TRUE&amp;DOC_NAME=FAT:FQL_AUDITING_CLIENT_TEMPLATE.FAT&amp;display_string=Audit&amp;VAR:KEY=ZMVCDKTCVK&amp;VAR:QUERY=RkZfRU5UUlBSX1ZBTF9EQUlMWSgxMi8zMS8wOSwwLCwsLCdESUwnKQ==&amp;WINDOW=FIRST_POPUP&amp;HEIGHT=45","0&amp;WIDTH=450&amp;START_MAXIMIZED=FALSE&amp;VAR:CALENDAR=US&amp;VAR:SYMBOL=PNK&amp;VAR:INDEX=1"}</definedName>
    <definedName name="_500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326"}</definedName>
    <definedName name="_500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325"}</definedName>
    <definedName name="_500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324"}</definedName>
    <definedName name="_500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323"}</definedName>
    <definedName name="_500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322"}</definedName>
    <definedName name="_500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321"}</definedName>
    <definedName name="_500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320"}</definedName>
    <definedName name="_5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1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319"}</definedName>
    <definedName name="_501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318"}</definedName>
    <definedName name="_501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317"}</definedName>
    <definedName name="_501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316"}</definedName>
    <definedName name="_501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315"}</definedName>
    <definedName name="_501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314"}</definedName>
    <definedName name="_501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313"}</definedName>
    <definedName name="_501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312"}</definedName>
    <definedName name="_501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311"}</definedName>
    <definedName name="_501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310"}</definedName>
    <definedName name="_5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2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309"}</definedName>
    <definedName name="_502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308"}</definedName>
    <definedName name="_502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307"}</definedName>
    <definedName name="_502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306"}</definedName>
    <definedName name="_502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305"}</definedName>
    <definedName name="_502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304"}</definedName>
    <definedName name="_502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303"}</definedName>
    <definedName name="_502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302"}</definedName>
    <definedName name="_502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301"}</definedName>
    <definedName name="_502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300"}</definedName>
    <definedName name="_5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3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299"}</definedName>
    <definedName name="_503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298"}</definedName>
    <definedName name="_503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297"}</definedName>
    <definedName name="_503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296"}</definedName>
    <definedName name="_503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295"}</definedName>
    <definedName name="_503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294"}</definedName>
    <definedName name="_503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293"}</definedName>
    <definedName name="_503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292"}</definedName>
    <definedName name="_503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291"}</definedName>
    <definedName name="_503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290"}</definedName>
    <definedName name="_5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4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289"}</definedName>
    <definedName name="_504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288"}</definedName>
    <definedName name="_504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287"}</definedName>
    <definedName name="_504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286"}</definedName>
    <definedName name="_504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285"}</definedName>
    <definedName name="_504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284"}</definedName>
    <definedName name="_504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283"}</definedName>
    <definedName name="_504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282"}</definedName>
    <definedName name="_504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281"}</definedName>
    <definedName name="_504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280"}</definedName>
    <definedName name="_5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5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279"}</definedName>
    <definedName name="_505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278"}</definedName>
    <definedName name="_505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277"}</definedName>
    <definedName name="_505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276"}</definedName>
    <definedName name="_505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275"}</definedName>
    <definedName name="_505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274"}</definedName>
    <definedName name="_505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273"}</definedName>
    <definedName name="_505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272"}</definedName>
    <definedName name="_505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271"}</definedName>
    <definedName name="_505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270"}</definedName>
    <definedName name="_5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6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269"}</definedName>
    <definedName name="_506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268"}</definedName>
    <definedName name="_506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267"}</definedName>
    <definedName name="_506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266"}</definedName>
    <definedName name="_506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265"}</definedName>
    <definedName name="_506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264"}</definedName>
    <definedName name="_506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263"}</definedName>
    <definedName name="_506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262"}</definedName>
    <definedName name="_506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261"}</definedName>
    <definedName name="_506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260"}</definedName>
    <definedName name="_5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7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259"}</definedName>
    <definedName name="_507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258"}</definedName>
    <definedName name="_507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257"}</definedName>
    <definedName name="_507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256"}</definedName>
    <definedName name="_507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255"}</definedName>
    <definedName name="_507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254"}</definedName>
    <definedName name="_507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253"}</definedName>
    <definedName name="_507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252"}</definedName>
    <definedName name="_507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251"}</definedName>
    <definedName name="_507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250"}</definedName>
    <definedName name="_5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8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249"}</definedName>
    <definedName name="_508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248"}</definedName>
    <definedName name="_508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247"}</definedName>
    <definedName name="_508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246"}</definedName>
    <definedName name="_508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245"}</definedName>
    <definedName name="_508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244"}</definedName>
    <definedName name="_508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243"}</definedName>
    <definedName name="_508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242"}</definedName>
    <definedName name="_508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241"}</definedName>
    <definedName name="_508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240"}</definedName>
    <definedName name="_5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09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239"}</definedName>
    <definedName name="_509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238"}</definedName>
    <definedName name="_509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237"}</definedName>
    <definedName name="_509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236"}</definedName>
    <definedName name="_509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235"}</definedName>
    <definedName name="_509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234"}</definedName>
    <definedName name="_509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233"}</definedName>
    <definedName name="_509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232"}</definedName>
    <definedName name="_509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231"}</definedName>
    <definedName name="_509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230"}</definedName>
    <definedName name="_5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0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229"}</definedName>
    <definedName name="_510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228"}</definedName>
    <definedName name="_510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227"}</definedName>
    <definedName name="_510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226"}</definedName>
    <definedName name="_510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225"}</definedName>
    <definedName name="_510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224"}</definedName>
    <definedName name="_510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223"}</definedName>
    <definedName name="_510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222"}</definedName>
    <definedName name="_510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221"}</definedName>
    <definedName name="_510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220"}</definedName>
    <definedName name="_5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1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219"}</definedName>
    <definedName name="_511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218"}</definedName>
    <definedName name="_511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217"}</definedName>
    <definedName name="_511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216"}</definedName>
    <definedName name="_511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215"}</definedName>
    <definedName name="_511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214"}</definedName>
    <definedName name="_511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213"}</definedName>
    <definedName name="_511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212"}</definedName>
    <definedName name="_511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211"}</definedName>
    <definedName name="_511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210"}</definedName>
    <definedName name="_5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2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209"}</definedName>
    <definedName name="_512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208"}</definedName>
    <definedName name="_512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207"}</definedName>
    <definedName name="_512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206"}</definedName>
    <definedName name="_512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205"}</definedName>
    <definedName name="_512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204"}</definedName>
    <definedName name="_512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203"}</definedName>
    <definedName name="_512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202"}</definedName>
    <definedName name="_512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201"}</definedName>
    <definedName name="_512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200"}</definedName>
    <definedName name="_5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3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199"}</definedName>
    <definedName name="_513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198"}</definedName>
    <definedName name="_513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197"}</definedName>
    <definedName name="_513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196"}</definedName>
    <definedName name="_513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195"}</definedName>
    <definedName name="_513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194"}</definedName>
    <definedName name="_513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193"}</definedName>
    <definedName name="_513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192"}</definedName>
    <definedName name="_513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191"}</definedName>
    <definedName name="_513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190"}</definedName>
    <definedName name="_5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4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189"}</definedName>
    <definedName name="_514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188"}</definedName>
    <definedName name="_514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187"}</definedName>
    <definedName name="_514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186"}</definedName>
    <definedName name="_514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185"}</definedName>
    <definedName name="_514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184"}</definedName>
    <definedName name="_514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183"}</definedName>
    <definedName name="_514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182"}</definedName>
    <definedName name="_514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181"}</definedName>
    <definedName name="_514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180"}</definedName>
    <definedName name="_5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5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179"}</definedName>
    <definedName name="_515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178"}</definedName>
    <definedName name="_515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177"}</definedName>
    <definedName name="_515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176"}</definedName>
    <definedName name="_515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175"}</definedName>
    <definedName name="_515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174"}</definedName>
    <definedName name="_515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173"}</definedName>
    <definedName name="_515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172"}</definedName>
    <definedName name="_515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171"}</definedName>
    <definedName name="_515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170"}</definedName>
    <definedName name="_5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6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169"}</definedName>
    <definedName name="_516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168"}</definedName>
    <definedName name="_516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167"}</definedName>
    <definedName name="_516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166"}</definedName>
    <definedName name="_516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165"}</definedName>
    <definedName name="_516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164"}</definedName>
    <definedName name="_516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163"}</definedName>
    <definedName name="_516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162"}</definedName>
    <definedName name="_516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161"}</definedName>
    <definedName name="_516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160"}</definedName>
    <definedName name="_5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7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159"}</definedName>
    <definedName name="_517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158"}</definedName>
    <definedName name="_517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157"}</definedName>
    <definedName name="_517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156"}</definedName>
    <definedName name="_517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155"}</definedName>
    <definedName name="_517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154"}</definedName>
    <definedName name="_517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153"}</definedName>
    <definedName name="_517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152"}</definedName>
    <definedName name="_517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151"}</definedName>
    <definedName name="_517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150"}</definedName>
    <definedName name="_5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8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149"}</definedName>
    <definedName name="_518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148"}</definedName>
    <definedName name="_518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147"}</definedName>
    <definedName name="_518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146"}</definedName>
    <definedName name="_518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145"}</definedName>
    <definedName name="_518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144"}</definedName>
    <definedName name="_518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143"}</definedName>
    <definedName name="_518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142"}</definedName>
    <definedName name="_518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141"}</definedName>
    <definedName name="_518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140"}</definedName>
    <definedName name="_5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19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139"}</definedName>
    <definedName name="_519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138"}</definedName>
    <definedName name="_519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137"}</definedName>
    <definedName name="_519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136"}</definedName>
    <definedName name="_519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135"}</definedName>
    <definedName name="_519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134"}</definedName>
    <definedName name="_519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133"}</definedName>
    <definedName name="_519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132"}</definedName>
    <definedName name="_519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131"}</definedName>
    <definedName name="_519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130"}</definedName>
    <definedName name="_5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0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129"}</definedName>
    <definedName name="_520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128"}</definedName>
    <definedName name="_520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127"}</definedName>
    <definedName name="_520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126"}</definedName>
    <definedName name="_520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125"}</definedName>
    <definedName name="_520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124"}</definedName>
    <definedName name="_520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123"}</definedName>
    <definedName name="_520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122"}</definedName>
    <definedName name="_520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121"}</definedName>
    <definedName name="_520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120"}</definedName>
    <definedName name="_5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1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119"}</definedName>
    <definedName name="_521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118"}</definedName>
    <definedName name="_521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117"}</definedName>
    <definedName name="_521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116"}</definedName>
    <definedName name="_521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115"}</definedName>
    <definedName name="_521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114"}</definedName>
    <definedName name="_521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113"}</definedName>
    <definedName name="_521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112"}</definedName>
    <definedName name="_521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111"}</definedName>
    <definedName name="_521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110"}</definedName>
    <definedName name="_5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2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109"}</definedName>
    <definedName name="_522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108"}</definedName>
    <definedName name="_522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107"}</definedName>
    <definedName name="_522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106"}</definedName>
    <definedName name="_522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105"}</definedName>
    <definedName name="_522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104"}</definedName>
    <definedName name="_522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103"}</definedName>
    <definedName name="_522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102"}</definedName>
    <definedName name="_522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101"}</definedName>
    <definedName name="_522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100"}</definedName>
    <definedName name="_5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3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99"}</definedName>
    <definedName name="_523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98"}</definedName>
    <definedName name="_523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97"}</definedName>
    <definedName name="_523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96"}</definedName>
    <definedName name="_523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95"}</definedName>
    <definedName name="_523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94"}</definedName>
    <definedName name="_523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93"}</definedName>
    <definedName name="_523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92"}</definedName>
    <definedName name="_523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91"}</definedName>
    <definedName name="_523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90"}</definedName>
    <definedName name="_5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4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89"}</definedName>
    <definedName name="_524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88"}</definedName>
    <definedName name="_524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87"}</definedName>
    <definedName name="_524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86"}</definedName>
    <definedName name="_524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85"}</definedName>
    <definedName name="_524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84"}</definedName>
    <definedName name="_524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83"}</definedName>
    <definedName name="_524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82"}</definedName>
    <definedName name="_524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81"}</definedName>
    <definedName name="_524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80"}</definedName>
    <definedName name="_5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5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79"}</definedName>
    <definedName name="_525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78"}</definedName>
    <definedName name="_525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77"}</definedName>
    <definedName name="_525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76"}</definedName>
    <definedName name="_525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75"}</definedName>
    <definedName name="_525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74"}</definedName>
    <definedName name="_525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73"}</definedName>
    <definedName name="_525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72"}</definedName>
    <definedName name="_525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71"}</definedName>
    <definedName name="_525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70"}</definedName>
    <definedName name="_5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6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69"}</definedName>
    <definedName name="_526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68"}</definedName>
    <definedName name="_526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67"}</definedName>
    <definedName name="_526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66"}</definedName>
    <definedName name="_526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65"}</definedName>
    <definedName name="_526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64"}</definedName>
    <definedName name="_526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63"}</definedName>
    <definedName name="_526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62"}</definedName>
    <definedName name="_526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61"}</definedName>
    <definedName name="_526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60"}</definedName>
    <definedName name="_5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7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59"}</definedName>
    <definedName name="_527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58"}</definedName>
    <definedName name="_527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57"}</definedName>
    <definedName name="_527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56"}</definedName>
    <definedName name="_527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55"}</definedName>
    <definedName name="_527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54"}</definedName>
    <definedName name="_527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53"}</definedName>
    <definedName name="_527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52"}</definedName>
    <definedName name="_527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51"}</definedName>
    <definedName name="_527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50"}</definedName>
    <definedName name="_5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8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49"}</definedName>
    <definedName name="_528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48"}</definedName>
    <definedName name="_528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47"}</definedName>
    <definedName name="_528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46"}</definedName>
    <definedName name="_528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45"}</definedName>
    <definedName name="_528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44"}</definedName>
    <definedName name="_528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43"}</definedName>
    <definedName name="_528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42"}</definedName>
    <definedName name="_528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41"}</definedName>
    <definedName name="_528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40"}</definedName>
    <definedName name="_5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29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39"}</definedName>
    <definedName name="_529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38"}</definedName>
    <definedName name="_529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37"}</definedName>
    <definedName name="_529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36"}</definedName>
    <definedName name="_529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35"}</definedName>
    <definedName name="_529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34"}</definedName>
    <definedName name="_529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33"}</definedName>
    <definedName name="_529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32"}</definedName>
    <definedName name="_529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31"}</definedName>
    <definedName name="_529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30"}</definedName>
    <definedName name="_5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0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29"}</definedName>
    <definedName name="_530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28"}</definedName>
    <definedName name="_530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27"}</definedName>
    <definedName name="_530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26"}</definedName>
    <definedName name="_530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25"}</definedName>
    <definedName name="_530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24"}</definedName>
    <definedName name="_530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23"}</definedName>
    <definedName name="_530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22"}</definedName>
    <definedName name="_530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21"}</definedName>
    <definedName name="_530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20"}</definedName>
    <definedName name="_5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1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19"}</definedName>
    <definedName name="_531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18"}</definedName>
    <definedName name="_531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17"}</definedName>
    <definedName name="_531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16"}</definedName>
    <definedName name="_531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15"}</definedName>
    <definedName name="_531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14"}</definedName>
    <definedName name="_531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13"}</definedName>
    <definedName name="_531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12"}</definedName>
    <definedName name="_531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11"}</definedName>
    <definedName name="_5319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10"}</definedName>
    <definedName name="_5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20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9"}</definedName>
    <definedName name="_5321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8"}</definedName>
    <definedName name="_5322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7"}</definedName>
    <definedName name="_5323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6"}</definedName>
    <definedName name="_5324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5"}</definedName>
    <definedName name="_5325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4"}</definedName>
    <definedName name="_5326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3"}</definedName>
    <definedName name="_5327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2"}</definedName>
    <definedName name="_5328__FDSAUDITLINK__" hidden="1">{"fdsup://directions/FAT Viewer?action=UPDATE&amp;creator=factset&amp;DYN_ARGS=TRUE&amp;DOC_NAME=FAT:FQL_AUDITING_CLIENT_TEMPLATE.FAT&amp;display_string=Audit&amp;VAR:KEY=LCJYNQPSXM&amp;VAR:QUERY=RkZfRU5UUlBSX1ZBTF9EQUlMWSgxMi8zMS8wOSwwLCwsLCdESUwnKQ==&amp;WINDOW=FIRST_POPUP&amp;HEIGHT=45","0&amp;WIDTH=450&amp;START_MAXIMIZED=FALSE&amp;VAR:CALENDAR=US&amp;VAR:SYMBOL=ASCA&amp;VAR:INDEX=1"}</definedName>
    <definedName name="_532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326"}</definedName>
    <definedName name="_5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3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325"}</definedName>
    <definedName name="_533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324"}</definedName>
    <definedName name="_533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323"}</definedName>
    <definedName name="_533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322"}</definedName>
    <definedName name="_533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321"}</definedName>
    <definedName name="_533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320"}</definedName>
    <definedName name="_533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319"}</definedName>
    <definedName name="_533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318"}</definedName>
    <definedName name="_533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317"}</definedName>
    <definedName name="_533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316"}</definedName>
    <definedName name="_5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4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315"}</definedName>
    <definedName name="_534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314"}</definedName>
    <definedName name="_534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313"}</definedName>
    <definedName name="_534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312"}</definedName>
    <definedName name="_534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311"}</definedName>
    <definedName name="_534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310"}</definedName>
    <definedName name="_534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309"}</definedName>
    <definedName name="_534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308"}</definedName>
    <definedName name="_534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307"}</definedName>
    <definedName name="_534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306"}</definedName>
    <definedName name="_5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5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305"}</definedName>
    <definedName name="_535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304"}</definedName>
    <definedName name="_535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303"}</definedName>
    <definedName name="_535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302"}</definedName>
    <definedName name="_535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301"}</definedName>
    <definedName name="_535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300"}</definedName>
    <definedName name="_535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299"}</definedName>
    <definedName name="_535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298"}</definedName>
    <definedName name="_535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297"}</definedName>
    <definedName name="_535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296"}</definedName>
    <definedName name="_5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6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295"}</definedName>
    <definedName name="_536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294"}</definedName>
    <definedName name="_536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293"}</definedName>
    <definedName name="_536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292"}</definedName>
    <definedName name="_536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291"}</definedName>
    <definedName name="_536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290"}</definedName>
    <definedName name="_536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289"}</definedName>
    <definedName name="_536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288"}</definedName>
    <definedName name="_536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287"}</definedName>
    <definedName name="_536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286"}</definedName>
    <definedName name="_5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7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285"}</definedName>
    <definedName name="_537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284"}</definedName>
    <definedName name="_537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283"}</definedName>
    <definedName name="_537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282"}</definedName>
    <definedName name="_537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281"}</definedName>
    <definedName name="_537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280"}</definedName>
    <definedName name="_537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279"}</definedName>
    <definedName name="_537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278"}</definedName>
    <definedName name="_537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277"}</definedName>
    <definedName name="_537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276"}</definedName>
    <definedName name="_5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8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275"}</definedName>
    <definedName name="_538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274"}</definedName>
    <definedName name="_538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273"}</definedName>
    <definedName name="_538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272"}</definedName>
    <definedName name="_538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271"}</definedName>
    <definedName name="_538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270"}</definedName>
    <definedName name="_538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269"}</definedName>
    <definedName name="_538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268"}</definedName>
    <definedName name="_538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267"}</definedName>
    <definedName name="_538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266"}</definedName>
    <definedName name="_5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39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265"}</definedName>
    <definedName name="_539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264"}</definedName>
    <definedName name="_539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263"}</definedName>
    <definedName name="_539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262"}</definedName>
    <definedName name="_539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261"}</definedName>
    <definedName name="_539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260"}</definedName>
    <definedName name="_539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259"}</definedName>
    <definedName name="_539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258"}</definedName>
    <definedName name="_539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257"}</definedName>
    <definedName name="_539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256"}</definedName>
    <definedName name="_5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0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255"}</definedName>
    <definedName name="_540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254"}</definedName>
    <definedName name="_540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253"}</definedName>
    <definedName name="_540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252"}</definedName>
    <definedName name="_540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251"}</definedName>
    <definedName name="_540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250"}</definedName>
    <definedName name="_540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249"}</definedName>
    <definedName name="_540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248"}</definedName>
    <definedName name="_540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247"}</definedName>
    <definedName name="_540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246"}</definedName>
    <definedName name="_5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1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245"}</definedName>
    <definedName name="_541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244"}</definedName>
    <definedName name="_541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243"}</definedName>
    <definedName name="_541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242"}</definedName>
    <definedName name="_541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241"}</definedName>
    <definedName name="_541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240"}</definedName>
    <definedName name="_541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239"}</definedName>
    <definedName name="_541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238"}</definedName>
    <definedName name="_541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237"}</definedName>
    <definedName name="_541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236"}</definedName>
    <definedName name="_5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2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235"}</definedName>
    <definedName name="_542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234"}</definedName>
    <definedName name="_542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233"}</definedName>
    <definedName name="_542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232"}</definedName>
    <definedName name="_542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231"}</definedName>
    <definedName name="_542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230"}</definedName>
    <definedName name="_542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229"}</definedName>
    <definedName name="_542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228"}</definedName>
    <definedName name="_542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227"}</definedName>
    <definedName name="_542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226"}</definedName>
    <definedName name="_5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3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225"}</definedName>
    <definedName name="_543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224"}</definedName>
    <definedName name="_543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223"}</definedName>
    <definedName name="_543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222"}</definedName>
    <definedName name="_543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221"}</definedName>
    <definedName name="_543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220"}</definedName>
    <definedName name="_543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219"}</definedName>
    <definedName name="_543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218"}</definedName>
    <definedName name="_543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217"}</definedName>
    <definedName name="_543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216"}</definedName>
    <definedName name="_5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4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215"}</definedName>
    <definedName name="_544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214"}</definedName>
    <definedName name="_544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213"}</definedName>
    <definedName name="_544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212"}</definedName>
    <definedName name="_544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211"}</definedName>
    <definedName name="_544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210"}</definedName>
    <definedName name="_544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209"}</definedName>
    <definedName name="_544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208"}</definedName>
    <definedName name="_544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207"}</definedName>
    <definedName name="_544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206"}</definedName>
    <definedName name="_5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5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205"}</definedName>
    <definedName name="_545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204"}</definedName>
    <definedName name="_545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203"}</definedName>
    <definedName name="_545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202"}</definedName>
    <definedName name="_545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201"}</definedName>
    <definedName name="_545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200"}</definedName>
    <definedName name="_545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199"}</definedName>
    <definedName name="_545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198"}</definedName>
    <definedName name="_545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197"}</definedName>
    <definedName name="_545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196"}</definedName>
    <definedName name="_5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6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195"}</definedName>
    <definedName name="_546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194"}</definedName>
    <definedName name="_546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193"}</definedName>
    <definedName name="_546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192"}</definedName>
    <definedName name="_546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191"}</definedName>
    <definedName name="_546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190"}</definedName>
    <definedName name="_546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189"}</definedName>
    <definedName name="_546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188"}</definedName>
    <definedName name="_546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187"}</definedName>
    <definedName name="_546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186"}</definedName>
    <definedName name="_5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7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185"}</definedName>
    <definedName name="_547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184"}</definedName>
    <definedName name="_547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183"}</definedName>
    <definedName name="_547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182"}</definedName>
    <definedName name="_547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181"}</definedName>
    <definedName name="_547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180"}</definedName>
    <definedName name="_547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179"}</definedName>
    <definedName name="_547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178"}</definedName>
    <definedName name="_547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177"}</definedName>
    <definedName name="_547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176"}</definedName>
    <definedName name="_5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8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175"}</definedName>
    <definedName name="_548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174"}</definedName>
    <definedName name="_548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173"}</definedName>
    <definedName name="_548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172"}</definedName>
    <definedName name="_548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171"}</definedName>
    <definedName name="_548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170"}</definedName>
    <definedName name="_548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169"}</definedName>
    <definedName name="_548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168"}</definedName>
    <definedName name="_548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167"}</definedName>
    <definedName name="_548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166"}</definedName>
    <definedName name="_5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49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165"}</definedName>
    <definedName name="_549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164"}</definedName>
    <definedName name="_549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163"}</definedName>
    <definedName name="_549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162"}</definedName>
    <definedName name="_549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161"}</definedName>
    <definedName name="_549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160"}</definedName>
    <definedName name="_549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159"}</definedName>
    <definedName name="_549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158"}</definedName>
    <definedName name="_549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157"}</definedName>
    <definedName name="_549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156"}</definedName>
    <definedName name="_5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0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155"}</definedName>
    <definedName name="_550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154"}</definedName>
    <definedName name="_550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153"}</definedName>
    <definedName name="_550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152"}</definedName>
    <definedName name="_550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151"}</definedName>
    <definedName name="_550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150"}</definedName>
    <definedName name="_550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149"}</definedName>
    <definedName name="_550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148"}</definedName>
    <definedName name="_550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147"}</definedName>
    <definedName name="_550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146"}</definedName>
    <definedName name="_5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1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145"}</definedName>
    <definedName name="_551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144"}</definedName>
    <definedName name="_551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143"}</definedName>
    <definedName name="_551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142"}</definedName>
    <definedName name="_551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141"}</definedName>
    <definedName name="_551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140"}</definedName>
    <definedName name="_551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139"}</definedName>
    <definedName name="_551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138"}</definedName>
    <definedName name="_551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137"}</definedName>
    <definedName name="_551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136"}</definedName>
    <definedName name="_5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2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135"}</definedName>
    <definedName name="_552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134"}</definedName>
    <definedName name="_552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133"}</definedName>
    <definedName name="_552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132"}</definedName>
    <definedName name="_552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131"}</definedName>
    <definedName name="_552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130"}</definedName>
    <definedName name="_552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129"}</definedName>
    <definedName name="_552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128"}</definedName>
    <definedName name="_552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127"}</definedName>
    <definedName name="_552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126"}</definedName>
    <definedName name="_5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3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125"}</definedName>
    <definedName name="_553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124"}</definedName>
    <definedName name="_553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123"}</definedName>
    <definedName name="_553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122"}</definedName>
    <definedName name="_553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121"}</definedName>
    <definedName name="_553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120"}</definedName>
    <definedName name="_553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119"}</definedName>
    <definedName name="_553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118"}</definedName>
    <definedName name="_553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117"}</definedName>
    <definedName name="_553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116"}</definedName>
    <definedName name="_5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4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115"}</definedName>
    <definedName name="_554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114"}</definedName>
    <definedName name="_554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113"}</definedName>
    <definedName name="_554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112"}</definedName>
    <definedName name="_554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111"}</definedName>
    <definedName name="_554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110"}</definedName>
    <definedName name="_554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109"}</definedName>
    <definedName name="_554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108"}</definedName>
    <definedName name="_554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107"}</definedName>
    <definedName name="_554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106"}</definedName>
    <definedName name="_5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5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105"}</definedName>
    <definedName name="_555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104"}</definedName>
    <definedName name="_555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103"}</definedName>
    <definedName name="_555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102"}</definedName>
    <definedName name="_555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101"}</definedName>
    <definedName name="_555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100"}</definedName>
    <definedName name="_555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99"}</definedName>
    <definedName name="_555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98"}</definedName>
    <definedName name="_555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97"}</definedName>
    <definedName name="_555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96"}</definedName>
    <definedName name="_5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6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95"}</definedName>
    <definedName name="_556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94"}</definedName>
    <definedName name="_556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93"}</definedName>
    <definedName name="_556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92"}</definedName>
    <definedName name="_556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91"}</definedName>
    <definedName name="_556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90"}</definedName>
    <definedName name="_556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89"}</definedName>
    <definedName name="_556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88"}</definedName>
    <definedName name="_556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87"}</definedName>
    <definedName name="_556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86"}</definedName>
    <definedName name="_5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7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85"}</definedName>
    <definedName name="_557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84"}</definedName>
    <definedName name="_557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83"}</definedName>
    <definedName name="_557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82"}</definedName>
    <definedName name="_557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81"}</definedName>
    <definedName name="_557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80"}</definedName>
    <definedName name="_557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79"}</definedName>
    <definedName name="_557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78"}</definedName>
    <definedName name="_557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77"}</definedName>
    <definedName name="_557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76"}</definedName>
    <definedName name="_5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8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75"}</definedName>
    <definedName name="_558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74"}</definedName>
    <definedName name="_558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73"}</definedName>
    <definedName name="_558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72"}</definedName>
    <definedName name="_558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71"}</definedName>
    <definedName name="_558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70"}</definedName>
    <definedName name="_558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69"}</definedName>
    <definedName name="_558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68"}</definedName>
    <definedName name="_558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67"}</definedName>
    <definedName name="_558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66"}</definedName>
    <definedName name="_5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59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65"}</definedName>
    <definedName name="_559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64"}</definedName>
    <definedName name="_559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63"}</definedName>
    <definedName name="_559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62"}</definedName>
    <definedName name="_559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61"}</definedName>
    <definedName name="_559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60"}</definedName>
    <definedName name="_559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59"}</definedName>
    <definedName name="_559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58"}</definedName>
    <definedName name="_559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57"}</definedName>
    <definedName name="_559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56"}</definedName>
    <definedName name="_5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0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55"}</definedName>
    <definedName name="_560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54"}</definedName>
    <definedName name="_560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53"}</definedName>
    <definedName name="_560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52"}</definedName>
    <definedName name="_560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51"}</definedName>
    <definedName name="_560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50"}</definedName>
    <definedName name="_560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49"}</definedName>
    <definedName name="_560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48"}</definedName>
    <definedName name="_560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47"}</definedName>
    <definedName name="_560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46"}</definedName>
    <definedName name="_5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1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45"}</definedName>
    <definedName name="_561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44"}</definedName>
    <definedName name="_561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43"}</definedName>
    <definedName name="_561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42"}</definedName>
    <definedName name="_561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41"}</definedName>
    <definedName name="_561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40"}</definedName>
    <definedName name="_561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39"}</definedName>
    <definedName name="_561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38"}</definedName>
    <definedName name="_561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37"}</definedName>
    <definedName name="_561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36"}</definedName>
    <definedName name="_5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2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35"}</definedName>
    <definedName name="_562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34"}</definedName>
    <definedName name="_562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33"}</definedName>
    <definedName name="_562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32"}</definedName>
    <definedName name="_562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31"}</definedName>
    <definedName name="_562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30"}</definedName>
    <definedName name="_562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29"}</definedName>
    <definedName name="_562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28"}</definedName>
    <definedName name="_562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27"}</definedName>
    <definedName name="_562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26"}</definedName>
    <definedName name="_5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3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25"}</definedName>
    <definedName name="_563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24"}</definedName>
    <definedName name="_563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23"}</definedName>
    <definedName name="_563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22"}</definedName>
    <definedName name="_563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21"}</definedName>
    <definedName name="_563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20"}</definedName>
    <definedName name="_563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19"}</definedName>
    <definedName name="_563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18"}</definedName>
    <definedName name="_563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17"}</definedName>
    <definedName name="_563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16"}</definedName>
    <definedName name="_5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4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15"}</definedName>
    <definedName name="_564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14"}</definedName>
    <definedName name="_564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13"}</definedName>
    <definedName name="_564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12"}</definedName>
    <definedName name="_564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11"}</definedName>
    <definedName name="_5645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10"}</definedName>
    <definedName name="_5646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9"}</definedName>
    <definedName name="_5647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8"}</definedName>
    <definedName name="_5648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7"}</definedName>
    <definedName name="_5649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6"}</definedName>
    <definedName name="_5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50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5"}</definedName>
    <definedName name="_5651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4"}</definedName>
    <definedName name="_5652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3"}</definedName>
    <definedName name="_5653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2"}</definedName>
    <definedName name="_5654__FDSAUDITLINK__" hidden="1">{"fdsup://directions/FAT Viewer?action=UPDATE&amp;creator=factset&amp;DYN_ARGS=TRUE&amp;DOC_NAME=FAT:FQL_AUDITING_CLIENT_TEMPLATE.FAT&amp;display_string=Audit&amp;VAR:KEY=JOBCPYFONA&amp;VAR:QUERY=RkZfRU5UUlBSX1ZBTF9EQUlMWSgxMi8zMS8wOSwwLCwsLCdESUwnKQ==&amp;WINDOW=FIRST_POPUP&amp;HEIGHT=45","0&amp;WIDTH=450&amp;START_MAXIMIZED=FALSE&amp;VAR:CALENDAR=US&amp;VAR:SYMBOL=ISLE&amp;VAR:INDEX=1"}</definedName>
    <definedName name="_5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5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5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__123Graph_ACHART_21A" hidden="1">#REF!</definedName>
    <definedName name="_6__123Graph_ACHART_8A" hidden="1">[5]SHELL!#REF!</definedName>
    <definedName name="_6__123Graph_BCHART_1" hidden="1">[2]AnnualData!#REF!</definedName>
    <definedName name="_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6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6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__123Graph_BCHART_2" hidden="1">[2]AnnualData!#REF!</definedName>
    <definedName name="_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7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7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__123Graph_BCHART_3" hidden="1">[2]AnnualData!#REF!</definedName>
    <definedName name="_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8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8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__123Graph_ACHART_8A" hidden="1">#REF!</definedName>
    <definedName name="_9__123Graph_BCHART_21A" hidden="1">[5]SHELL!#REF!</definedName>
    <definedName name="_9__123Graph_BCHART_4" hidden="1">[2]AnnualData!#REF!</definedName>
    <definedName name="_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0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0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0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1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1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2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2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3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3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4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4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5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5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6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6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7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7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8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8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__FDSAUDITLINK__" hidden="1">{"fdsup://directions/FAT Viewer?action=UPDATE&amp;creator=factset&amp;DYN_ARGS=TRUE&amp;DOC_NAME=FAT:FQL_AUDITING_CLIENT_TEMPLATE.FAT&amp;display_string=Audit&amp;VAR:KEY=PCJSVKRMHQ&amp;VAR:QUERY=RkZfRU5UUlBSX1ZBTF9EQUlMWSgwLCwsUkYsVVNELCdESUwnKQ==&amp;WINDOW=FIRST_POPUP&amp;HEIGHT=450&amp;WI","DTH=450&amp;START_MAXIMIZED=FALSE&amp;VAR:CALENDAR=US&amp;VAR:SYMBOL=PENN&amp;VAR:INDEX=0"}</definedName>
    <definedName name="_990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1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2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3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4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5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6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7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8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999__FDSAUDITLINK__" hidden="1">{"fdsup://directions/FAT Viewer?action=UPDATE&amp;creator=factset&amp;DYN_ARGS=TRUE&amp;DOC_NAME=FAT:FQL_AUDITING_CLIENT_TEMPLATE.FAT&amp;display_string=Audit&amp;VAR:KEY=NILKVMLQXO&amp;VAR:QUERY=RkZfRU5UUlBSX1ZBTF9EQUlMWSgwLCwsUkYsVVNELCdESUwnKQ==&amp;WINDOW=FIRST_POPUP&amp;HEIGHT=450&amp;WI","DTH=450&amp;START_MAXIMIZED=FALSE&amp;VAR:CALENDAR=US&amp;VAR:SYMBOL=PENN&amp;VAR:INDEX=0"}</definedName>
    <definedName name="_AMO_UniqueIdentifier" hidden="1">"'2995e12c-7f92-4103-a2d1-a1d598d57c6f'"</definedName>
    <definedName name="_bdm.050D39CD650D4F2095D8D24650D7326B.edm" hidden="1">'[6]Win per Visitor'!$A:$IV</definedName>
    <definedName name="_bdm.2A10043F760B4BDFB6F9D8DB5014AD69.edm" hidden="1">'[6]Mainland China Visitors'!$A:$IV</definedName>
    <definedName name="_bdm.2f0c33c45fc4427188b658d880679d79.edm" hidden="1">#REF!</definedName>
    <definedName name="_bdm.30AE078D04674B0581A83DC0BB71CAE9.edm" hidden="1">[6]Charts2!$A:$IV</definedName>
    <definedName name="_bdm.400015F9721047F2AE12F65177C08B38.edm" hidden="1">[6]Timeline!$A:$IV</definedName>
    <definedName name="_bdm.408316A99C924475A002B539D6B19081.edm" hidden="1">#REF!</definedName>
    <definedName name="_bdm.607844024ECD4A758B546863D50AC585.edm" hidden="1">[6]Gaming!$A:$IV</definedName>
    <definedName name="_bdm.69ff8124854c477c8c8563441eacb92c.edm" hidden="1">#REF!</definedName>
    <definedName name="_bdm.6C3132C4E18240B19A2542E06B6496E8.edm" hidden="1">'[6]Gaming Detail'!$A:$IV</definedName>
    <definedName name="_bdm.7aa09ccb15674275a58594d0cd24222d.edm" hidden="1">#REF!</definedName>
    <definedName name="_bdm.9083CA28584C43EE98009F3577D43C4B.edm" hidden="1">[6]Exhibits!$A:$IV</definedName>
    <definedName name="_bdm.a484fe9deb4b45a5aa77cb80f367a57e.edm" hidden="1">#REF!</definedName>
    <definedName name="_bdm.A9747668DA694B539C05FB076C09D3D2.edm" hidden="1">#REF!</definedName>
    <definedName name="_bdm.AA02C9D3B8C541E8BBDF9C677034FBDA.edm" hidden="1">'[6]Monthly Data'!$A:$IV</definedName>
    <definedName name="_bdm.ACC583D0D3094FA89BCB4D4AEC1005C1.edm" hidden="1">[6]IVS!$A:$IV</definedName>
    <definedName name="_bdm.AE6209C86C4741CFBFB6DD9A1DBF58D1.edm" hidden="1">[6]Charts!$A:$IV</definedName>
    <definedName name="_bdm.CF80122F6E9B4FFC98957A0CF584493D.edm" hidden="1">'[6]Macau Market Share'!$A:$IV</definedName>
    <definedName name="_bdm.E0A73A124C724002A7E42D1DD632219A.edm" hidden="1">[6]Sensitivity!$A:$IV</definedName>
    <definedName name="_ct2" hidden="1">{"Qtr Op Mgd Q3",#N/A,FALSE,"Qtr-Op (Mng)";"Qtr Op Rpt Q3",#N/A,FALSE,"Qtr-Op (Rpt)";"Operating Vs Reported",#N/A,FALSE,"Rpt-Op Inc"}</definedName>
    <definedName name="_Fill" hidden="1">#REF!</definedName>
    <definedName name="_GSRATES_1" hidden="1">"CF3000012000063019980601"</definedName>
    <definedName name="_GSRATES_2" hidden="1">"CF3000011997073119970701"</definedName>
    <definedName name="_GSRATES_3" hidden="1">"CF3000011998063019980601"</definedName>
    <definedName name="_GSRATES_4" hidden="1">"CF3000011998033119980301"</definedName>
    <definedName name="_GSRATES_COUNT" hidden="1">4</definedName>
    <definedName name="_Key1" hidden="1">#REF!</definedName>
    <definedName name="_Order1" hidden="1">0</definedName>
    <definedName name="_Order1_1" hidden="1">255</definedName>
    <definedName name="_Order2" hidden="1">255</definedName>
    <definedName name="_Regression_Int" hidden="1">1</definedName>
    <definedName name="_Regression_Out" hidden="1">[7]ICTSI!#REF!</definedName>
    <definedName name="_Regression_X" hidden="1">[7]ICTSI!#REF!</definedName>
    <definedName name="_Regression_Y" hidden="1">[7]ICTSI!#REF!</definedName>
    <definedName name="_Sort" hidden="1">#REF!</definedName>
    <definedName name="_Table2_In1" hidden="1">#REF!</definedName>
    <definedName name="_Table2_In2" hidden="1">#REF!</definedName>
    <definedName name="AAA_DOCTOPS" hidden="1">"AAA_SET"</definedName>
    <definedName name="AAA_duser" hidden="1">"OFF"</definedName>
    <definedName name="aaaa"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wvu.bal_98." hidden="1">[8]BALSHT_S!$A$1:$M$65536</definedName>
    <definedName name="ACwvu.Detail." hidden="1">'[9]Fert. &amp; Chem.'!$J$8</definedName>
    <definedName name="ACwvu.Forestry." hidden="1">[9]Bunnings!$D$384</definedName>
    <definedName name="ACwvu.Full_Year." hidden="1">[8]PE1_S!$A$1:$Z$65536</definedName>
    <definedName name="ACwvu.Merch_Summary." hidden="1">[9]Bunnings!$F$106</definedName>
    <definedName name="ACwvu.Summary." hidden="1">'[9]Fert. &amp; Chem.'!$A$35:$IV$35</definedName>
    <definedName name="ACwvu.Warehouse." hidden="1">[9]Bunnings!$G$102</definedName>
    <definedName name="ALLYXX" hidden="1">{"Page One",#N/A,FALSE,"Model";"Page 2",#N/A,FALSE,"Model";"Page 3",#N/A,FALSE,"Model"}</definedName>
    <definedName name="anscount" hidden="1">1</definedName>
    <definedName name="APWREFVTEST" hidden="1">"'='Terminal Value'!b3"</definedName>
    <definedName name="arse" hidden="1">{"PAGE1",#N/A,FALSE,"Consolidation";"PAGE2",#N/A,FALSE,"Consolidation";"PAGE3",#N/A,FALSE,"Consolidation";"PAGE4",#N/A,FALSE,"Consolidation";"PAGE5",#N/A,FALSE,"Consolidation";"PAGE6",#N/A,FALSE,"Consolidation";"PAGE7",#N/A,FALSE,"Consolidation"}</definedName>
    <definedName name="arse_1" hidden="1">{"PAGE1",#N/A,FALSE,"Consolidation";"PAGE2",#N/A,FALSE,"Consolidation";"PAGE3",#N/A,FALSE,"Consolidation";"PAGE4",#N/A,FALSE,"Consolidation";"PAGE5",#N/A,FALSE,"Consolidation";"PAGE6",#N/A,FALSE,"Consolidation";"PAGE7",#N/A,FALSE,"Consolidation"}</definedName>
    <definedName name="arse_2" hidden="1">{"PAGE1",#N/A,FALSE,"Consolidation";"PAGE2",#N/A,FALSE,"Consolidation";"PAGE3",#N/A,FALSE,"Consolidation";"PAGE4",#N/A,FALSE,"Consolidation";"PAGE5",#N/A,FALSE,"Consolidation";"PAGE6",#N/A,FALSE,"Consolidation";"PAGE7",#N/A,FALSE,"Consolidation"}</definedName>
    <definedName name="arse_CWN" hidden="1">{"PAGE1",#N/A,FALSE,"Consolidation";"PAGE2",#N/A,FALSE,"Consolidation";"PAGE3",#N/A,FALSE,"Consolidation";"PAGE4",#N/A,FALSE,"Consolidation";"PAGE5",#N/A,FALSE,"Consolidation";"PAGE6",#N/A,FALSE,"Consolidation";"PAGE7",#N/A,FALSE,"Consolidation"}</definedName>
    <definedName name="arse_SKC" hidden="1">{"PAGE1",#N/A,FALSE,"Consolidation";"PAGE2",#N/A,FALSE,"Consolidation";"PAGE3",#N/A,FALSE,"Consolidation";"PAGE4",#N/A,FALSE,"Consolidation";"PAGE5",#N/A,FALSE,"Consolidation";"PAGE6",#N/A,FALSE,"Consolidation";"PAGE7",#N/A,FALSE,"Consolidation"}</definedName>
    <definedName name="arse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2" hidden="1">{"Print Summary",#N/A,FALSE,"Bal_Graphs";"Print Summary",#N/A,FALSE,"DCF";"Print Summary",#N/A,FALSE,"Graphs";"Print Summary",#N/A,FALSE,"Summary"}</definedName>
    <definedName name="arse2_1" hidden="1">{"Print Summary",#N/A,FALSE,"Bal_Graphs";"Print Summary",#N/A,FALSE,"DCF";"Print Summary",#N/A,FALSE,"Graphs";"Print Summary",#N/A,FALSE,"Summary"}</definedName>
    <definedName name="arse2_2" hidden="1">{"Print Summary",#N/A,FALSE,"Bal_Graphs";"Print Summary",#N/A,FALSE,"DCF";"Print Summary",#N/A,FALSE,"Graphs";"Print Summary",#N/A,FALSE,"Summary"}</definedName>
    <definedName name="arse2_CWN" hidden="1">{"Print Summary",#N/A,FALSE,"Bal_Graphs";"Print Summary",#N/A,FALSE,"DCF";"Print Summary",#N/A,FALSE,"Graphs";"Print Summary",#N/A,FALSE,"Summary"}</definedName>
    <definedName name="asdf"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asdfasdf" hidden="1">{"print annual inc. statement",#N/A,FALSE,"Summary";"print annual stats",#N/A,FALSE,"Summary";"print quarterly inc. statement",#N/A,FALSE,"Summary";"print quarterly stats",#N/A,FALSE,"Summary"}</definedName>
    <definedName name="asdfasdfasdf" hidden="1">{"annual",#N/A,FALSE,"Sheet2";"quarters",#N/A,FALSE,"Sheet2"}</definedName>
    <definedName name="berkshire" hidden="1">{"Revenue by Industry Chart",#N/A,FALSE,"Mix";"Annual Revenue Detail",#N/A,FALSE,"Mix";"Quarterly Revenue Detail",#N/A,FALSE,"Mix"}</definedName>
    <definedName name="BLPB1" hidden="1">#REF!</definedName>
    <definedName name="BLPH1"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#REF!</definedName>
    <definedName name="BLPH242" hidden="1">#REF!</definedName>
    <definedName name="BLPH243" hidden="1">#REF!</definedName>
    <definedName name="BLPH244" hidden="1">#REF!</definedName>
    <definedName name="BLPH25" hidden="1">[10]bloomberg!$D$3</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[10]bloomberg!$G$3</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[10]bloomberg!$A$3</definedName>
    <definedName name="BLPH294" hidden="1">#REF!</definedName>
    <definedName name="BLPH3" hidden="1">#REF!</definedName>
    <definedName name="BLPH30" hidden="1">[10]bloomberg!$J$3</definedName>
    <definedName name="BLPH31" hidden="1">[10]bloomberg!$M$3</definedName>
    <definedName name="BLPH34" hidden="1">[10]bloomberg!$P$3</definedName>
    <definedName name="BLPH4" hidden="1">#REF!</definedName>
    <definedName name="BLPH5" hidden="1">#REF!</definedName>
    <definedName name="BLPH6" hidden="1">#REF!</definedName>
    <definedName name="BLPH60" hidden="1">#REF!</definedName>
    <definedName name="BLPH61"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CalendarQ">[11]RTG!$B$36</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harft" hidden="1">[2]AnnualData!#REF!</definedName>
    <definedName name="chart1" hidden="1">'[1]Long Term Prices'!#REF!</definedName>
    <definedName name="charts" hidden="1">{"IND","COMPANIES",TRUE}</definedName>
    <definedName name="CIQWBGuid" hidden="1">"SCB Straumann Model.xlsm"</definedName>
    <definedName name="cu103.EmployeeScalingFactor" hidden="1">1000</definedName>
    <definedName name="cu107.EPSSymbol" hidden="1">"A$"</definedName>
    <definedName name="cu71.ScalingFactor" hidden="1">1000000</definedName>
    <definedName name="Cwvu.Full_Year." hidden="1">[8]PE1_S!$A$22:$IV$23</definedName>
    <definedName name="Cwvu.Summary." hidden="1">'[12]Fert. &amp; Chem.'!$A$16:$IV$23,'[12]Fert. &amp; Chem.'!#REF!,'[12]Fert. &amp; Chem.'!$A$46:$IV$54,'[12]Fert. &amp; Chem.'!$A$66:$IV$128</definedName>
    <definedName name="d" hidden="1">#REF!</definedName>
    <definedName name="dddd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elete_this" hidden="1">#REF!</definedName>
    <definedName name="delete_this_2" hidden="1">#REF!</definedName>
    <definedName name="delete_this_3" hidden="1">#REF!</definedName>
    <definedName name="delete_this_4" hidden="1">#REF!</definedName>
    <definedName name="delete_this_5" hidden="1">#REF!</definedName>
    <definedName name="delete_this_6" hidden="1">#REF!</definedName>
    <definedName name="delete_this_8" hidden="1">#REF!</definedName>
    <definedName name="delete_this_9" hidden="1">#REF!</definedName>
    <definedName name="dewf" hidden="1">#REF!</definedName>
    <definedName name="DME_BeforeCloseCompleted" hidden="1">"False"</definedName>
    <definedName name="DME_Dirty" hidden="1">"False"</definedName>
    <definedName name="DME_LocalFile" hidden="1">"True"</definedName>
    <definedName name="DS" hidden="1">{"Full_Year",#N/A,FALSE,"PE1_S";#N/A,#N/A,FALSE,"DIVIS_S"}</definedName>
    <definedName name="DS_1" hidden="1">{"Full_Year",#N/A,FALSE,"PE1_S";#N/A,#N/A,FALSE,"DIVIS_S"}</definedName>
    <definedName name="DS_2" hidden="1">{"Full_Year",#N/A,FALSE,"PE1_S";#N/A,#N/A,FALSE,"DIVIS_S"}</definedName>
    <definedName name="DS_CWN" hidden="1">{"Full_Year",#N/A,FALSE,"PE1_S";#N/A,#N/A,FALSE,"DIVIS_S"}</definedName>
    <definedName name="DSHiddenYear1" hidden="1">[13]RBCCM_Valuation_Measures!$D$1</definedName>
    <definedName name="DSHiddenYear2" hidden="1">[13]RBCCM_Valuation_Measures!$E$1</definedName>
    <definedName name="DSHiddenYear3" hidden="1">[13]RBCCM_Valuation_Measures!$F$1</definedName>
    <definedName name="DSHiddenYear4" hidden="1">[13]RBCCM_Valuation_Measures!$G$1</definedName>
    <definedName name="DSIndHiddenYear1" hidden="1">[13]RBCCM_Industry_Specif!$D$1</definedName>
    <definedName name="DSIndHiddenYear2" hidden="1">[13]RBCCM_Industry_Specif!$E$1</definedName>
    <definedName name="DSIndHiddenYear3" hidden="1">[13]RBCCM_Industry_Specif!$F$1</definedName>
    <definedName name="DSIndHiddenYear4" hidden="1">[13]RBCCM_Industry_Specif!$G$1</definedName>
    <definedName name="DSIndHistHiddenYear1" hidden="1">[14]RBCCM_Industry_Specif!#REF!</definedName>
    <definedName name="DSIndHistHiddenYear2" hidden="1">[14]RBCCM_Industry_Specif!#REF!</definedName>
    <definedName name="DSIndHistHiddenYear3" hidden="1">[14]RBCCM_Industry_Specif!#REF!</definedName>
    <definedName name="DSIndHistHiddenYear4" hidden="1">[13]RBCCM_Industry_Specif!$B$1</definedName>
    <definedName name="DSIndHistHiddenYear5" hidden="1">[13]RBCCM_Industry_Specif!$C$1</definedName>
    <definedName name="egeg"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esnrc100c1_values" hidden="1">{"FTSE100","COMPANIES",TRUE}</definedName>
    <definedName name="esnrc100c1_values_1" hidden="1">{"FTSE100","COMPANIES",TRUE}</definedName>
    <definedName name="esnrc100c1_values_2" hidden="1">{"FTSE100","COMPANIES",TRUE}</definedName>
    <definedName name="esnrc33c1_values" hidden="1">{"EUMOT","COMPANIES",TRUE}</definedName>
    <definedName name="esnrc33c1_values_1" hidden="1">{"EUMOT","COMPANIES",TRUE}</definedName>
    <definedName name="esnrc33c1_values_2" hidden="1">{"EUMOT","COMPANIES",TRUE}</definedName>
    <definedName name="esnrc56c1_values" hidden="1">{"ASCONGRP","COMPANIES",TRUE}</definedName>
    <definedName name="esnrc56c1_values_1" hidden="1">{"ASCONGRP","COMPANIES",TRUE}</definedName>
    <definedName name="esnrc56c1_values_2" hidden="1">{"ASCONGRP","COMPANIES",TRUE}</definedName>
    <definedName name="esnrc63c1_values" hidden="1">{"EUUTIGRP","COMPANIES",TRUE}</definedName>
    <definedName name="esnrc63c1_values_1" hidden="1">{"EUUTIGRP","COMPANIES",TRUE}</definedName>
    <definedName name="esnrc63c1_values_2" hidden="1">{"EUUTIGRP","COMPANIES",TRUE}</definedName>
    <definedName name="esnrc65c1_values" hidden="1">{"IND","COMPANIES",TRUE}</definedName>
    <definedName name="esnrc65c1_values_1" hidden="1">{"IND","COMPANIES",TRUE}</definedName>
    <definedName name="esnrc65c1_values_2" hidden="1">{"IND","COMPANIES",TRUE}</definedName>
    <definedName name="esnrc65c1_values_CWN" hidden="1">{"IND","COMPANIES",TRUE}</definedName>
    <definedName name="esnrc65c2_values" hidden="1">{"IND","COMPANIES",TRUE}</definedName>
    <definedName name="esnrc65c2_values_1" hidden="1">{"IND","COMPANIES",TRUE}</definedName>
    <definedName name="esnrc65c2_values_2" hidden="1">{"IND","COMPANIES",TRUE}</definedName>
    <definedName name="esnrc65c2_values_CWN" hidden="1">{"IND","COMPANIES",TRUE}</definedName>
    <definedName name="esnrc91c1_values" hidden="1">{"EUUTI","COMPANIES",TRUE}</definedName>
    <definedName name="esnrc91c1_values_1" hidden="1">{"EUUTI","COMPANIES",TRUE}</definedName>
    <definedName name="esnrc91c1_values_2" hidden="1">{"EUUTI","COMPANIES",TRUE}</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 hidden="1">[3]F1!#REF!</definedName>
    <definedName name="FDP_0_1_aDrv" hidden="1">#REF!</definedName>
    <definedName name="FDP_0_1_aUrv" hidden="1">#REF!</definedName>
    <definedName name="FDP_1_1_aDrv" hidden="1">#REF!</definedName>
    <definedName name="FDP_1_1_aUrv" hidden="1">#REF!</definedName>
    <definedName name="FDP_10_1_aD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_1_aUrv" hidden="1">#REF!</definedName>
    <definedName name="FDP_120_1_aUrv" hidden="1">#REF!</definedName>
    <definedName name="FDP_121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Drv" hidden="1">#REF!</definedName>
    <definedName name="FDP_13_1_aUrv" hidden="1">#REF!</definedName>
    <definedName name="FDP_130_1_aUrv" hidden="1">#REF!</definedName>
    <definedName name="FDP_131_1_aUrv" hidden="1">#REF!</definedName>
    <definedName name="FDP_132_1_aUrv" hidden="1">#REF!</definedName>
    <definedName name="FDP_133_1_aUrv" hidden="1">#REF!</definedName>
    <definedName name="FDP_134_1_aUrv" hidden="1">#REF!</definedName>
    <definedName name="FDP_135_1_aUrv" hidden="1">#REF!</definedName>
    <definedName name="FDP_136_1_aUrv" hidden="1">#REF!</definedName>
    <definedName name="FDP_137_1_aUrv" hidden="1">#REF!</definedName>
    <definedName name="FDP_138_1_aUrv" hidden="1">#REF!</definedName>
    <definedName name="FDP_139_1_aSrv" hidden="1">#REF!</definedName>
    <definedName name="FDP_139_1_aUrv" hidden="1">#REF!</definedName>
    <definedName name="FDP_14_1_aDrv" hidden="1">#REF!</definedName>
    <definedName name="FDP_14_1_aUrv" hidden="1">#REF!</definedName>
    <definedName name="FDP_140_1_aU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Drv" hidden="1">#REF!</definedName>
    <definedName name="FDP_146_1_aUrv" hidden="1">#REF!</definedName>
    <definedName name="FDP_147_1_aUrv" hidden="1">#REF!</definedName>
    <definedName name="FDP_148_1_aUrv" hidden="1">#REF!</definedName>
    <definedName name="FDP_149_1_aUrv" hidden="1">#REF!</definedName>
    <definedName name="FDP_15_1_aDrv" hidden="1">#REF!</definedName>
    <definedName name="FDP_150_1_aUrv" hidden="1">#REF!</definedName>
    <definedName name="FDP_151_1_aUrv" hidden="1">#REF!</definedName>
    <definedName name="FDP_152_1_aUrv" hidden="1">#REF!</definedName>
    <definedName name="FDP_153_1_aUrv" hidden="1">#REF!</definedName>
    <definedName name="FDP_155_1_aUrv" hidden="1">#REF!</definedName>
    <definedName name="FDP_156_1_aSrv" hidden="1">#REF!</definedName>
    <definedName name="FDP_157_1_aUrv" hidden="1">#REF!</definedName>
    <definedName name="FDP_159_1_aUrv" hidden="1">#REF!</definedName>
    <definedName name="FDP_16_1_aDrv" hidden="1">#REF!</definedName>
    <definedName name="FDP_16_1_aUrv" hidden="1">#REF!</definedName>
    <definedName name="FDP_165_1_aUrv" hidden="1">[15]Indexes!$E$4</definedName>
    <definedName name="FDP_166_1_aUrv" hidden="1">[15]Indexes!$E$5</definedName>
    <definedName name="FDP_167_1_aUrv" hidden="1">[15]Indexes!$E$6</definedName>
    <definedName name="FDP_168_1_aSrv" hidden="1">[15]Indexes!$E$7</definedName>
    <definedName name="FDP_169_1_aUrv" hidden="1">[15]Indexes!$E$8</definedName>
    <definedName name="FDP_17_1_aDrv" hidden="1">#REF!</definedName>
    <definedName name="FDP_170_1_aSrv" hidden="1">[15]Indexes!$E$9</definedName>
    <definedName name="FDP_171_1_aUrv" hidden="1">[15]Indexes!$E$10</definedName>
    <definedName name="FDP_172_1_aUrv" hidden="1">[15]Indexes!$E$11</definedName>
    <definedName name="FDP_173_1_aUrv" hidden="1">[15]Indexes!$E$12</definedName>
    <definedName name="FDP_174_1_aSrv" hidden="1">[15]Indexes!$E$13</definedName>
    <definedName name="FDP_174_1_aUrv" hidden="1">#REF!</definedName>
    <definedName name="FDP_175_1_aUrv" hidden="1">#REF!</definedName>
    <definedName name="FDP_176_1_aUrv" hidden="1">#REF!</definedName>
    <definedName name="FDP_177_1_aSrv" hidden="1">[15]Indexes!$E$16</definedName>
    <definedName name="FDP_177_1_aUrv" hidden="1">#REF!</definedName>
    <definedName name="FDP_178_1_aSrv" hidden="1">[15]Indexes!$E$17</definedName>
    <definedName name="FDP_178_1_aUrv" hidden="1">#REF!</definedName>
    <definedName name="FDP_179_1_aSrv" hidden="1">[15]Indexes!$E$19</definedName>
    <definedName name="FDP_179_1_aUrv" hidden="1">#REF!</definedName>
    <definedName name="FDP_18_1_aDrv" hidden="1">#REF!</definedName>
    <definedName name="FDP_18_1_aUrv" hidden="1">#REF!</definedName>
    <definedName name="FDP_180_1_aSrv" hidden="1">[15]Indexes!$E$21</definedName>
    <definedName name="FDP_181_1_aUrv" hidden="1">[15]Indexes!$E$22</definedName>
    <definedName name="FDP_182_1_aSrv" hidden="1">[15]Indexes!$E$23</definedName>
    <definedName name="FDP_183_1_aSrv" hidden="1">[15]Indexes!$E$25</definedName>
    <definedName name="FDP_184_1_aUrv" hidden="1">[15]Indexes!$E$26</definedName>
    <definedName name="FDP_185_1_aSrv" hidden="1">[15]Indexes!$E$27</definedName>
    <definedName name="FDP_186_1_aUrv" hidden="1">[15]Indexes!$E$28</definedName>
    <definedName name="FDP_187_1_aSrv" hidden="1">[15]Indexes!$E$29</definedName>
    <definedName name="FDP_188_1_aUrv" hidden="1">[15]Indexes!$E$32</definedName>
    <definedName name="FDP_189_1_aUrv" hidden="1">[15]Indexes!$E$33</definedName>
    <definedName name="FDP_19_1_aDrv" hidden="1">#REF!</definedName>
    <definedName name="FDP_19_1_aUrv" hidden="1">#REF!</definedName>
    <definedName name="FDP_190_1_aUrv" hidden="1">[15]Indexes!$E$35</definedName>
    <definedName name="FDP_191_1_aUrv" hidden="1">[15]Indexes!$E$36</definedName>
    <definedName name="FDP_192_1_aSrv" hidden="1">[15]Indexes!$E$37</definedName>
    <definedName name="FDP_193_1_aUrv" hidden="1">[15]Indexes!$E$38</definedName>
    <definedName name="FDP_194_1_aUrv" hidden="1">[15]Indexes!$E$39</definedName>
    <definedName name="FDP_195_1_aUrv" hidden="1">[15]Indexes!$E$41</definedName>
    <definedName name="FDP_196_1_aSrv" hidden="1">[15]Indexes!$E$42</definedName>
    <definedName name="FDP_197_1_aUrv" hidden="1">[15]Indexes!$E$44</definedName>
    <definedName name="FDP_198_1_aSrv" hidden="1">[15]Indexes!$E$45</definedName>
    <definedName name="FDP_199_1_aUrv" hidden="1">[15]Indexes!$E$47</definedName>
    <definedName name="FDP_2_1_aUrv" hidden="1">#REF!</definedName>
    <definedName name="FDP_20_1_aDrv" hidden="1">#REF!</definedName>
    <definedName name="FDP_20_1_aUrv" hidden="1">#REF!</definedName>
    <definedName name="FDP_200_1_aUrv" hidden="1">[15]Indexes!$E$48</definedName>
    <definedName name="FDP_201_1_aUrv" hidden="1">[15]Indexes!$E$49</definedName>
    <definedName name="FDP_202_1_aUrv" hidden="1">[15]Indexes!$E$50</definedName>
    <definedName name="FDP_203_1_aSrv" hidden="1">[15]Indexes!$E$54</definedName>
    <definedName name="FDP_204_1_aUrv" hidden="1">[15]Indexes!$H$54</definedName>
    <definedName name="FDP_205_1_aUrv" hidden="1">[15]Indexes!$I$54</definedName>
    <definedName name="FDP_206_1_aUrv" hidden="1">[15]Indexes!$J$54</definedName>
    <definedName name="FDP_207_1_aUrv" hidden="1">[15]Indexes!$K$54</definedName>
    <definedName name="FDP_208_1_aSrv" hidden="1">[15]Indexes!$E$55</definedName>
    <definedName name="FDP_209_1_aUrv" hidden="1">[15]Indexes!$H$55</definedName>
    <definedName name="FDP_21_1_aDrv" hidden="1">#REF!</definedName>
    <definedName name="FDP_21_1_aUrv" hidden="1">#REF!</definedName>
    <definedName name="FDP_210_1_aUrv" hidden="1">[15]Indexes!$I$55</definedName>
    <definedName name="FDP_211_1_aUrv" hidden="1">[15]Indexes!$J$55</definedName>
    <definedName name="FDP_212_1_aUrv" hidden="1">[15]Indexes!$K$55</definedName>
    <definedName name="FDP_213_1_aSrv" hidden="1">[15]Indexes!$E$56</definedName>
    <definedName name="FDP_214_1_aUrv" hidden="1">[15]Indexes!$H$56</definedName>
    <definedName name="FDP_215_1_aUrv" hidden="1">[15]Indexes!$I$56</definedName>
    <definedName name="FDP_216_1_aUrv" hidden="1">[15]Indexes!$J$56</definedName>
    <definedName name="FDP_217_1_aUrv" hidden="1">[15]Indexes!$K$56</definedName>
    <definedName name="FDP_218_1_aSrv" hidden="1">[15]Indexes!$E$57</definedName>
    <definedName name="FDP_219_1_aSrv" hidden="1">[15]Indexes!$H$57</definedName>
    <definedName name="FDP_22_1_aDrv" hidden="1">#REF!</definedName>
    <definedName name="FDP_22_1_aUrv" hidden="1">#REF!</definedName>
    <definedName name="FDP_220_1_aSrv" hidden="1">[15]Indexes!$I$57</definedName>
    <definedName name="FDP_221_1_aSrv" hidden="1">[15]Indexes!$J$57</definedName>
    <definedName name="FDP_222_1_aSrv" hidden="1">[15]Indexes!$K$57</definedName>
    <definedName name="FDP_223_1_aSrv" hidden="1">[15]Indexes!$E$58</definedName>
    <definedName name="FDP_224_1_aUrv" hidden="1">[15]Indexes!$H$58</definedName>
    <definedName name="FDP_225_1_aUrv" hidden="1">[15]Indexes!$I$58</definedName>
    <definedName name="FDP_226_1_aUrv" hidden="1">[15]Indexes!$J$58</definedName>
    <definedName name="FDP_227_1_aUrv" hidden="1">[15]Indexes!$K$58</definedName>
    <definedName name="FDP_228_1_aSrv" hidden="1">[15]Indexes!$E$59</definedName>
    <definedName name="FDP_229_1_aSrv" hidden="1">[15]Indexes!$H$59</definedName>
    <definedName name="FDP_23_1_aDrv" hidden="1">#REF!</definedName>
    <definedName name="FDP_23_1_aUrv" hidden="1">#REF!</definedName>
    <definedName name="FDP_230_1_aSrv" hidden="1">[15]Indexes!$I$59</definedName>
    <definedName name="FDP_231_1_aSrv" hidden="1">[15]Indexes!$J$59</definedName>
    <definedName name="FDP_232_1_aSrv" hidden="1">[15]Indexes!$K$59</definedName>
    <definedName name="FDP_233_1_aSrv" hidden="1">[15]Indexes!$E$60</definedName>
    <definedName name="FDP_234_1_aUrv" hidden="1">[15]Indexes!$H$60</definedName>
    <definedName name="FDP_235_1_aUrv" hidden="1">[15]Indexes!$I$60</definedName>
    <definedName name="FDP_236_1_aUrv" hidden="1">[15]Indexes!$J$60</definedName>
    <definedName name="FDP_237_1_aUrv" hidden="1">[15]Indexes!$K$60</definedName>
    <definedName name="FDP_238_1_aSrv" hidden="1">[15]Indexes!$E$61</definedName>
    <definedName name="FDP_24_1_aUrv" hidden="1">#REF!</definedName>
    <definedName name="FDP_243_1_aSrv" hidden="1">[15]Indexes!$E$62</definedName>
    <definedName name="FDP_244_1_aSrv" hidden="1">[15]Indexes!$H$62</definedName>
    <definedName name="FDP_245_1_aSrv" hidden="1">[15]Indexes!$I$62</definedName>
    <definedName name="FDP_246_1_aSrv" hidden="1">[15]Indexes!$J$62</definedName>
    <definedName name="FDP_247_1_aSrv" hidden="1">[15]Indexes!$K$62</definedName>
    <definedName name="FDP_248_1_aSrv" hidden="1">[15]Indexes!$E$63</definedName>
    <definedName name="FDP_249_1_aSrv" hidden="1">[15]Indexes!$H$63</definedName>
    <definedName name="FDP_25_1_aUrv" hidden="1">#REF!</definedName>
    <definedName name="FDP_250_1_aSrv" hidden="1">[15]Indexes!$I$63</definedName>
    <definedName name="FDP_251_1_aSrv" hidden="1">[15]Indexes!$J$63</definedName>
    <definedName name="FDP_252_1_aSrv" hidden="1">[15]Indexes!$K$63</definedName>
    <definedName name="FDP_253_1_aSrv" hidden="1">[15]Indexes!$E$64</definedName>
    <definedName name="FDP_254_1_aSrv" hidden="1">[15]Indexes!$E$65</definedName>
    <definedName name="FDP_255_1_aSrv" hidden="1">[15]Indexes!$E$66</definedName>
    <definedName name="FDP_256_1_aSrv" hidden="1">[15]Indexes!$E$67</definedName>
    <definedName name="FDP_257_1_aSrv" hidden="1">[15]Indexes!$E$68</definedName>
    <definedName name="FDP_258_1_aSrv" hidden="1">[15]Indexes!$E$69</definedName>
    <definedName name="FDP_259_1_aSrv" hidden="1">[15]Indexes!$E$70</definedName>
    <definedName name="FDP_26_1_aUrv" hidden="1">#REF!</definedName>
    <definedName name="FDP_260_1_aSrv" hidden="1">[15]Indexes!$E$71</definedName>
    <definedName name="FDP_261_1_aSrv" hidden="1">[15]Indexes!$E$72</definedName>
    <definedName name="FDP_264_1_aUrv" hidden="1">[15]Indexes!$E$81</definedName>
    <definedName name="FDP_265_1_aUrv" hidden="1">[15]Indexes!$H$81</definedName>
    <definedName name="FDP_266_1_aUrv" hidden="1">[15]Indexes!$I$81</definedName>
    <definedName name="FDP_267_1_aUrv" hidden="1">[15]Indexes!$J$81</definedName>
    <definedName name="FDP_268_1_aUrv" hidden="1">[15]Indexes!$K$81</definedName>
    <definedName name="FDP_269_1_aUrv" hidden="1">[15]Indexes!$E$82</definedName>
    <definedName name="FDP_27_1_aUrv" hidden="1">#REF!</definedName>
    <definedName name="FDP_270_1_aUrv" hidden="1">[15]Indexes!$H$82</definedName>
    <definedName name="FDP_271_1_aUrv" hidden="1">[15]Indexes!$I$82</definedName>
    <definedName name="FDP_272_1_aUrv" hidden="1">[15]Indexes!$J$82</definedName>
    <definedName name="FDP_273_1_aUrv" hidden="1">[15]Indexes!$K$82</definedName>
    <definedName name="FDP_274_1_aUrv" hidden="1">[15]Indexes!$E$83</definedName>
    <definedName name="FDP_275_1_aUrv" hidden="1">[15]Indexes!$H$83</definedName>
    <definedName name="FDP_276_1_aUrv" hidden="1">[15]Indexes!$I$83</definedName>
    <definedName name="FDP_277_1_aUrv" hidden="1">[15]Indexes!$J$83</definedName>
    <definedName name="FDP_278_1_aUrv" hidden="1">[15]Indexes!$K$83</definedName>
    <definedName name="FDP_279_1_aSrv" hidden="1">[15]Indexes!$E$84</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9_1_aUrv" hidden="1">#REF!</definedName>
    <definedName name="FDP_3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Urv" hidden="1">#REF!</definedName>
    <definedName name="FDP_40_1_aUrv" hidden="1">#REF!</definedName>
    <definedName name="FDP_41_1_aUrv" hidden="1">#REF!</definedName>
    <definedName name="FDP_42_1_aUrv" hidden="1">#REF!</definedName>
    <definedName name="FDP_43_1_aUrv" hidden="1">#REF!</definedName>
    <definedName name="FDP_44_1_aDdv" hidden="1">#REF!</definedName>
    <definedName name="FDP_44_1_aUrv" hidden="1">#REF!</definedName>
    <definedName name="FDP_45_1_aUrv" hidden="1">#REF!</definedName>
    <definedName name="FDP_46_1_aUrv" hidden="1">#REF!</definedName>
    <definedName name="FDP_47_1_aUrv" hidden="1">#REF!</definedName>
    <definedName name="FDP_48_1_aUrv" hidden="1">#REF!</definedName>
    <definedName name="FDP_49_1_aUrv" hidden="1">#REF!</definedName>
    <definedName name="FDP_5_1_aUrv" hidden="1">#REF!</definedName>
    <definedName name="FDP_50_1_aUrv" hidden="1">#REF!</definedName>
    <definedName name="FDP_51_1_aSrv" hidden="1">#REF!</definedName>
    <definedName name="FDP_51_1_aUrv" hidden="1">#REF!</definedName>
    <definedName name="FDP_52_1_aUrv" hidden="1">#REF!</definedName>
    <definedName name="FDP_53_1_aUrv" hidden="1">#REF!</definedName>
    <definedName name="FDP_54_1_aUrv" hidden="1">#REF!</definedName>
    <definedName name="FDP_55_1_aUrv" hidden="1">#REF!</definedName>
    <definedName name="FDP_56_1_aUrv" hidden="1">#REF!</definedName>
    <definedName name="FDP_57_1_aUrv" hidden="1">#REF!</definedName>
    <definedName name="FDP_57_1_rUrv" hidden="1">#REF!</definedName>
    <definedName name="FDP_58_1_aUrv" hidden="1">#REF!</definedName>
    <definedName name="FDP_59_1_aUrv" hidden="1">#REF!</definedName>
    <definedName name="FDP_6_1_aUrv" hidden="1">#REF!</definedName>
    <definedName name="FDP_60_1_aUrv" hidden="1">#REF!</definedName>
    <definedName name="FDP_61_1_aUrv" hidden="1">#REF!</definedName>
    <definedName name="FDP_62_1_aUrv" hidden="1">#REF!</definedName>
    <definedName name="FDP_63_1_aUrv" hidden="1">#REF!</definedName>
    <definedName name="FDP_64_1_aUrv" hidden="1">#REF!</definedName>
    <definedName name="FDP_66_1_aUrv" hidden="1">#REF!</definedName>
    <definedName name="FDP_67_1_aUrv" hidden="1">#REF!</definedName>
    <definedName name="FDP_68_1_aUrv" hidden="1">#REF!</definedName>
    <definedName name="FDP_69_1_aUrv" hidden="1">#REF!</definedName>
    <definedName name="FDP_7_1_aUrv" hidden="1">#REF!</definedName>
    <definedName name="FDP_70_1_aUrv" hidden="1">#REF!</definedName>
    <definedName name="FDP_71_1_aSrv" hidden="1">#REF!</definedName>
    <definedName name="FDP_72_1_aUrv" hidden="1">#REF!</definedName>
    <definedName name="FDP_73_1_aUrv" hidden="1">#REF!</definedName>
    <definedName name="FDP_74_1_aUrv" hidden="1">#REF!</definedName>
    <definedName name="FDP_76_1_aUrv" hidden="1">#REF!</definedName>
    <definedName name="FDP_77_1_aUrv" hidden="1">#REF!</definedName>
    <definedName name="FDP_79_1_aUrv" hidden="1">#REF!</definedName>
    <definedName name="FDP_8_1_aUrv" hidden="1">#REF!</definedName>
    <definedName name="FDP_80_1_aU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2_1_aS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ill" hidden="1">#REF!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s" hidden="1">{"Page One",#N/A,FALSE,"Model";"Page 2",#N/A,FALSE,"Model";"Page 3",#N/A,FALSE,"Model"}</definedName>
    <definedName name="gf" hidden="1">{"print annual inc. statement",#N/A,FALSE,"Summary";"print annual stats",#N/A,FALSE,"Summary";"print quarterly inc. statement",#N/A,FALSE,"Summary";"print quarterly stats",#N/A,FALSE,"Summary"}</definedName>
    <definedName name="gls_ACT_EST_ROW" hidden="1">#REF!</definedName>
    <definedName name="gls_ACT_FORM_OFFSET" hidden="1">#REF!</definedName>
    <definedName name="gls_ADMIN" hidden="1">[16]_Control!$D$30</definedName>
    <definedName name="gls_ALLOW_BOTH_PC" hidden="1">[16]_Control!$D$52</definedName>
    <definedName name="gls_ALLOW_PARENT_OR_CONSOLIDATED" hidden="1">[16]_Control!$D$41</definedName>
    <definedName name="gls_ALLOW_PUBLISH" hidden="1">[16]_Control!$D$27</definedName>
    <definedName name="gls_AnalystEmpNoHeading" hidden="1">#REF!</definedName>
    <definedName name="gls_AnalystNameHeading" hidden="1">#REF!</definedName>
    <definedName name="gls_CF_BEGINS" hidden="1">[16]_Control!$D$38</definedName>
    <definedName name="gls_CFD_CHANGEACT" hidden="1">[16]_Control!$D$45</definedName>
    <definedName name="gls_CFD_CHANGEEST" hidden="1">[16]_Control!$D$46</definedName>
    <definedName name="gls_CFD_FIRSTAVAIL" hidden="1">[16]_Control!$D$47</definedName>
    <definedName name="gls_CFD_LISTAVAIL" hidden="1">[16]_Control!$D$48</definedName>
    <definedName name="gls_CFD_SELECTED" hidden="1">[16]_Control!$D$44</definedName>
    <definedName name="gls_CHANGED_NAMES" hidden="1">[16]_Control!$D$25</definedName>
    <definedName name="gls_CHG_KEY_USER" hidden="1">[16]_Control!$D$10</definedName>
    <definedName name="gls_CHG_SEL_ONLY" hidden="1">[16]_Control!$D$9</definedName>
    <definedName name="gls_COMPANY_WORKBOOK_ID" hidden="1">[16]_Control!$D$17</definedName>
    <definedName name="gls_DELETED_PERIODS" hidden="1">[16]_Control!$J$1</definedName>
    <definedName name="gls_EST_FORM_OFFSET" hidden="1">#REF!</definedName>
    <definedName name="gls_EXC_NOT_EXT" hidden="1">[16]_Control!$D$35</definedName>
    <definedName name="gls_EXISTING_PERIODS" hidden="1">[16]_Control!$G$1</definedName>
    <definedName name="gls_EXT_BELOW_PBT" hidden="1">[16]_Control!$D$39</definedName>
    <definedName name="gls_EXT_LINK_GLOSS" hidden="1">[16]_Control!$D$50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[16]_Control!$A$1:$A$12</definedName>
    <definedName name="gls_GW_IN" hidden="1">[16]_Control!$D$36</definedName>
    <definedName name="gls_IIAA_IN" hidden="1">[16]_Control!$D$37</definedName>
    <definedName name="gls_InterimValue" hidden="1">[16]_Control!$D$22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[16]_Control!$D$23</definedName>
    <definedName name="gls_NEXT_PK" hidden="1">[16]_Control!$D$21</definedName>
    <definedName name="gls_PERIOD_CODE" hidden="1">#REF!</definedName>
    <definedName name="gls_PERIOD_INDICATOR" hidden="1">#REF!</definedName>
    <definedName name="gls_PERIOD_PARENT_OR_CONSOL" hidden="1">#REF!</definedName>
    <definedName name="gls_PERIOD_TOTAL" hidden="1">#REF!</definedName>
    <definedName name="gls_PERIOD_TYPE" hidden="1">#REF!</definedName>
    <definedName name="gls_PrincipalStockClass" hidden="1">#REF!</definedName>
    <definedName name="gls_PROFILE_NAME" hidden="1">[16]_Control!$D$19</definedName>
    <definedName name="gls_Recommendations" hidden="1">#REF!</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[16]_Control!$D$26</definedName>
    <definedName name="gls_SaveWkbForNewPeriodCodes" hidden="1">[16]_Control!$D$28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[16]_Control!$D$1</definedName>
    <definedName name="gls_SHOW_KEY_VAL_COLUMN" hidden="1">[16]_Control!$D$11</definedName>
    <definedName name="gls_SHOW_KEY_VALUES" hidden="1">[16]_Control!$D$8</definedName>
    <definedName name="gls_SHOW_LINKED_ITEMS" hidden="1">[16]_Control!$D$6</definedName>
    <definedName name="gls_SHOW_LOCAL_NAMES" hidden="1">[16]_Control!$D$2</definedName>
    <definedName name="gls_SHOW_MULTIPLIERS" hidden="1">[16]_Control!$D$7</definedName>
    <definedName name="gls_SHOW_PK_COLUMN" hidden="1">[16]_Control!$D$5</definedName>
    <definedName name="gls_SHOW_STATUS_INFORMATION" hidden="1">[16]_Control!$D$3</definedName>
    <definedName name="gls_SHOW_UNITS" hidden="1">[16]_Control!$D$4</definedName>
    <definedName name="gls_SPARE_YEARS" hidden="1">#REF!</definedName>
    <definedName name="gls_SPECIAL_DIALOG" hidden="1">[16]_Control!$D$49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REQ"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[16]_Control!$D$20</definedName>
    <definedName name="gls_TEMP_PERIOD_CODE" hidden="1">#REF!</definedName>
    <definedName name="gls_THISWORKBOOK_NAME" hidden="1">[16]_Control!$D$18</definedName>
    <definedName name="gls_UNUSUAL_POS" hidden="1">[16]_Control!$D$40</definedName>
    <definedName name="gls_USER_CELL_FORMAT" hidden="1">[16]_Control!$D$51</definedName>
    <definedName name="gls_USING_CONSOLIDATED" hidden="1">[16]_Control!$D$34</definedName>
    <definedName name="gls_YEAR_AE_CONTROL" hidden="1">#REF!</definedName>
    <definedName name="gls_YEAR_END_ROW" hidden="1">#REF!</definedName>
    <definedName name="gls_YetToRunStartupWizard" hidden="1">[16]_Control!$D$29</definedName>
    <definedName name="HAS_BEEN_UPDATED" hidden="1">#REF!</definedName>
    <definedName name="HTML_CodePage" hidden="1">1252</definedName>
    <definedName name="HTML_Control" hidden="1">{"'Outline (2)'!$A$1:$Q$7"}</definedName>
    <definedName name="HTML_Description" hidden="1">""</definedName>
    <definedName name="HTML_Email" hidden="1">""</definedName>
    <definedName name="HTML_Header" hidden="1">"Outline (2)"</definedName>
    <definedName name="HTML_LastUpdate" hidden="1">"2/9/98"</definedName>
    <definedName name="HTML_LineAfter" hidden="1">FALSE</definedName>
    <definedName name="HTML_LineBefore" hidden="1">FALSE</definedName>
    <definedName name="HTML_Name" hidden="1">"Kenfil Training Centre"</definedName>
    <definedName name="HTML_OBDlg2" hidden="1">TRUE</definedName>
    <definedName name="HTML_OBDlg4" hidden="1">TRUE</definedName>
    <definedName name="HTML_OS" hidden="1">0</definedName>
    <definedName name="HTML_PathFile" hidden="1">"F:\USERS\STUDENT\KAREEN\EXCEL97\MyHTML.htm"</definedName>
    <definedName name="HTML_Title" hidden="1">"XL97_ADV"</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 hidden="1">{"Qtr Op Mgd Q3",#N/A,FALSE,"Qtr-Op (Mng)";"Qtr Op Rpt Q3",#N/A,FALSE,"Qtr-Op (Rpt)";"Operating Vs Reported",#N/A,FALSE,"Rpt-Op Inc"}</definedName>
    <definedName name="Img_ML_1c3d1n6n" hidden="1">"IMG_11"</definedName>
    <definedName name="Img_ML_1d1b5x3i" hidden="1">"IMG_18"</definedName>
    <definedName name="Img_ML_1e1k9n5y" hidden="1">"IMG_10"</definedName>
    <definedName name="Img_ML_1g9i6j4i" hidden="1">"IMG_6"</definedName>
    <definedName name="Img_ML_1h4n3h8h" hidden="1">"IMG_18"</definedName>
    <definedName name="Img_ML_1k2d3y6g" hidden="1">"IMG_18"</definedName>
    <definedName name="Img_ML_1k4g9u7k" hidden="1">"IMG_10"</definedName>
    <definedName name="Img_ML_1k4u6z9q" hidden="1">"IMG_12"</definedName>
    <definedName name="Img_ML_1q6n1r3y" hidden="1">"IMG_18"</definedName>
    <definedName name="Img_ML_1q7t4c5p" hidden="1">"IMG_18"</definedName>
    <definedName name="Img_ML_1q9i2k7i" hidden="1">"IMG_6"</definedName>
    <definedName name="Img_ML_1s9s8u2q" hidden="1">"IMG_12"</definedName>
    <definedName name="Img_ML_1t5s6u1f" hidden="1">"IMG_18"</definedName>
    <definedName name="Img_ML_1u3g1w9g" hidden="1">"IMG_18"</definedName>
    <definedName name="Img_ML_1v1d3k4v" hidden="1">"IMG_6"</definedName>
    <definedName name="Img_ML_1y7a6c1t" hidden="1">"IMG_17"</definedName>
    <definedName name="Img_ML_2e1r5p2m" hidden="1">"IMG_10"</definedName>
    <definedName name="Img_ML_2f4p3r6p" hidden="1">"IMG_18"</definedName>
    <definedName name="Img_ML_2i4d6c2r" hidden="1">"IMG_18"</definedName>
    <definedName name="Img_ML_2j1p7k4i" hidden="1">"IMG_6"</definedName>
    <definedName name="Img_ML_2j4h5d5y" hidden="1">"IMG_10"</definedName>
    <definedName name="Img_ML_2j6i5k6b" hidden="1">"IMG_18"</definedName>
    <definedName name="Img_ML_2m9t4m5q" hidden="1">"IMG_18"</definedName>
    <definedName name="Img_ML_2u8x3t5a" hidden="1">"IMG_3"</definedName>
    <definedName name="Img_ML_2v6s9i5c" hidden="1">"IMG_18"</definedName>
    <definedName name="Img_ML_2w1t7g9m" hidden="1">"IMG_18"</definedName>
    <definedName name="Img_ML_2x1b8j5c" hidden="1">"IMG_10"</definedName>
    <definedName name="Img_ML_2x8r4a2e" hidden="1">"IMG_18"</definedName>
    <definedName name="Img_ML_3b3j3x9k" hidden="1">"IMG_10"</definedName>
    <definedName name="Img_ML_3b5m6a3d" hidden="1">"IMG_18"</definedName>
    <definedName name="Img_ML_3b8r3t8y" hidden="1">"IMG_11"</definedName>
    <definedName name="Img_ML_3c6e9c4g" hidden="1">"IMG_11"</definedName>
    <definedName name="Img_ML_3e2q4k7i" hidden="1">"IMG_18"</definedName>
    <definedName name="Img_ML_3h2n3p4v" hidden="1">"IMG_17"</definedName>
    <definedName name="Img_ML_3j3i3p7g" hidden="1">"IMG_18"</definedName>
    <definedName name="Img_ML_3m9x5w6k" hidden="1">"IMG_6"</definedName>
    <definedName name="Img_ML_3n5p3k4y" hidden="1">"IMG_18"</definedName>
    <definedName name="Img_ML_3p2b9c6w" hidden="1">"IMG_18"</definedName>
    <definedName name="Img_ML_3p5d9q5j" hidden="1">"IMG_11"</definedName>
    <definedName name="Img_ML_3r4u7k1k" hidden="1">"IMG_18"</definedName>
    <definedName name="Img_ML_3u5n6c7g" hidden="1">"IMG_6"</definedName>
    <definedName name="Img_ML_3x8m5t8j" hidden="1">"IMG_18"</definedName>
    <definedName name="Img_ML_3y1j4m2m" hidden="1">"IMG_17"</definedName>
    <definedName name="Img_ML_4b5b4m3y" hidden="1">"IMG_18"</definedName>
    <definedName name="Img_ML_4b5r5k9y" hidden="1">"IMG_18"</definedName>
    <definedName name="Img_ML_4g9t7u4l" hidden="1">"IMG_12"</definedName>
    <definedName name="Img_ML_4k4p2k2y" hidden="1">"IMG_6"</definedName>
    <definedName name="Img_ML_4k4z1z9l" hidden="1">"IMG_11"</definedName>
    <definedName name="Img_ML_4k8k7q4x" hidden="1">"IMG_18"</definedName>
    <definedName name="Img_ML_4m1m4x3e" hidden="1">"IMG_18"</definedName>
    <definedName name="Img_ML_4m3p5r8j" hidden="1">"IMG_10"</definedName>
    <definedName name="Img_ML_4n6t1k1h" hidden="1">"IMG_18"</definedName>
    <definedName name="Img_ML_4r3t2p9g" hidden="1">"IMG_18"</definedName>
    <definedName name="Img_ML_4s4r5e3c" hidden="1">"IMG_18"</definedName>
    <definedName name="Img_ML_5d3i8b5s" hidden="1">"IMG_10"</definedName>
    <definedName name="Img_ML_5e7s6t2u" hidden="1">"IMG_10"</definedName>
    <definedName name="Img_ML_5e9m1k3s" hidden="1">"IMG_11"</definedName>
    <definedName name="Img_ML_5f9d1i5x" hidden="1">"IMG_18"</definedName>
    <definedName name="Img_ML_5f9x9u4u" hidden="1">"IMG_18"</definedName>
    <definedName name="Img_ML_5g9z1u4m" hidden="1">"IMG_11"</definedName>
    <definedName name="Img_ML_5h6q3g8u" hidden="1">"IMG_12"</definedName>
    <definedName name="Img_ML_5i2f2p6v" hidden="1">"IMG_11"</definedName>
    <definedName name="Img_ML_5k1g6v5e" hidden="1">"IMG_18"</definedName>
    <definedName name="Img_ML_5k7e4n8n" hidden="1">"IMG_18"</definedName>
    <definedName name="Img_ML_5k8u7s9i" hidden="1">"IMG_11"</definedName>
    <definedName name="Img_ML_5p5a4d6d" hidden="1">"IMG_11"</definedName>
    <definedName name="Img_ML_6a6y1x1h" hidden="1">"IMG_18"</definedName>
    <definedName name="Img_ML_6d9u6u7z" hidden="1">"IMG_4"</definedName>
    <definedName name="Img_ML_6f2p1m9g" hidden="1">"IMG_10"</definedName>
    <definedName name="Img_ML_6j4v6x5i" hidden="1">"IMG_10"</definedName>
    <definedName name="Img_ML_6k5t7m9z" hidden="1">"IMG_4"</definedName>
    <definedName name="Img_ML_6k9c9p4d" hidden="1">"IMG_18"</definedName>
    <definedName name="Img_ML_6m3p7m9h" hidden="1">"IMG_18"</definedName>
    <definedName name="Img_ML_6m5d9e6r" hidden="1">"IMG_18"</definedName>
    <definedName name="Img_ML_6m6i9t6k" hidden="1">"IMG_18"</definedName>
    <definedName name="Img_ML_6n6c2h1d" hidden="1">"IMG_18"</definedName>
    <definedName name="Img_ML_6p2b6u6k" hidden="1">"IMG_12"</definedName>
    <definedName name="Img_ML_6p3m8v1n" hidden="1">"IMG_18"</definedName>
    <definedName name="Img_ML_6p9x3u7k" hidden="1">"IMG_18"</definedName>
    <definedName name="Img_ML_6r9u1n9k" hidden="1">"IMG_5"</definedName>
    <definedName name="Img_ML_6s4w4z2z" hidden="1">"IMG_3"</definedName>
    <definedName name="Img_ML_6s5x3m6z" hidden="1">"IMG_3"</definedName>
    <definedName name="Img_ML_6u1b6h4m" hidden="1">"IMG_18"</definedName>
    <definedName name="Img_ML_6u4t7r7e" hidden="1">"IMG_11"</definedName>
    <definedName name="Img_ML_6w6m7b7r" hidden="1">"IMG_10"</definedName>
    <definedName name="Img_ML_6y9f7y3n" hidden="1">"IMG_10"</definedName>
    <definedName name="Img_ML_7b3x8f2f" hidden="1">"IMG_18"</definedName>
    <definedName name="Img_ML_7d3a8x3f" hidden="1">"IMG_18"</definedName>
    <definedName name="Img_ML_7e1g7x4r" hidden="1">"IMG_18"</definedName>
    <definedName name="Img_ML_7f1w1m7s" hidden="1">"IMG_11"</definedName>
    <definedName name="Img_ML_7g4k9d6i" hidden="1">"IMG_10"</definedName>
    <definedName name="Img_ML_7g5e5e2b" hidden="1">"IMG_11"</definedName>
    <definedName name="Img_ML_7j3p5m6t" hidden="1">"IMG_18"</definedName>
    <definedName name="Img_ML_7j8s8t8i" hidden="1">"IMG_11"</definedName>
    <definedName name="Img_ML_7m3b4p7p" hidden="1">"IMG_18"</definedName>
    <definedName name="Img_ML_7m5m4k3b" hidden="1">"IMG_17"</definedName>
    <definedName name="Img_ML_7n6h3t1t" hidden="1">"IMG_17"</definedName>
    <definedName name="Img_ML_7s4w7c6r" hidden="1">"IMG_10"</definedName>
    <definedName name="Img_ML_7s5s8m2i" hidden="1">"IMG_12"</definedName>
    <definedName name="Img_ML_7t5s6e3m" hidden="1">"IMG_11"</definedName>
    <definedName name="Img_ML_7w3j1h9t" hidden="1">"IMG_18"</definedName>
    <definedName name="Img_ML_8a8m2p9x" hidden="1">"IMG_11"</definedName>
    <definedName name="Img_ML_8b4s3j4n" hidden="1">"IMG_18"</definedName>
    <definedName name="Img_ML_8b9j5t1p" hidden="1">"IMG_10"</definedName>
    <definedName name="Img_ML_8c2q5i2r" hidden="1">"IMG_18"</definedName>
    <definedName name="Img_ML_8d2v5j7j" hidden="1">"IMG_12"</definedName>
    <definedName name="Img_ML_8e3p4n9n" hidden="1">"IMG_18"</definedName>
    <definedName name="Img_ML_8f5v8k5i" hidden="1">"IMG_11"</definedName>
    <definedName name="Img_ML_8g3e4a7v" hidden="1">"IMG_17"</definedName>
    <definedName name="Img_ML_8h3m3i1m" hidden="1">"IMG_11"</definedName>
    <definedName name="Img_ML_8i9u7w8k" hidden="1">"IMG_18"</definedName>
    <definedName name="Img_ML_8j3w6p4c" hidden="1">"IMG_12"</definedName>
    <definedName name="Img_ML_8n6m2q6v" hidden="1">"IMG_18"</definedName>
    <definedName name="Img_ML_8r1k8t4y" hidden="1">"IMG_10"</definedName>
    <definedName name="Img_ML_8r9f4n4f" hidden="1">"IMG_18"</definedName>
    <definedName name="Img_ML_8s3q3c1i" hidden="1">"IMG_18"</definedName>
    <definedName name="Img_ML_8s9d7q9u" hidden="1">"IMG_11"</definedName>
    <definedName name="Img_ML_8t3m5u6f" hidden="1">"IMG_11"</definedName>
    <definedName name="Img_ML_8y3q6y4b" hidden="1">"IMG_18"</definedName>
    <definedName name="Img_ML_8y5b6i3r" hidden="1">"IMG_6"</definedName>
    <definedName name="Img_ML_9c9p6w6g" hidden="1">"IMG_18"</definedName>
    <definedName name="Img_ML_9e4j3y6n" hidden="1">"IMG_18"</definedName>
    <definedName name="Img_ML_9g2r1i7c" hidden="1">"IMG_18"</definedName>
    <definedName name="Img_ML_9g3r6t7h" hidden="1">"IMG_18"</definedName>
    <definedName name="Img_ML_9h6h8h8e" hidden="1">"IMG_18"</definedName>
    <definedName name="Img_ML_9h6p7r7t" hidden="1">"IMG_18"</definedName>
    <definedName name="Img_ML_9j3t2m3v" hidden="1">"IMG_18"</definedName>
    <definedName name="Img_ML_9m3v1d9u" hidden="1">"IMG_18"</definedName>
    <definedName name="Img_ML_9n1s4m5f" hidden="1">"IMG_18"</definedName>
    <definedName name="Img_ML_9t4s6m1a" hidden="1">"IMG_18"</definedName>
    <definedName name="Img_ML_9u2c1d4e" hidden="1">"IMG_11"</definedName>
    <definedName name="Img_ML_9v4y5y5t" hidden="1">"IMG_11"</definedName>
    <definedName name="Img_ML_9v6s2g1u" hidden="1">"IMG_18"</definedName>
    <definedName name="Img_NAV_chart" hidden="1">"IMG_50"</definedName>
    <definedName name="Img_Office_S_vs_Rental" hidden="1">"IMG_10"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FOOTNOTE" hidden="1">"c4540"</definedName>
    <definedName name="IQ_EST_FOOTNOTE_CIQ" hidden="1">"c12022"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42549.6547106481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39890.4646875</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F17" hidden="1">"$AF$18:$AF$270"</definedName>
    <definedName name="iQShowHideColumns" hidden="1">"iQShowAnnual"</definedName>
    <definedName name="limcount" hidden="1">1</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M_PlaceofPath" hidden="1">"H:\excel\AIG\aig_vdf.xls"</definedName>
    <definedName name="MnPrices" hidden="1">#REF!</definedName>
    <definedName name="MODEL_db_ORIGINATOR" hidden="1">"1"</definedName>
    <definedName name="MODEL_db_TICKER" hidden="1">"ABC"</definedName>
    <definedName name="print" hidden="1">{"Page One",#N/A,FALSE,"Summary";"Page Two",#N/A,FALSE,"Summary"}</definedName>
    <definedName name="print.new" hidden="1">{"Print CRXLAND Assumptions",#N/A,FALSE,"CRXLAND Openings";"Print CRXLAND Openings",#N/A,FALSE,"CRXLAND Openings"}</definedName>
    <definedName name="q" hidden="1">{"Qtr Op Mgd Q2",#N/A,FALSE,"Qtr-Op (Mng)";"Qtr Op Rpt Q2",#N/A,FALSE,"Qtr-Op (Rpt)";"Operating Vs Reported",#N/A,FALSE,"Rpt-Op Inc"}</definedName>
    <definedName name="qwer" hidden="1">{"'Outline (2)'!$A$1:$Q$7"}</definedName>
    <definedName name="rep" hidden="1">{#N/A,#N/A,FALSE,"COVER";#N/A,#N/A,FALSE,"VALUATION";#N/A,#N/A,FALSE,"FORECAST";#N/A,#N/A,FALSE,"FY ANALYSIS ";#N/A,#N/A,FALSE," HY ANALYSIS"}</definedName>
    <definedName name="RiM_A.ValMethod" hidden="1">[17]Database!$C$12</definedName>
    <definedName name="RiM_SHAREUNITS" hidden="1">"U.WN.MIL"</definedName>
    <definedName name="RiM_UNITS" hidden="1">"U.CUR.MIL"</definedName>
    <definedName name="rrrrrr"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wvu.bal_98." hidden="1">[8]BALSHT_S!$C$1:$H$65536</definedName>
    <definedName name="Rwvu.Full_Year." hidden="1">[8]PE1_S!$D$1:$H$65536,[8]PE1_S!$L$1:$M$65536,[8]PE1_S!$O$1:$P$65536,[8]PE1_S!$R$1:$S$65536</definedName>
    <definedName name="s" hidden="1">{"IND","COMPANIES",TRUE}</definedName>
    <definedName name="sencount" hidden="1">1</definedName>
    <definedName name="solver_cvg" hidden="1">0.000000001</definedName>
    <definedName name="solver_drv" hidden="1">1</definedName>
    <definedName name="solver_est" hidden="1">1</definedName>
    <definedName name="solver_itr" hidden="1">10000</definedName>
    <definedName name="solver_lin" hidden="1">2</definedName>
    <definedName name="solver_lin_1" hidden="1">0</definedName>
    <definedName name="solver_neg" hidden="1">2</definedName>
    <definedName name="solver_num" hidden="1">0</definedName>
    <definedName name="solver_nwt" hidden="1">1</definedName>
    <definedName name="solver_opt" hidden="1">[18]old!#REF!</definedName>
    <definedName name="solver_pre" hidden="1">0.000000000001</definedName>
    <definedName name="solver_scl" hidden="1">2</definedName>
    <definedName name="solver_sho" hidden="1">2</definedName>
    <definedName name="solver_tim" hidden="1">1000</definedName>
    <definedName name="solver_tol" hidden="1">0.000000000001</definedName>
    <definedName name="solver_typ" hidden="1">3</definedName>
    <definedName name="solver_val" hidden="1">0</definedName>
    <definedName name="srthhdg" hidden="1">{"Revenue by Industry Chart",#N/A,FALSE,"Mix";"Annual Revenue Detail",#N/A,FALSE,"Mix";"Quarterly Revenue Detail",#N/A,FALSE,"Mix"}</definedName>
    <definedName name="ssss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wvu.bal_98." hidden="1">[8]BALSHT_S!$A$1:$M$65536</definedName>
    <definedName name="Swvu.Detail." hidden="1">'[9]Fert. &amp; Chem.'!$J$8</definedName>
    <definedName name="Swvu.Forestry." hidden="1">[9]Bunnings!$D$384</definedName>
    <definedName name="Swvu.Full_Year." hidden="1">[8]PE1_S!$A$1:$Z$65536</definedName>
    <definedName name="Swvu.Merch_Summary." hidden="1">[9]Bunnings!$F$106</definedName>
    <definedName name="Swvu.Summary." hidden="1">'[9]Fert. &amp; Chem.'!$A$35:$IV$35</definedName>
    <definedName name="Swvu.Warehouse." hidden="1">[9]Bunnings!$G$102</definedName>
    <definedName name="Tigr_Exhibit2cf0c7a4_8079_452d_90b1_946b4ca5791e" hidden="1">[19]GS!#REF!</definedName>
    <definedName name="Tigr_Exhibit3edd6723_b4b8_4c96_a3d2_86d3ddbd543d" hidden="1">[19]GS!#REF!</definedName>
    <definedName name="Tigr_Exhibitf2941059_9aad_40de_bd7f_fb976c9da072" hidden="1">[19]GS!#REF!</definedName>
    <definedName name="tmp_1553" hidden="1">#REF!</definedName>
    <definedName name="tmp_1555" hidden="1">#REF!</definedName>
    <definedName name="tmp_194" hidden="1">#REF!</definedName>
    <definedName name="tmp_92" hidden="1">#REF!</definedName>
    <definedName name="tmpLoadSedol" hidden="1">#REF!</definedName>
    <definedName name="ttttt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known_CWN" hidden="1">{"PAGE1",#N/A,FALSE,"Consolidation";"PAGE2",#N/A,FALSE,"Consolidation";"PAGE3",#N/A,FALSE,"Consolidation";"PAGE4",#N/A,FALSE,"Consolidation";"PAGE5",#N/A,FALSE,"Consolidation";"PAGE6",#N/A,FALSE,"Consolidation";"PAGE7",#N/A,FALSE,"Consolidation"}</definedName>
    <definedName name="unknown" hidden="1">{"PAGE1",#N/A,FALSE,"Consolidation";"PAGE2",#N/A,FALSE,"Consolidation";"PAGE3",#N/A,FALSE,"Consolidation";"PAGE4",#N/A,FALSE,"Consolidation";"PAGE5",#N/A,FALSE,"Consolidation";"PAGE6",#N/A,FALSE,"Consolidation";"PAGE7",#N/A,FALSE,"Consolidation"}</definedName>
    <definedName name="unknown_1" hidden="1">{"PAGE1",#N/A,FALSE,"Consolidation";"PAGE2",#N/A,FALSE,"Consolidation";"PAGE3",#N/A,FALSE,"Consolidation";"PAGE4",#N/A,FALSE,"Consolidation";"PAGE5",#N/A,FALSE,"Consolidation";"PAGE6",#N/A,FALSE,"Consolidation";"PAGE7",#N/A,FALSE,"Consolidation"}</definedName>
    <definedName name="unknown_2" hidden="1">{"PAGE1",#N/A,FALSE,"Consolidation";"PAGE2",#N/A,FALSE,"Consolidation";"PAGE3",#N/A,FALSE,"Consolidation";"PAGE4",#N/A,FALSE,"Consolidation";"PAGE5",#N/A,FALSE,"Consolidation";"PAGE6",#N/A,FALSE,"Consolidation";"PAGE7",#N/A,FALSE,"Consolidation"}</definedName>
    <definedName name="unknown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2" hidden="1">{"Print Summary",#N/A,FALSE,"Bal_Graphs";"Print Summary",#N/A,FALSE,"DCF";"Print Summary",#N/A,FALSE,"Graphs";"Print Summary",#N/A,FALSE,"Summary"}</definedName>
    <definedName name="unknown2_1" hidden="1">{"Print Summary",#N/A,FALSE,"Bal_Graphs";"Print Summary",#N/A,FALSE,"DCF";"Print Summary",#N/A,FALSE,"Graphs";"Print Summary",#N/A,FALSE,"Summary"}</definedName>
    <definedName name="unknown2_2" hidden="1">{"Print Summary",#N/A,FALSE,"Bal_Graphs";"Print Summary",#N/A,FALSE,"DCF";"Print Summary",#N/A,FALSE,"Graphs";"Print Summary",#N/A,FALSE,"Summary"}</definedName>
    <definedName name="unknown2_CWN" hidden="1">{"Print Summary",#N/A,FALSE,"Bal_Graphs";"Print Summary",#N/A,FALSE,"DCF";"Print Summary",#N/A,FALSE,"Graphs";"Print Summary",#N/A,FALSE,"Summary"}</definedName>
    <definedName name="unknown3" hidden="1">{"PAGE1",#N/A,FALSE,"Consolidation";"PAGE2",#N/A,FALSE,"Consolidation";"PAGE3",#N/A,FALSE,"Consolidation";"PAGE4",#N/A,FALSE,"Consolidation";"PAGE5",#N/A,FALSE,"Consolidation";"PAGE6",#N/A,FALSE,"Consolidation";"PAGE7",#N/A,FALSE,"Consolidation"}</definedName>
    <definedName name="unknown3_1" hidden="1">{"PAGE1",#N/A,FALSE,"Consolidation";"PAGE2",#N/A,FALSE,"Consolidation";"PAGE3",#N/A,FALSE,"Consolidation";"PAGE4",#N/A,FALSE,"Consolidation";"PAGE5",#N/A,FALSE,"Consolidation";"PAGE6",#N/A,FALSE,"Consolidation";"PAGE7",#N/A,FALSE,"Consolidation"}</definedName>
    <definedName name="unknown3_2" hidden="1">{"PAGE1",#N/A,FALSE,"Consolidation";"PAGE2",#N/A,FALSE,"Consolidation";"PAGE3",#N/A,FALSE,"Consolidation";"PAGE4",#N/A,FALSE,"Consolidation";"PAGE5",#N/A,FALSE,"Consolidation";"PAGE6",#N/A,FALSE,"Consolidation";"PAGE7",#N/A,FALSE,"Consolidation"}</definedName>
    <definedName name="unknown3_CWN" hidden="1">{"PAGE1",#N/A,FALSE,"Consolidation";"PAGE2",#N/A,FALSE,"Consolidation";"PAGE3",#N/A,FALSE,"Consolidation";"PAGE4",#N/A,FALSE,"Consolidation";"PAGE5",#N/A,FALSE,"Consolidation";"PAGE6",#N/A,FALSE,"Consolidation";"PAGE7",#N/A,FALSE,"Consolidation"}</definedName>
    <definedName name="unknown4" hidden="1">{"PAGE1",#N/A,FALSE,"Consolidation";"PAGE2",#N/A,FALSE,"Consolidation";"PAGE3",#N/A,FALSE,"Consolidation";"PAGE4",#N/A,FALSE,"Consolidation";"PAGE5",#N/A,FALSE,"Consolidation";"PAGE6",#N/A,FALSE,"Consolidation";"PAGE7",#N/A,FALSE,"Consolidation"}</definedName>
    <definedName name="unknown4_1" hidden="1">{"PAGE1",#N/A,FALSE,"Consolidation";"PAGE2",#N/A,FALSE,"Consolidation";"PAGE3",#N/A,FALSE,"Consolidation";"PAGE4",#N/A,FALSE,"Consolidation";"PAGE5",#N/A,FALSE,"Consolidation";"PAGE6",#N/A,FALSE,"Consolidation";"PAGE7",#N/A,FALSE,"Consolidation"}</definedName>
    <definedName name="unknown4_2" hidden="1">{"PAGE1",#N/A,FALSE,"Consolidation";"PAGE2",#N/A,FALSE,"Consolidation";"PAGE3",#N/A,FALSE,"Consolidation";"PAGE4",#N/A,FALSE,"Consolidation";"PAGE5",#N/A,FALSE,"Consolidation";"PAGE6",#N/A,FALSE,"Consolidation";"PAGE7",#N/A,FALSE,"Consolidation"}</definedName>
    <definedName name="unknown4_CWN" hidden="1">{"PAGE1",#N/A,FALSE,"Consolidation";"PAGE2",#N/A,FALSE,"Consolidation";"PAGE3",#N/A,FALSE,"Consolidation";"PAGE4",#N/A,FALSE,"Consolidation";"PAGE5",#N/A,FALSE,"Consolidation";"PAGE6",#N/A,FALSE,"Consolidation";"PAGE7",#N/A,FALSE,"Consolidation"}</definedName>
    <definedName name="unknown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6" hidden="1">{"Print Summary",#N/A,FALSE,"Bal_Graphs";"Print Summary",#N/A,FALSE,"DCF";"Print Summary",#N/A,FALSE,"Graphs";"Print Summary",#N/A,FALSE,"Summary"}</definedName>
    <definedName name="unknown6_1" hidden="1">{"Print Summary",#N/A,FALSE,"Bal_Graphs";"Print Summary",#N/A,FALSE,"DCF";"Print Summary",#N/A,FALSE,"Graphs";"Print Summary",#N/A,FALSE,"Summary"}</definedName>
    <definedName name="unknown6_2" hidden="1">{"Print Summary",#N/A,FALSE,"Bal_Graphs";"Print Summary",#N/A,FALSE,"DCF";"Print Summary",#N/A,FALSE,"Graphs";"Print Summary",#N/A,FALSE,"Summary"}</definedName>
    <definedName name="unknown6_CWN" hidden="1">{"Print Summary",#N/A,FALSE,"Bal_Graphs";"Print Summary",#N/A,FALSE,"DCF";"Print Summary",#N/A,FALSE,"Graphs";"Print Summary",#N/A,FALSE,"Summary"}</definedName>
    <definedName name="unknown7" hidden="1">{"PAGE1",#N/A,FALSE,"Consolidation";"PAGE2",#N/A,FALSE,"Consolidation";"PAGE3",#N/A,FALSE,"Consolidation";"PAGE4",#N/A,FALSE,"Consolidation";"PAGE5",#N/A,FALSE,"Consolidation";"PAGE6",#N/A,FALSE,"Consolidation";"PAGE7",#N/A,FALSE,"Consolidation"}</definedName>
    <definedName name="unknown7_1" hidden="1">{"PAGE1",#N/A,FALSE,"Consolidation";"PAGE2",#N/A,FALSE,"Consolidation";"PAGE3",#N/A,FALSE,"Consolidation";"PAGE4",#N/A,FALSE,"Consolidation";"PAGE5",#N/A,FALSE,"Consolidation";"PAGE6",#N/A,FALSE,"Consolidation";"PAGE7",#N/A,FALSE,"Consolidation"}</definedName>
    <definedName name="unknown7_2" hidden="1">{"PAGE1",#N/A,FALSE,"Consolidation";"PAGE2",#N/A,FALSE,"Consolidation";"PAGE3",#N/A,FALSE,"Consolidation";"PAGE4",#N/A,FALSE,"Consolidation";"PAGE5",#N/A,FALSE,"Consolidation";"PAGE6",#N/A,FALSE,"Consolidation";"PAGE7",#N/A,FALSE,"Consolidation"}</definedName>
    <definedName name="unknown7_CWN" hidden="1">{"PAGE1",#N/A,FALSE,"Consolidation";"PAGE2",#N/A,FALSE,"Consolidation";"PAGE3",#N/A,FALSE,"Consolidation";"PAGE4",#N/A,FALSE,"Consolidation";"PAGE5",#N/A,FALSE,"Consolidation";"PAGE6",#N/A,FALSE,"Consolidation";"PAGE7",#N/A,FALSE,"Consolidation"}</definedName>
    <definedName name="uuuuu"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ver1.0" hidden="1">#REF!</definedName>
    <definedName name="ver1.01" hidden="1">#REF!</definedName>
    <definedName name="ver1.1" hidden="1">#REF!</definedName>
    <definedName name="war.client_detailed_skc" hidden="1">{"Full_Year",#N/A,FALSE,"PE1_S";"Full_Year",#N/A,FALSE,"Cashflow_EPS";"Full_Year",#N/A,FALSE,"EBIT_DIV"}</definedName>
    <definedName name="warn.full_client_skc" hidden="1">{"Full_Year",#N/A,FALSE,"PE1_S";"Automotive",#N/A,FALSE,"Auto_EBIT";#N/A,#N/A,FALSE,"Industrial_EBIT";#N/A,#N/A,FALSE,"Webforge_EBIT"}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ll."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MPJAN96." hidden="1">{"Associates",#N/A,FALSE,"FULLESTI";"GPEBIT",#N/A,FALSE,"FULLESTI";"USEBIT",#N/A,FALSE,"FULLESTI";"UKEBIT",#N/A,FALSE,"FULLESTI";"AUSTEBIT",#N/A,FALSE,"FULLESTI"}</definedName>
    <definedName name="wrn.Bunnings." hidden="1">{"Summary",#N/A,FALSE,"Bunnings";"Merch_Summary",#N/A,FALSE,"Bunnings";"Forestry",#N/A,FALSE,"Bunnings"}</definedName>
    <definedName name="wrn.Cable." hidden="1">{"Cable_front",#N/A,TRUE,"Cable";"Cable_back",#N/A,TRUE,"Cable"}</definedName>
    <definedName name="wrn.Client." hidden="1">{"Full_Year",#N/A,FALSE,"PE1_S";#N/A,#N/A,FALSE,"DIVIS_S"}</definedName>
    <definedName name="wrn.Client._1" hidden="1">{"Full_Year",#N/A,FALSE,"PE1_S";#N/A,#N/A,FALSE,"DIVIS_S"}</definedName>
    <definedName name="wrn.Client._2" hidden="1">{"Full_Year",#N/A,FALSE,"PE1_S";#N/A,#N/A,FALSE,"DIVIS_S"}</definedName>
    <definedName name="wrn.Client_CWN" hidden="1">{"Full_Year",#N/A,FALSE,"PE1_S";#N/A,#N/A,FALSE,"DIVIS_S"}</definedName>
    <definedName name="wrn.Client_Detailed." hidden="1">{"Full_Year",#N/A,FALSE,"PE1_S";"Full_Year",#N/A,FALSE,"Cashflow_EPS";"Full_Year",#N/A,FALSE,"EBIT_DIV"}</definedName>
    <definedName name="wrn.Client_Detailed._1" hidden="1">{"Full_Year",#N/A,FALSE,"PE1_S";"Full_Year",#N/A,FALSE,"Cashflow_EPS";"Full_Year",#N/A,FALSE,"EBIT_DIV"}</definedName>
    <definedName name="wrn.Client_Detailed._2" hidden="1">{"Full_Year",#N/A,FALSE,"PE1_S";"Full_Year",#N/A,FALSE,"Cashflow_EPS";"Full_Year",#N/A,FALSE,"EBIT_DIV"}</definedName>
    <definedName name="wrn.client_detailed_CWN" hidden="1">{"Full_Year",#N/A,FALSE,"PE1_S";"Full_Year",#N/A,FALSE,"Cashflow_EPS";"Full_Year",#N/A,FALSE,"EBIT_DIV"}</definedName>
    <definedName name="wrn.client_SKC" hidden="1">{"Full_Year",#N/A,FALSE,"PE1_S";#N/A,#N/A,FALSE,"DIVIS_S"}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hidden="1">{"PAGE1",#N/A,FALSE,"Consolidation";"PAGE2",#N/A,FALSE,"Consolidation";"PAGE3",#N/A,FALSE,"Consolidation";"PAGE4",#N/A,FALSE,"Consolidation";"PAGE5",#N/A,FALSE,"Consolidation";"PAGE6",#N/A,FALSE,"Consolidation";"PAGE7",#N/A,FALSE,"Consolidation"}</definedName>
    <definedName name="wrn.cons_1" hidden="1">{"PAGE1",#N/A,FALSE,"Consolidation";"PAGE2",#N/A,FALSE,"Consolidation";"PAGE3",#N/A,FALSE,"Consolidation";"PAGE4",#N/A,FALSE,"Consolidation";"PAGE5",#N/A,FALSE,"Consolidation";"PAGE6",#N/A,FALSE,"Consolidation";"PAGE7",#N/A,FALSE,"Consolidation"}</definedName>
    <definedName name="wrn.cons_2" hidden="1">{"PAGE1",#N/A,FALSE,"Consolidation";"PAGE2",#N/A,FALSE,"Consolidation";"PAGE3",#N/A,FALSE,"Consolidation";"PAGE4",#N/A,FALSE,"Consolidation";"PAGE5",#N/A,FALSE,"Consolidation";"PAGE6",#N/A,FALSE,"Consolidation";"PAGE7",#N/A,FALSE,"Consolidation"}</definedName>
    <definedName name="wrn.cons_CWN"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SOLIDATION._1" hidden="1">{"PAGE1",#N/A,FALSE,"Consolidation";"PAGE2",#N/A,FALSE,"Consolidation";"PAGE3",#N/A,FALSE,"Consolidation";"PAGE4",#N/A,FALSE,"Consolidation";"PAGE5",#N/A,FALSE,"Consolidation";"PAGE6",#N/A,FALSE,"Consolidation";"PAGE7",#N/A,FALSE,"Consolidation"}</definedName>
    <definedName name="wrn.CONSOLIDATION._2" hidden="1">{"PAGE1",#N/A,FALSE,"Consolidation";"PAGE2",#N/A,FALSE,"Consolidation";"PAGE3",#N/A,FALSE,"Consolidation";"PAGE4",#N/A,FALSE,"Consolidation";"PAGE5",#N/A,FALSE,"Consolidation";"PAGE6",#N/A,FALSE,"Consolidation";"PAGE7",#N/A,FALSE,"Consolidation"}</definedName>
    <definedName name="wrn.CONSOLIDATION_CWN" hidden="1">{"PAGE1",#N/A,FALSE,"Consolidation";"PAGE2",#N/A,FALSE,"Consolidation";"PAGE3",#N/A,FALSE,"Consolidation";"PAGE4",#N/A,FALSE,"Consolidation";"PAGE5",#N/A,FALSE,"Consolidation";"PAGE6",#N/A,FALSE,"Consolidation";"PAGE7",#N/A,FALSE,"Consolidation"}</definedName>
    <definedName name="wrn.daily." hidden="1">{#N/A,#N/A,FALSE,"Major v. River";#N/A,#N/A,FALSE,"Large Operators";#N/A,#N/A,FALSE,"Smaller Operators";#N/A,#N/A,FALSE,"Equip. Supply";#N/A,#N/A,FALSE,"EBITDA"}</definedName>
    <definedName name="wrn.dcf." hidden="1">{"mgmt forecast",#N/A,FALSE,"Mgmt Forecast";"dcf table",#N/A,FALSE,"Mgmt Forecast";"sensitivity",#N/A,FALSE,"Mgmt Forecast";"table inputs",#N/A,FALSE,"Mgmt Forecast";"calculations",#N/A,FALSE,"Mgmt Forecast"}</definedName>
    <definedName name="wrn.Divisional._.Summaries." hidden="1">{"Divisional summaries",#N/A,TRUE,"Model"}</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Divisional._.Analysis." hidden="1">{#N/A,"Likely capex",TRUE,"Model";#N/A,"Optimal ROAs",TRUE,"Model";"Full Divisional Analysis","Aggressive asset sales",TRUE,"Model"}</definedName>
    <definedName name="wrn.Full._.EBITDA._.Valuation." hidden="1">{"Full EBITDA valuation",#N/A,FALSE,"Value"}</definedName>
    <definedName name="wrn.Full._.Report." hidden="1">{"Assumptions",#N/A,FALSE,"Sheet1";"Main Report",#N/A,FALSE,"Sheet1";"Results",#N/A,FALSE,"Sheet1";"Advances",#N/A,FALSE,"Sheet1"}</definedName>
    <definedName name="wrn.Full._.Report._1" hidden="1">{"Assumptions",#N/A,FALSE,"Sheet1";"Main Report",#N/A,FALSE,"Sheet1";"Results",#N/A,FALSE,"Sheet1";"Advances",#N/A,FALSE,"Sheet1"}</definedName>
    <definedName name="wrn.Full._.Report._2" hidden="1">{"Assumptions",#N/A,FALSE,"Sheet1";"Main Report",#N/A,FALSE,"Sheet1";"Results",#N/A,FALSE,"Sheet1";"Advances",#N/A,FALSE,"Sheet1"}</definedName>
    <definedName name="wrn.full._report_CWN" hidden="1">{"Assumptions",#N/A,FALSE,"Sheet1";"Main Report",#N/A,FALSE,"Sheet1";"Results",#N/A,FALSE,"Sheet1";"Advances",#N/A,FALSE,"Sheet1"}</definedName>
    <definedName name="wrn.Full_Client." hidden="1">{"Full_Year",#N/A,FALSE,"PE1_S";"Automotive",#N/A,FALSE,"Auto_EBIT";#N/A,#N/A,FALSE,"Industrial_EBIT";#N/A,#N/A,FALSE,"Webforge_EBIT"}</definedName>
    <definedName name="wrn.Full_Client._1" hidden="1">{"Full_Year",#N/A,FALSE,"PE1_S";"Automotive",#N/A,FALSE,"Auto_EBIT";#N/A,#N/A,FALSE,"Industrial_EBIT";#N/A,#N/A,FALSE,"Webforge_EBIT"}</definedName>
    <definedName name="wrn.Full_Client._2" hidden="1">{"Full_Year",#N/A,FALSE,"PE1_S";"Automotive",#N/A,FALSE,"Auto_EBIT";#N/A,#N/A,FALSE,"Industrial_EBIT";#N/A,#N/A,FALSE,"Webforge_EBIT"}</definedName>
    <definedName name="wrn.full_client_CWN" hidden="1">{"Full_Year",#N/A,FALSE,"PE1_S";"Automotive",#N/A,FALSE,"Auto_EBIT";#N/A,#N/A,FALSE,"Industrial_EBIT";#N/A,#N/A,FALSE,"Webforge_EBIT"}</definedName>
    <definedName name="wrn.Full_Model." hidden="1">{"Full_Year",#N/A,FALSE,"P&amp;L";#N/A,#N/A,FALSE,"C_flow_EPS";"B_Sheet",#N/A,FALSE,"B_Sheet";"Detail",#N/A,FALSE,"Fert. &amp; Chem.";#N/A,#N/A,FALSE,"Energy";"Merch_Summary",#N/A,FALSE,"Bunnings";"Warehouse",#N/A,FALSE,"Bunnings";"Forestry",#N/A,FALSE,"Bunnings";#N/A,#N/A,FALSE,"Rural"}</definedName>
    <definedName name="wrn.IGT._.Model." hidden="1">{#N/A,#N/A,TRUE,"IGT";#N/A,#N/A,TRUE,"IGTSLOT"}</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and._.output._2"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vel._.4." hidden="1">{#N/A,#N/A,FALSE,"Income";#N/A,#N/A,FALSE,"EPS";#N/A,#N/A,FALSE,"CashFlow";#N/A,#N/A,FALSE,"Quarterly";#N/A,#N/A,FALSE,"Dividend";#N/A,#N/A,FALSE,"DetailedRegional";#N/A,#N/A,FALSE,"Return On Equity";#N/A,#N/A,FALSE,"Financials &amp; Ratios";#N/A,#N/A,FALSE,"Other";#N/A,#N/A,FALSE,"Inventory"}</definedName>
    <definedName name="wrn.Level._.4._1" hidden="1">{#N/A,#N/A,FALSE,"Income";#N/A,#N/A,FALSE,"EPS";#N/A,#N/A,FALSE,"CashFlow";#N/A,#N/A,FALSE,"Quarterly";#N/A,#N/A,FALSE,"Dividend";#N/A,#N/A,FALSE,"DetailedRegional";#N/A,#N/A,FALSE,"Return On Equity";#N/A,#N/A,FALSE,"Financials &amp; Ratios";#N/A,#N/A,FALSE,"Other";#N/A,#N/A,FALSE,"Inventory"}</definedName>
    <definedName name="wrn.Level._.4._2" hidden="1">{#N/A,#N/A,FALSE,"Income";#N/A,#N/A,FALSE,"EPS";#N/A,#N/A,FALSE,"CashFlow";#N/A,#N/A,FALSE,"Quarterly";#N/A,#N/A,FALSE,"Dividend";#N/A,#N/A,FALSE,"DetailedRegional";#N/A,#N/A,FALSE,"Return On Equity";#N/A,#N/A,FALSE,"Financials &amp; Ratios";#N/A,#N/A,FALSE,"Other";#N/A,#N/A,FALSE,"Inventory"}</definedName>
    <definedName name="wrn.Lodging." hidden="1">{#N/A,#N/A,FALSE,"EPS";#N/A,#N/A,FALSE,"EBITDA"}</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irBellagio." hidden="1">{#N/A,#N/A,FALSE,"MIR";#N/A,#N/A,FALSE,"NYNY"}</definedName>
    <definedName name="wrn.Model." hidden="1">{#N/A,#N/A,FALSE,"PRH";#N/A,#N/A,FALSE,"Units"}</definedName>
    <definedName name="wrn.Model._.Level._.3." hidden="1">{"Income (All hidden)",#N/A,FALSE,"Income";"EPS (All Hidden)",#N/A,FALSE,"EPS";"EPS (All Hidden)",#N/A,FALSE,"CashFlow";"Quarterly (Last, Current and Next)",#N/A,FALSE,"Quarterly"}</definedName>
    <definedName name="wrn.Model._.Level._.3._1" hidden="1">{"Income (All hidden)",#N/A,FALSE,"Income";"EPS (All Hidden)",#N/A,FALSE,"EPS";"EPS (All Hidden)",#N/A,FALSE,"CashFlow";"Quarterly (Last, Current and Next)",#N/A,FALSE,"Quarterly"}</definedName>
    <definedName name="wrn.Model._.Level._.3._2" hidden="1">{"Income (All hidden)",#N/A,FALSE,"Income";"EPS (All Hidden)",#N/A,FALSE,"EPS";"EPS (All Hidden)",#N/A,FALSE,"CashFlow";"Quarterly (Last, Current and Next)",#N/A,FALSE,"Quarterly"}</definedName>
    <definedName name="wrn.monthly." hidden="1">{#N/A,#N/A,FALSE,"Running Total";#N/A,#N/A,FALSE,"Oct 96";#N/A,#N/A,FALSE,"Nov 96";#N/A,#N/A,FALSE,"Dec 96";#N/A,#N/A,FALSE,"Jan 97";#N/A,#N/A,FALSE,"Feb 97";#N/A,#N/A,FALSE,"Mar 97";#N/A,#N/A,FALSE,"Apr 97";#N/A,#N/A,FALSE,"May 97";#N/A,#N/A,FALSE,"June 97";#N/A,#N/A,FALSE,"July 97"}</definedName>
    <definedName name="wrn.pres." hidden="1">{#N/A,#N/A,FALSE,"Major v. River";#N/A,#N/A,FALSE,"Industry";#N/A,#N/A,FALSE,"Large Operators";#N/A,#N/A,FALSE,"Smaller Operators";#N/A,#N/A,FALSE,"Equip. Supply";#N/A,#N/A,FALSE,"EBITDA";#N/A,#N/A,FALSE,"States";#N/A,#N/A,FALSE,"LV Detail"}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 hidden="1">{"Cashflow",#N/A,FALSE,"CASHFLOW";"DCF",#N/A,FALSE,"CASHFLOW"}</definedName>
    <definedName name="wrn.Print._.CRXLAND._.Openings." hidden="1">{"Print CRXLAND Assumptions",#N/A,FALSE,"CRXLAND Openings";"Print CRXLAND Openings",#N/A,FALSE,"CRXLAND Openings"}</definedName>
    <definedName name="wrn.Print._.Everything."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Full." hidden="1">{"Combined Prices",#N/A,FALSE,"Tab 1-Price Performance";"Combined Summary",#N/A,FALSE,"Tab 2-Valuation Summary";"Combined FCF",#N/A,FALSE,"Tab 3-FCF";"Combined Sensitivity",#N/A,FALSE,"Tab 4-Earnings Sensitivity";"Combined Credit",#N/A,FALSE,"Tab 5-Credit";"Print NAV",#N/A,FALSE,"Tab 6-Lodging NAV Analysis"}</definedName>
    <definedName name="wrn.Print._.Gaming._.Only." hidden="1">{"Gaming Prices",#N/A,FALSE,"Tab 1-Price Performance";"Gaming Summary",#N/A,FALSE,"Tab 2-Valuation Summary";"Gaming FCF",#N/A,FALSE,"Tab 3-FCF";"Gaming Sensitivity",#N/A,FALSE,"Tab 4-Earnings Sensitivity";"Gaming Credit",#N/A,FALSE,"Tab 5-Credit"}</definedName>
    <definedName name="wrn.Print._.Inc.._.Statement._.and._.Stats.." hidden="1">{"print annual inc. statement",#N/A,FALSE,"Summary";"print annual stats",#N/A,FALSE,"Summary";"print quarterly inc. statement",#N/A,FALSE,"Summary";"print quarterly stats",#N/A,FALSE,"Summary"}</definedName>
    <definedName name="wrn.Print._.Lodging._.Only." hidden="1">{"Lodging Prices",#N/A,FALSE,"Tab 1-Price Performance";"Lodging Summary",#N/A,FALSE,"Tab 2-Valuation Summary";"Lodging FCF",#N/A,FALSE,"Tab 3-FCF";"Lodging Sensitivity",#N/A,FALSE,"Tab 4-Earnings Sensitivity";"Lodging Credit",#N/A,FALSE,"Tab 5-Credit";"Print NAV",#N/A,FALSE,"Tab 6-Lodging NAV Analysis"}</definedName>
    <definedName name="wrn.Print._.Model." hidden="1">{"income statement",#N/A,FALSE,"Model RAL";"balance sheet",#N/A,FALSE,"Model RAL";"cash flows",#N/A,FALSE,"Model RAL";"op drivers",#N/A,FALSE,"Model RAL";"hotel stats",#N/A,FALSE,"Model RAL";"owned drivers",#N/A,FALSE,"Model RAL";"managed drivers",#N/A,FALSE,"Model RAL"}</definedName>
    <definedName name="wrn.Print._.Report." hidden="1">{"annual",#N/A,FALSE,"Sheet2";"quarters",#N/A,FALSE,"Sheet2"}</definedName>
    <definedName name="wrn.Print._.SPHI._.Openings." hidden="1">{"Print SPHI Assumptions",#N/A,FALSE,"SPHI Openings";"Print SPHI Openings",#N/A,FALSE,"SPHI Openings"}</definedName>
    <definedName name="wrn.Print._.STAY._.Openings." hidden="1">{"print STAY opening assumptions",#N/A,FALSE,"STAY Openings";"print STAY openings",#N/A,FALSE,"STAY Openings"}</definedName>
    <definedName name="wrn.Print._.Three._.Page._.Model." hidden="1">{"Page One",#N/A,FALSE,"Model";"Page 2",#N/A,FALSE,"Model";"Page 3",#N/A,FALSE,"Model"}</definedName>
    <definedName name="wrn.Printout." hidden="1">{"page1",#N/A,FALSE,"Casual RLE";"page2",#N/A,FALSE,"Casual RLE"}</definedName>
    <definedName name="wrn.Q2._.Press._.Release." hidden="1">{"Q2_STMT_INC_PR",#N/A,FALSE,"STMT OF INC";"Q2 SUPPL INFO PR",#N/A,FALSE,"SUPPL INFO"}</definedName>
    <definedName name="wrn.Report." hidden="1">{"Cashflow",#N/A,FALSE,"CASHFLOW";"DCF",#N/A,FALSE,"CASHFLOW"}</definedName>
    <definedName name="wrn.Revenue._.Details." hidden="1">{"Revenue by Industry Chart",#N/A,FALSE,"Mix";"Annual Revenue Detail",#N/A,FALSE,"Mix";"Quarterly Revenue Detail",#N/A,FALSE,"Mix"}</definedName>
    <definedName name="wrn.Summary." hidden="1">{"Print Summary",#N/A,FALSE,"Bal_Graphs";"Print Summary",#N/A,FALSE,"DCF";"Print Summary",#N/A,FALSE,"Graphs";"Print Summary",#N/A,FALSE,"Summary"}</definedName>
    <definedName name="wrn.Summary._1" hidden="1">{"Print Summary",#N/A,FALSE,"Bal_Graphs";"Print Summary",#N/A,FALSE,"DCF";"Print Summary",#N/A,FALSE,"Graphs";"Print Summary",#N/A,FALSE,"Summary"}</definedName>
    <definedName name="wrn.Summary._2" hidden="1">{"Print Summary",#N/A,FALSE,"Bal_Graphs";"Print Summary",#N/A,FALSE,"DCF";"Print Summary",#N/A,FALSE,"Graphs";"Print Summary",#N/A,FALSE,"Summary"}</definedName>
    <definedName name="wrn.summary_CWN" hidden="1">{"Print Summary",#N/A,FALSE,"Bal_Graphs";"Print Summary",#N/A,FALSE,"DCF";"Print Summary",#N/A,FALSE,"Graphs";"Print Summary",#N/A,FALSE,"Summary"}</definedName>
    <definedName name="wrn.SunModel." hidden="1">{#N/A,#N/A,FALSE,"summary";#N/A,#N/A,FALSE,"SIH";#N/A,#N/A,FALSE,"SIH Value";#N/A,#N/A,FALSE,"tax est.";#N/A,#N/A,FALSE,"Mohegan";#N/A,#N/A,FALSE,"Resorts";#N/A,#N/A,FALSE,"Win Per Day";#N/A,#N/A,FALSE,"CapStr"}</definedName>
    <definedName name="wrn.Test." hidden="1">{"Detail",#N/A,FALSE,"FULLESTI";#N/A,#N/A,FALSE,"USMEDCOY"}</definedName>
    <definedName name="wrn.Variance._.Q4" hidden="1">{"Variance Q4",#N/A,FALSE,"Var"}</definedName>
    <definedName name="wrn.weekly." hidden="1">{#N/A,#N/A,FALSE,"Large Operators";#N/A,#N/A,FALSE,"Smaller Operators";#N/A,#N/A,FALSE,"Equip. Supply";#N/A,#N/A,FALSE,"EBITDA";#N/A,#N/A,FALSE,"perform"}</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vu.B_Sheet."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al_98."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Detail."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Full_Year."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Warehouse."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w" hidden="1">{"PAGE1",#N/A,FALSE,"Consolidation";"PAGE2",#N/A,FALSE,"Consolidation";"PAGE3",#N/A,FALSE,"Consolidation";"PAGE4",#N/A,FALSE,"Consolidation";"PAGE5",#N/A,FALSE,"Consolidation";"PAGE6",#N/A,FALSE,"Consolidation";"PAGE7",#N/A,FALSE,"Consolidation"}</definedName>
    <definedName name="ww_1" hidden="1">{"PAGE1",#N/A,FALSE,"Consolidation";"PAGE2",#N/A,FALSE,"Consolidation";"PAGE3",#N/A,FALSE,"Consolidation";"PAGE4",#N/A,FALSE,"Consolidation";"PAGE5",#N/A,FALSE,"Consolidation";"PAGE6",#N/A,FALSE,"Consolidation";"PAGE7",#N/A,FALSE,"Consolidation"}</definedName>
    <definedName name="ww_2" hidden="1">{"PAGE1",#N/A,FALSE,"Consolidation";"PAGE2",#N/A,FALSE,"Consolidation";"PAGE3",#N/A,FALSE,"Consolidation";"PAGE4",#N/A,FALSE,"Consolidation";"PAGE5",#N/A,FALSE,"Consolidation";"PAGE6",#N/A,FALSE,"Consolidation";"PAGE7",#N/A,FALSE,"Consolidation"}</definedName>
    <definedName name="ww_CWN" hidden="1">{"PAGE1",#N/A,FALSE,"Consolidation";"PAGE2",#N/A,FALSE,"Consolidation";"PAGE3",#N/A,FALSE,"Consolidation";"PAGE4",#N/A,FALSE,"Consolidation";"PAGE5",#N/A,FALSE,"Consolidation";"PAGE6",#N/A,FALSE,"Consolidation";"PAGE7",#N/A,FALSE,"Consolidation"}</definedName>
    <definedName name="wwww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 hidden="1">{"Revenue by Industry Chart",#N/A,FALSE,"Mix";"Annual Revenue Detail",#N/A,FALSE,"Mix";"Quarterly Revenue Detail",#N/A,FALSE,"Mix"}</definedName>
    <definedName name="xxx" hidden="1">{"'Outline (2)'!$A$1:$Q$7"}</definedName>
    <definedName name="Z_03DAD996_7A4F_11D1_AB8C_00805F1D08F8_.wvu.Cols" hidden="1">[8]BALSHT_S!$C$1:$H$65536</definedName>
    <definedName name="Z_03DAD997_7A4F_11D1_AB8C_00805F1D08F8_.wvu.Cols" hidden="1">[8]PE1_S!$D$1:$H$65536,[8]PE1_S!$L$1:$M$65536,[8]PE1_S!$O$1:$P$65536,[8]PE1_S!$R$1:$S$65536</definedName>
    <definedName name="Z_03DAD997_7A4F_11D1_AB8C_00805F1D08F8_.wvu.Rows" hidden="1">[8]PE1_S!$A$22:$IV$23</definedName>
    <definedName name="Z_0C942D73_7104_11D1_AB6C_00805F1D2048_.wvu.Cols" hidden="1">[8]BALSHT_S!$C$1:$H$65536</definedName>
    <definedName name="Z_0C942D74_7104_11D1_AB6C_00805F1D2048_.wvu.Cols" hidden="1">[8]PE1_S!$D$1:$H$65536,[8]PE1_S!$L$1:$M$65536,[8]PE1_S!$O$1:$P$65536,[8]PE1_S!$R$1:$S$65536</definedName>
    <definedName name="Z_0C942D74_7104_11D1_AB6C_00805F1D2048_.wvu.Rows" hidden="1">[8]PE1_S!$A$22:$IV$23</definedName>
    <definedName name="Z_115772F5_74E0_11D1_AB6E_00805F1D2048_.wvu.Cols" hidden="1">[8]BALSHT_S!$C$1:$H$65536</definedName>
    <definedName name="Z_115772F6_74E0_11D1_AB6E_00805F1D2048_.wvu.Cols" hidden="1">[8]PE1_S!$D$1:$H$65536,[8]PE1_S!$L$1:$M$65536,[8]PE1_S!$O$1:$P$65536,[8]PE1_S!$R$1:$S$65536</definedName>
    <definedName name="Z_115772F6_74E0_11D1_AB6E_00805F1D2048_.wvu.Rows" hidden="1">[8]PE1_S!$A$22:$IV$23</definedName>
    <definedName name="Z_2087720D_7599_11D1_AB6F_00805F1D2048_.wvu.Cols" hidden="1">[8]BALSHT_S!$C$1:$H$65536</definedName>
    <definedName name="Z_2087720E_7599_11D1_AB6F_00805F1D2048_.wvu.Cols" hidden="1">[8]PE1_S!$D$1:$H$65536,[8]PE1_S!$L$1:$M$65536,[8]PE1_S!$O$1:$P$65536,[8]PE1_S!$R$1:$S$65536</definedName>
    <definedName name="Z_2087720E_7599_11D1_AB6F_00805F1D2048_.wvu.Rows" hidden="1">[8]PE1_S!$A$22:$IV$23</definedName>
    <definedName name="Z_2087722D_7599_11D1_AB6F_00805F1D2048_.wvu.Cols" hidden="1">[8]BALSHT_S!$C$1:$H$65536</definedName>
    <definedName name="Z_2087722E_7599_11D1_AB6F_00805F1D2048_.wvu.Cols" hidden="1">[8]PE1_S!$D$1:$H$65536,[8]PE1_S!$L$1:$M$65536,[8]PE1_S!$O$1:$P$65536,[8]PE1_S!$R$1:$S$65536</definedName>
    <definedName name="Z_2087722E_7599_11D1_AB6F_00805F1D2048_.wvu.Rows" hidden="1">[8]PE1_S!$A$22:$IV$23</definedName>
    <definedName name="Z_2087724D_7599_11D1_AB6F_00805F1D2048_.wvu.Cols" hidden="1">[8]BALSHT_S!$C$1:$H$65536</definedName>
    <definedName name="Z_2087724E_7599_11D1_AB6F_00805F1D2048_.wvu.Cols" hidden="1">[8]PE1_S!$D$1:$H$65536,[8]PE1_S!$L$1:$M$65536,[8]PE1_S!$O$1:$P$65536,[8]PE1_S!$R$1:$S$65536</definedName>
    <definedName name="Z_2087724E_7599_11D1_AB6F_00805F1D2048_.wvu.Rows" hidden="1">[8]PE1_S!$A$22:$IV$23</definedName>
    <definedName name="Z_390AA9A0_4F12_11D1_AB62_00805F1D08F8_.wvu.Cols" hidden="1">[8]BALSHT_S!$C$1:$H$65536</definedName>
    <definedName name="Z_390AA9A1_4F12_11D1_AB62_00805F1D08F8_.wvu.Cols" hidden="1">[8]PE1_S!$D$1:$H$65536,[8]PE1_S!$L$1:$M$65536,[8]PE1_S!$O$1:$P$65536,[8]PE1_S!$R$1:$S$65536</definedName>
    <definedName name="Z_390AA9A1_4F12_11D1_AB62_00805F1D08F8_.wvu.Rows" hidden="1">[8]PE1_S!$A$22:$IV$23</definedName>
    <definedName name="Z_3A0CF412_61F2_11D1_AB75_00805F1D08F8_.wvu.Cols" hidden="1">[8]BALSHT_S!$C$1:$H$65536</definedName>
    <definedName name="Z_3A0CF413_61F2_11D1_AB75_00805F1D08F8_.wvu.Cols" hidden="1">[8]PE1_S!$D$1:$H$65536,[8]PE1_S!$L$1:$M$65536,[8]PE1_S!$O$1:$P$65536,[8]PE1_S!$R$1:$S$65536</definedName>
    <definedName name="Z_3A0CF413_61F2_11D1_AB75_00805F1D08F8_.wvu.Rows" hidden="1">[8]PE1_S!$A$22:$IV$23</definedName>
    <definedName name="Z_40C39523_4116_11D1_AB55_00805F1D08F8_.wvu.Cols" hidden="1">[8]BALSHT_S!$C$1:$H$65536</definedName>
    <definedName name="Z_40C39524_4116_11D1_AB55_00805F1D08F8_.wvu.Cols" hidden="1">[8]PE1_S!$D$1:$H$65536,[8]PE1_S!$L$1:$M$65536,[8]PE1_S!$O$1:$P$65536,[8]PE1_S!$R$1:$S$65536</definedName>
    <definedName name="Z_40C39524_4116_11D1_AB55_00805F1D08F8_.wvu.Rows" hidden="1">[8]PE1_S!$A$22:$IV$23</definedName>
    <definedName name="Z_40C39573_4116_11D1_AB55_00805F1D08F8_.wvu.Cols" hidden="1">[8]BALSHT_S!$C$1:$H$65536</definedName>
    <definedName name="Z_40C39574_4116_11D1_AB55_00805F1D08F8_.wvu.Cols" hidden="1">[8]PE1_S!$D$1:$H$65536,[8]PE1_S!$L$1:$M$65536,[8]PE1_S!$O$1:$P$65536,[8]PE1_S!$R$1:$S$65536</definedName>
    <definedName name="Z_40C39574_4116_11D1_AB55_00805F1D08F8_.wvu.Rows" hidden="1">[8]PE1_S!$A$22:$IV$23</definedName>
    <definedName name="Z_4B689A83_6515_11D1_AB79_00805F1D08F8_.wvu.Cols" hidden="1">[8]BALSHT_S!$C$1:$H$65536</definedName>
    <definedName name="Z_4B689A84_6515_11D1_AB79_00805F1D08F8_.wvu.Cols" hidden="1">[8]PE1_S!$D$1:$H$65536,[8]PE1_S!$L$1:$M$65536,[8]PE1_S!$O$1:$P$65536,[8]PE1_S!$R$1:$S$65536</definedName>
    <definedName name="Z_4B689A84_6515_11D1_AB79_00805F1D08F8_.wvu.Rows" hidden="1">[8]PE1_S!$A$22:$IV$23</definedName>
    <definedName name="Z_4D4EF4DC_6A0A_11D1_AB7D_00805F1D08F8_.wvu.Cols" hidden="1">[8]BALSHT_S!$C$1:$H$65536</definedName>
    <definedName name="Z_4D4EF4DD_6A0A_11D1_AB7D_00805F1D08F8_.wvu.Cols" hidden="1">[8]PE1_S!$D$1:$H$65536,[8]PE1_S!$L$1:$M$65536,[8]PE1_S!$O$1:$P$65536,[8]PE1_S!$R$1:$S$65536</definedName>
    <definedName name="Z_4D4EF4DD_6A0A_11D1_AB7D_00805F1D08F8_.wvu.Rows" hidden="1">[8]PE1_S!$A$22:$IV$23</definedName>
    <definedName name="Z_5BD438D4_7596_11D1_AB88_00805F1D08F8_.wvu.Cols" hidden="1">[8]BALSHT_S!$C$1:$H$65536</definedName>
    <definedName name="Z_5BD438D5_7596_11D1_AB88_00805F1D08F8_.wvu.Cols" hidden="1">[8]PE1_S!$D$1:$H$65536,[8]PE1_S!$L$1:$M$65536,[8]PE1_S!$O$1:$P$65536,[8]PE1_S!$R$1:$S$65536</definedName>
    <definedName name="Z_5BD438D5_7596_11D1_AB88_00805F1D08F8_.wvu.Rows" hidden="1">[8]PE1_S!$A$22:$IV$23</definedName>
    <definedName name="Z_5BD43914_7596_11D1_AB88_00805F1D08F8_.wvu.Cols" hidden="1">[8]BALSHT_S!$C$1:$H$65536</definedName>
    <definedName name="Z_5BD43915_7596_11D1_AB88_00805F1D08F8_.wvu.Cols" hidden="1">[8]PE1_S!$D$1:$H$65536,[8]PE1_S!$L$1:$M$65536,[8]PE1_S!$O$1:$P$65536,[8]PE1_S!$R$1:$S$65536</definedName>
    <definedName name="Z_5BD43915_7596_11D1_AB88_00805F1D08F8_.wvu.Rows" hidden="1">[8]PE1_S!$A$22:$IV$23</definedName>
    <definedName name="Z_5D8928C3_27D9_11D1_AB33_00805F1D2048_.wvu.Cols" hidden="1">[8]BALSHT_S!$C$1:$H$65536</definedName>
    <definedName name="Z_5D8928C4_27D9_11D1_AB33_00805F1D2048_.wvu.Cols" hidden="1">[8]PE1_S!$D$1:$H$65536,[8]PE1_S!$L$1:$M$65536,[8]PE1_S!$O$1:$P$65536,[8]PE1_S!$R$1:$S$65536</definedName>
    <definedName name="Z_5D8928C4_27D9_11D1_AB33_00805F1D2048_.wvu.Rows" hidden="1">[8]PE1_S!$A$22:$IV$23</definedName>
    <definedName name="Z_63193F35_1A71_11D1_AB28_00805F1D2048_.wvu.Cols" hidden="1">[8]BALSHT_S!$C$1:$H$65536</definedName>
    <definedName name="Z_63193F36_1A71_11D1_AB28_00805F1D2048_.wvu.Cols" hidden="1">[8]PE1_S!$D$1:$H$65536,[8]PE1_S!$L$1:$M$65536,[8]PE1_S!$O$1:$P$65536,[8]PE1_S!$R$1:$S$65536</definedName>
    <definedName name="Z_63193F36_1A71_11D1_AB28_00805F1D2048_.wvu.Rows" hidden="1">[8]PE1_S!$A$22:$IV$23</definedName>
    <definedName name="Z_67539AE7_7018_11D1_AB83_00805F1D08F8_.wvu.Cols" hidden="1">[8]BALSHT_S!$C$1:$H$65536</definedName>
    <definedName name="Z_67539AE8_7018_11D1_AB83_00805F1D08F8_.wvu.Cols" hidden="1">[8]PE1_S!$D$1:$H$65536,[8]PE1_S!$L$1:$M$65536,[8]PE1_S!$O$1:$P$65536,[8]PE1_S!$R$1:$S$65536</definedName>
    <definedName name="Z_67539AE8_7018_11D1_AB83_00805F1D08F8_.wvu.Rows" hidden="1">[8]PE1_S!$A$22:$IV$23</definedName>
    <definedName name="Z_78668872_6450_11D1_AB62_00805F1D2048_.wvu.Cols" hidden="1">[8]BALSHT_S!$C$1:$H$65536</definedName>
    <definedName name="Z_78668873_6450_11D1_AB62_00805F1D2048_.wvu.Cols" hidden="1">[8]PE1_S!$D$1:$H$65536,[8]PE1_S!$L$1:$M$65536,[8]PE1_S!$O$1:$P$65536,[8]PE1_S!$R$1:$S$65536</definedName>
    <definedName name="Z_78668873_6450_11D1_AB62_00805F1D2048_.wvu.Rows" hidden="1">[8]PE1_S!$A$22:$IV$23</definedName>
    <definedName name="Z_78668A26_6450_11D1_AB62_00805F1D2048_.wvu.Cols" hidden="1">[8]BALSHT_S!$C$1:$H$65536</definedName>
    <definedName name="Z_78668A27_6450_11D1_AB62_00805F1D2048_.wvu.Cols" hidden="1">[8]PE1_S!$D$1:$H$65536,[8]PE1_S!$L$1:$M$65536,[8]PE1_S!$O$1:$P$65536,[8]PE1_S!$R$1:$S$65536</definedName>
    <definedName name="Z_78668A27_6450_11D1_AB62_00805F1D2048_.wvu.Rows" hidden="1">[8]PE1_S!$A$22:$IV$23</definedName>
    <definedName name="Z_81AF337E_7A53_11D1_AB73_00805F1D2048_.wvu.Cols" hidden="1">[8]BALSHT_S!$C$1:$H$65536</definedName>
    <definedName name="Z_81AF337F_7A53_11D1_AB73_00805F1D2048_.wvu.Cols" hidden="1">[8]PE1_S!$D$1:$H$65536,[8]PE1_S!$L$1:$M$65536,[8]PE1_S!$O$1:$P$65536,[8]PE1_S!$R$1:$S$65536</definedName>
    <definedName name="Z_81AF337F_7A53_11D1_AB73_00805F1D2048_.wvu.Rows" hidden="1">[8]PE1_S!$A$22:$IV$23</definedName>
    <definedName name="Z_9431393B_8BB4_11D1_AB82_00805F1D2048_.wvu.Cols" hidden="1">[8]BALSHT_S!$C$1:$H$65536</definedName>
    <definedName name="Z_9431393C_8BB4_11D1_AB82_00805F1D2048_.wvu.Cols" hidden="1">[8]PE1_S!$D$1:$H$65536,[8]PE1_S!$L$1:$M$65536,[8]PE1_S!$O$1:$P$65536,[8]PE1_S!$R$1:$S$65536</definedName>
    <definedName name="Z_9431393C_8BB4_11D1_AB82_00805F1D2048_.wvu.Rows" hidden="1">[8]PE1_S!$A$22:$IV$23</definedName>
    <definedName name="Z_A399A71D_4368_11D1_AB57_00805F1D08F8_.wvu.Cols" hidden="1">[8]BALSHT_S!$C$1:$H$65536</definedName>
    <definedName name="Z_A399A71E_4368_11D1_AB57_00805F1D08F8_.wvu.Cols" hidden="1">[8]PE1_S!$D$1:$H$65536,[8]PE1_S!$L$1:$M$65536,[8]PE1_S!$O$1:$P$65536,[8]PE1_S!$R$1:$S$65536</definedName>
    <definedName name="Z_A399A71E_4368_11D1_AB57_00805F1D08F8_.wvu.Rows" hidden="1">[8]PE1_S!$A$22:$IV$23</definedName>
    <definedName name="Z_BAD6B5D0_6209_11D1_AB61_00805F1D2048_.wvu.Cols" hidden="1">[8]BALSHT_S!$C$1:$H$65536</definedName>
    <definedName name="Z_BAD6B5D1_6209_11D1_AB61_00805F1D2048_.wvu.Cols" hidden="1">[8]PE1_S!$D$1:$H$65536,[8]PE1_S!$L$1:$M$65536,[8]PE1_S!$O$1:$P$65536,[8]PE1_S!$R$1:$S$65536</definedName>
    <definedName name="Z_BAD6B5D1_6209_11D1_AB61_00805F1D2048_.wvu.Rows" hidden="1">[8]PE1_S!$A$22:$IV$23</definedName>
    <definedName name="Z_C743300D_5626_11D1_AB56_00805F1D2048_.wvu.Cols" hidden="1">[8]BALSHT_S!$C$1:$H$65536</definedName>
    <definedName name="Z_C743300E_5626_11D1_AB56_00805F1D2048_.wvu.Cols" hidden="1">[8]PE1_S!$D$1:$H$65536,[8]PE1_S!$L$1:$M$65536,[8]PE1_S!$O$1:$P$65536,[8]PE1_S!$R$1:$S$65536</definedName>
    <definedName name="Z_C743300E_5626_11D1_AB56_00805F1D2048_.wvu.Rows" hidden="1">[8]PE1_S!$A$22:$IV$23</definedName>
    <definedName name="Z_C7433013_5626_11D1_AB56_00805F1D2048_.wvu.Cols" hidden="1">[8]BALSHT_S!$C$1:$H$65536</definedName>
    <definedName name="Z_C7433014_5626_11D1_AB56_00805F1D2048_.wvu.Cols" hidden="1">[8]PE1_S!$D$1:$H$65536,[8]PE1_S!$L$1:$M$65536,[8]PE1_S!$O$1:$P$65536,[8]PE1_S!$R$1:$S$65536</definedName>
    <definedName name="Z_C7433014_5626_11D1_AB56_00805F1D2048_.wvu.Rows" hidden="1">[8]PE1_S!$A$22:$IV$23</definedName>
    <definedName name="Z_D54F9874_4E48_11D1_AB4F_00805F1D2048_.wvu.Cols" hidden="1">[8]BALSHT_S!$C$1:$H$65536</definedName>
    <definedName name="Z_D54F9875_4E48_11D1_AB4F_00805F1D2048_.wvu.Cols" hidden="1">[8]PE1_S!$D$1:$H$65536,[8]PE1_S!$L$1:$M$65536,[8]PE1_S!$O$1:$P$65536,[8]PE1_S!$R$1:$S$65536</definedName>
    <definedName name="Z_D54F9875_4E48_11D1_AB4F_00805F1D2048_.wvu.Rows" hidden="1">[8]PE1_S!$A$22:$IV$23</definedName>
    <definedName name="Z_D54F996E_4E48_11D1_AB4F_00805F1D2048_.wvu.Cols" hidden="1">[8]BALSHT_S!$C$1:$H$65536</definedName>
    <definedName name="Z_D54F996F_4E48_11D1_AB4F_00805F1D2048_.wvu.Cols" hidden="1">[8]PE1_S!$D$1:$H$65536,[8]PE1_S!$L$1:$M$65536,[8]PE1_S!$O$1:$P$65536,[8]PE1_S!$R$1:$S$65536</definedName>
    <definedName name="Z_D54F996F_4E48_11D1_AB4F_00805F1D2048_.wvu.Rows" hidden="1">[8]PE1_S!$A$22:$IV$23</definedName>
    <definedName name="Z_D62B3FE5_56F6_11D1_AB57_00805F1D2048_.wvu.Cols" hidden="1">[8]BALSHT_S!$C$1:$H$65536</definedName>
    <definedName name="Z_D62B3FE6_56F6_11D1_AB57_00805F1D2048_.wvu.Cols" hidden="1">[8]PE1_S!$D$1:$H$65536,[8]PE1_S!$L$1:$M$65536,[8]PE1_S!$O$1:$P$65536,[8]PE1_S!$R$1:$S$65536</definedName>
    <definedName name="Z_D62B3FE6_56F6_11D1_AB57_00805F1D2048_.wvu.Rows" hidden="1">[8]PE1_S!$A$22:$IV$23</definedName>
    <definedName name="Z_DCBAD063_2D80_11D1_AB5C_00805F466D8F_.wvu.Cols" hidden="1">[8]BALSHT_S!$C$1:$H$65536</definedName>
    <definedName name="Z_DCBAD064_2D80_11D1_AB5C_00805F466D8F_.wvu.Cols" hidden="1">[8]PE1_S!$D$1:$H$65536,[8]PE1_S!$L$1:$M$65536,[8]PE1_S!$O$1:$P$65536,[8]PE1_S!$R$1:$S$65536</definedName>
    <definedName name="Z_DCBAD064_2D80_11D1_AB5C_00805F466D8F_.wvu.Rows" hidden="1">[8]PE1_S!$A$22:$IV$23</definedName>
    <definedName name="Z_EC399ADF_4413_11D1_AB58_00805F1D08F8_.wvu.Cols" hidden="1">[8]BALSHT_S!$C$1:$H$65536</definedName>
    <definedName name="Z_EC399AE0_4413_11D1_AB58_00805F1D08F8_.wvu.Cols" hidden="1">[8]PE1_S!$D$1:$H$65536,[8]PE1_S!$L$1:$M$65536,[8]PE1_S!$O$1:$P$65536,[8]PE1_S!$R$1:$S$65536</definedName>
    <definedName name="Z_EC399AE0_4413_11D1_AB58_00805F1D08F8_.wvu.Rows" hidden="1">[8]PE1_S!$A$22:$IV$23</definedName>
    <definedName name="Z_F8F432B7_2D4F_11D1_AB36_00805F1DF014_.wvu.Cols" hidden="1">[8]BALSHT_S!$C$1:$H$65536</definedName>
    <definedName name="Z_F8F432B8_2D4F_11D1_AB36_00805F1DF014_.wvu.Cols" hidden="1">[8]PE1_S!$D$1:$H$65536,[8]PE1_S!$L$1:$M$65536,[8]PE1_S!$O$1:$P$65536,[8]PE1_S!$R$1:$S$65536</definedName>
    <definedName name="Z_F8F432B8_2D4F_11D1_AB36_00805F1DF014_.wvu.Rows" hidden="1">[8]PE1_S!$A$22:$IV$23</definedName>
    <definedName name="Z_F97BFBDE_2894_11D1_AB3A_00805F1D08F8_.wvu.Cols" hidden="1">[8]BALSHT_S!$C$1:$H$65536</definedName>
    <definedName name="Z_F97BFBDF_2894_11D1_AB3A_00805F1D08F8_.wvu.Cols" hidden="1">[8]PE1_S!$D$1:$H$65536,[8]PE1_S!$L$1:$M$65536,[8]PE1_S!$O$1:$P$65536,[8]PE1_S!$R$1:$S$65536</definedName>
    <definedName name="Z_F97BFBDF_2894_11D1_AB3A_00805F1D08F8_.wvu.Rows" hidden="1">[8]PE1_S!$A$22:$IV$23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47" l="1"/>
  <c r="F29" i="47"/>
  <c r="G29" i="47"/>
  <c r="H29" i="47"/>
  <c r="I29" i="47"/>
  <c r="J29" i="47"/>
  <c r="K29" i="47"/>
  <c r="D29" i="47"/>
  <c r="C108" i="48"/>
  <c r="D108" i="48"/>
  <c r="E108" i="48"/>
  <c r="F108" i="48"/>
  <c r="G108" i="48"/>
  <c r="H108" i="48"/>
  <c r="I108" i="48"/>
  <c r="B108" i="48"/>
  <c r="I106" i="48"/>
  <c r="C47" i="34"/>
  <c r="C48" i="34" s="1"/>
  <c r="AE2" i="15" l="1"/>
  <c r="AF2" i="15"/>
  <c r="AG2" i="15"/>
  <c r="AH2" i="15"/>
  <c r="AD2" i="15"/>
  <c r="E2" i="15"/>
  <c r="F2" i="15"/>
  <c r="G2" i="15"/>
  <c r="H2" i="15"/>
  <c r="I2" i="15"/>
  <c r="J2" i="15"/>
  <c r="K2" i="15"/>
  <c r="L2" i="15"/>
  <c r="M2" i="15"/>
  <c r="N2" i="15"/>
  <c r="O2" i="15"/>
  <c r="P2" i="15"/>
  <c r="Q2" i="15"/>
  <c r="R2" i="15"/>
  <c r="S2" i="15"/>
  <c r="T2" i="15"/>
  <c r="U2" i="15"/>
  <c r="V2" i="15"/>
  <c r="W2" i="15"/>
  <c r="X2" i="15"/>
  <c r="Y2" i="15"/>
  <c r="Z2" i="15"/>
  <c r="AA2" i="15"/>
  <c r="AB2" i="15"/>
  <c r="AC2" i="15"/>
  <c r="D2" i="15"/>
  <c r="B132" i="4" l="1"/>
  <c r="B128" i="4"/>
  <c r="D20" i="55"/>
  <c r="E20" i="55" s="1"/>
  <c r="F20" i="55" s="1"/>
  <c r="G20" i="55" s="1"/>
  <c r="H20" i="55" s="1"/>
  <c r="I20" i="55" s="1"/>
  <c r="J20" i="55" s="1"/>
  <c r="K20" i="55" s="1"/>
  <c r="L20" i="55" s="1"/>
  <c r="M20" i="55" s="1"/>
  <c r="N20" i="55" s="1"/>
  <c r="N22" i="55" s="1"/>
  <c r="E17" i="55"/>
  <c r="F17" i="55" s="1"/>
  <c r="G17" i="55" s="1"/>
  <c r="H17" i="55" s="1"/>
  <c r="I17" i="55" s="1"/>
  <c r="J17" i="55" s="1"/>
  <c r="K17" i="55" s="1"/>
  <c r="L17" i="55" s="1"/>
  <c r="M17" i="55" s="1"/>
  <c r="N17" i="55" s="1"/>
  <c r="Q7" i="54"/>
  <c r="O8" i="54"/>
  <c r="Q8" i="54"/>
  <c r="AD8" i="54"/>
  <c r="AD9" i="54" s="1"/>
  <c r="AF9" i="54" s="1"/>
  <c r="O9" i="54"/>
  <c r="Q9" i="54"/>
  <c r="O10" i="54"/>
  <c r="Q10" i="54"/>
  <c r="O11" i="54"/>
  <c r="Q11" i="54"/>
  <c r="O12" i="54"/>
  <c r="Q12" i="54"/>
  <c r="O13" i="54"/>
  <c r="Q13" i="54"/>
  <c r="O14" i="54"/>
  <c r="Q14" i="54"/>
  <c r="O15" i="54"/>
  <c r="Q15" i="54"/>
  <c r="W15" i="54"/>
  <c r="O16" i="54"/>
  <c r="Q16" i="54"/>
  <c r="W16" i="54"/>
  <c r="J17" i="54"/>
  <c r="K18" i="54" s="1"/>
  <c r="O17" i="54"/>
  <c r="Q17" i="54"/>
  <c r="W17" i="54"/>
  <c r="F18" i="54"/>
  <c r="O18" i="54"/>
  <c r="Q18" i="54"/>
  <c r="Y18" i="54"/>
  <c r="AF8" i="54" l="1"/>
  <c r="AD10" i="54"/>
  <c r="J22" i="55"/>
  <c r="F22" i="55"/>
  <c r="L22" i="55"/>
  <c r="G22" i="55"/>
  <c r="E22" i="55"/>
  <c r="M22" i="55"/>
  <c r="K22" i="55"/>
  <c r="I22" i="55"/>
  <c r="H22" i="55"/>
  <c r="D22" i="55"/>
  <c r="AD11" i="54" l="1"/>
  <c r="AF10" i="54"/>
  <c r="AD12" i="54" l="1"/>
  <c r="AF11" i="54"/>
  <c r="AF12" i="54" l="1"/>
  <c r="AD13" i="54"/>
  <c r="AD14" i="54" l="1"/>
  <c r="AF13" i="54"/>
  <c r="Y158" i="30"/>
  <c r="Y159" i="30"/>
  <c r="Y160" i="30"/>
  <c r="Y161" i="30"/>
  <c r="Y162" i="30"/>
  <c r="Y163" i="30"/>
  <c r="Y164" i="30"/>
  <c r="Y165" i="30"/>
  <c r="Y166" i="30"/>
  <c r="Y167" i="30"/>
  <c r="Y168" i="30"/>
  <c r="Y169" i="30"/>
  <c r="Y170" i="30"/>
  <c r="Y171" i="30"/>
  <c r="Y172" i="30"/>
  <c r="Y173" i="30"/>
  <c r="Y174" i="30"/>
  <c r="Y175" i="30"/>
  <c r="Y176" i="30"/>
  <c r="Y177" i="30"/>
  <c r="Y178" i="30"/>
  <c r="Y179" i="30"/>
  <c r="Y180" i="30"/>
  <c r="Y181" i="30"/>
  <c r="Y182" i="30"/>
  <c r="W158" i="30"/>
  <c r="X158" i="30"/>
  <c r="W159" i="30"/>
  <c r="X159" i="30"/>
  <c r="W160" i="30"/>
  <c r="X160" i="30"/>
  <c r="W161" i="30"/>
  <c r="X161" i="30"/>
  <c r="W162" i="30"/>
  <c r="X162" i="30"/>
  <c r="W163" i="30"/>
  <c r="X163" i="30"/>
  <c r="W164" i="30"/>
  <c r="X164" i="30"/>
  <c r="W165" i="30"/>
  <c r="X165" i="30"/>
  <c r="W166" i="30"/>
  <c r="X166" i="30"/>
  <c r="W167" i="30"/>
  <c r="X167" i="30"/>
  <c r="W168" i="30"/>
  <c r="X168" i="30"/>
  <c r="W169" i="30"/>
  <c r="X169" i="30"/>
  <c r="W170" i="30"/>
  <c r="X170" i="30"/>
  <c r="W171" i="30"/>
  <c r="X171" i="30"/>
  <c r="W172" i="30"/>
  <c r="X172" i="30"/>
  <c r="W173" i="30"/>
  <c r="X173" i="30"/>
  <c r="W174" i="30"/>
  <c r="X174" i="30"/>
  <c r="W175" i="30"/>
  <c r="X175" i="30"/>
  <c r="W176" i="30"/>
  <c r="X176" i="30"/>
  <c r="W177" i="30"/>
  <c r="X177" i="30"/>
  <c r="W178" i="30"/>
  <c r="X178" i="30"/>
  <c r="W179" i="30"/>
  <c r="X179" i="30"/>
  <c r="W180" i="30"/>
  <c r="X180" i="30"/>
  <c r="W181" i="30"/>
  <c r="X181" i="30"/>
  <c r="W182" i="30"/>
  <c r="X182" i="30"/>
  <c r="V159" i="30"/>
  <c r="V160" i="30"/>
  <c r="V161" i="30"/>
  <c r="V162" i="30"/>
  <c r="V163" i="30"/>
  <c r="V164" i="30"/>
  <c r="V165" i="30"/>
  <c r="V166" i="30"/>
  <c r="V167" i="30"/>
  <c r="V168" i="30"/>
  <c r="V169" i="30"/>
  <c r="V170" i="30"/>
  <c r="V171" i="30"/>
  <c r="V172" i="30"/>
  <c r="V173" i="30"/>
  <c r="V174" i="30"/>
  <c r="V175" i="30"/>
  <c r="V176" i="30"/>
  <c r="V177" i="30"/>
  <c r="V178" i="30"/>
  <c r="V179" i="30"/>
  <c r="V180" i="30"/>
  <c r="V181" i="30"/>
  <c r="V182" i="30"/>
  <c r="V158" i="30"/>
  <c r="R5" i="53"/>
  <c r="R6" i="53"/>
  <c r="R7" i="53"/>
  <c r="R8" i="53"/>
  <c r="R9" i="53"/>
  <c r="R10" i="53"/>
  <c r="R11" i="53"/>
  <c r="R12" i="53"/>
  <c r="R13" i="53"/>
  <c r="R14" i="53"/>
  <c r="R15" i="53"/>
  <c r="R16" i="53"/>
  <c r="R17" i="53"/>
  <c r="R18" i="53"/>
  <c r="R19" i="53"/>
  <c r="R20" i="53"/>
  <c r="R21" i="53"/>
  <c r="R22" i="53"/>
  <c r="R23" i="53"/>
  <c r="R24" i="53"/>
  <c r="R25" i="53"/>
  <c r="R26" i="53"/>
  <c r="R27" i="53"/>
  <c r="R28" i="53"/>
  <c r="R29" i="53"/>
  <c r="R4" i="53"/>
  <c r="N4" i="53"/>
  <c r="M4" i="53"/>
  <c r="K5" i="53"/>
  <c r="L5" i="53" s="1"/>
  <c r="AF14" i="54" l="1"/>
  <c r="AD15" i="54"/>
  <c r="K6" i="53"/>
  <c r="N5" i="53"/>
  <c r="M5" i="53"/>
  <c r="AD16" i="54" l="1"/>
  <c r="AF16" i="54" s="1"/>
  <c r="AF15" i="54"/>
  <c r="L6" i="53"/>
  <c r="N6" i="53" s="1"/>
  <c r="K7" i="53" l="1"/>
  <c r="M6" i="53"/>
  <c r="L7" i="53" l="1"/>
  <c r="N7" i="53" s="1"/>
  <c r="K8" i="53" l="1"/>
  <c r="M7" i="53"/>
  <c r="L8" i="53" l="1"/>
  <c r="N8" i="53" s="1"/>
  <c r="K9" i="53" l="1"/>
  <c r="M8" i="53"/>
  <c r="L9" i="53" l="1"/>
  <c r="N9" i="53" s="1"/>
  <c r="K10" i="53" l="1"/>
  <c r="M9" i="53"/>
  <c r="L10" i="53" l="1"/>
  <c r="N10" i="53" s="1"/>
  <c r="K11" i="53" l="1"/>
  <c r="M10" i="53"/>
  <c r="L11" i="53" l="1"/>
  <c r="N11" i="53" s="1"/>
  <c r="K12" i="53" l="1"/>
  <c r="M11" i="53"/>
  <c r="L12" i="53" l="1"/>
  <c r="N12" i="53" s="1"/>
  <c r="K13" i="53" l="1"/>
  <c r="M12" i="53"/>
  <c r="L13" i="53" l="1"/>
  <c r="N13" i="53" s="1"/>
  <c r="K14" i="53" l="1"/>
  <c r="M13" i="53"/>
  <c r="L14" i="53" l="1"/>
  <c r="N14" i="53" s="1"/>
  <c r="K15" i="53" l="1"/>
  <c r="M14" i="53"/>
  <c r="L15" i="53" l="1"/>
  <c r="N15" i="53" s="1"/>
  <c r="K16" i="53" l="1"/>
  <c r="M15" i="53"/>
  <c r="L16" i="53" l="1"/>
  <c r="N16" i="53" s="1"/>
  <c r="K17" i="53" l="1"/>
  <c r="M16" i="53"/>
  <c r="L17" i="53" l="1"/>
  <c r="N17" i="53" s="1"/>
  <c r="M17" i="53" l="1"/>
  <c r="K18" i="53"/>
  <c r="L18" i="53" l="1"/>
  <c r="N18" i="53" s="1"/>
  <c r="BD158" i="30"/>
  <c r="BD159" i="30"/>
  <c r="BD160" i="30"/>
  <c r="BD161" i="30"/>
  <c r="BD162" i="30"/>
  <c r="BD163" i="30"/>
  <c r="BD164" i="30"/>
  <c r="BD165" i="30"/>
  <c r="BD166" i="30"/>
  <c r="BD167" i="30"/>
  <c r="BD168" i="30"/>
  <c r="BD169" i="30"/>
  <c r="BD170" i="30"/>
  <c r="BD171" i="30"/>
  <c r="BD172" i="30"/>
  <c r="BD173" i="30"/>
  <c r="BD174" i="30"/>
  <c r="BD175" i="30"/>
  <c r="BD176" i="30"/>
  <c r="BD177" i="30"/>
  <c r="BD178" i="30"/>
  <c r="BD179" i="30"/>
  <c r="BD180" i="30"/>
  <c r="BD181" i="30"/>
  <c r="BD182" i="30"/>
  <c r="BD183" i="30"/>
  <c r="BD184" i="30"/>
  <c r="BD157" i="30"/>
  <c r="E5" i="53"/>
  <c r="E6" i="53" s="1"/>
  <c r="F4" i="53"/>
  <c r="K19" i="53" l="1"/>
  <c r="M18" i="53"/>
  <c r="E7" i="53"/>
  <c r="F6" i="53"/>
  <c r="F5" i="53"/>
  <c r="L19" i="53" l="1"/>
  <c r="N19" i="53" s="1"/>
  <c r="E8" i="53"/>
  <c r="F7" i="53"/>
  <c r="K20" i="53" l="1"/>
  <c r="M19" i="53"/>
  <c r="F8" i="53"/>
  <c r="E9" i="53"/>
  <c r="L20" i="53" l="1"/>
  <c r="N20" i="53" s="1"/>
  <c r="F9" i="53"/>
  <c r="E10" i="53"/>
  <c r="K21" i="53" l="1"/>
  <c r="M20" i="53"/>
  <c r="F10" i="53"/>
  <c r="E11" i="53"/>
  <c r="L21" i="53" l="1"/>
  <c r="N21" i="53" s="1"/>
  <c r="F11" i="53"/>
  <c r="E12" i="53"/>
  <c r="K22" i="53" l="1"/>
  <c r="M21" i="53"/>
  <c r="F12" i="53"/>
  <c r="E13" i="53"/>
  <c r="L22" i="53" l="1"/>
  <c r="N22" i="53" s="1"/>
  <c r="F13" i="53"/>
  <c r="E14" i="53"/>
  <c r="K23" i="53" l="1"/>
  <c r="M22" i="53"/>
  <c r="F14" i="53"/>
  <c r="E15" i="53"/>
  <c r="L23" i="53" l="1"/>
  <c r="N23" i="53" s="1"/>
  <c r="F15" i="53"/>
  <c r="E16" i="53"/>
  <c r="K24" i="53" l="1"/>
  <c r="M23" i="53"/>
  <c r="F16" i="53"/>
  <c r="E17" i="53"/>
  <c r="L24" i="53" l="1"/>
  <c r="N24" i="53" s="1"/>
  <c r="F17" i="53"/>
  <c r="E18" i="53"/>
  <c r="K25" i="53" l="1"/>
  <c r="M24" i="53"/>
  <c r="F18" i="53"/>
  <c r="E19" i="53"/>
  <c r="L25" i="53" l="1"/>
  <c r="N25" i="53" s="1"/>
  <c r="F19" i="53"/>
  <c r="E20" i="53"/>
  <c r="K26" i="53" l="1"/>
  <c r="M25" i="53"/>
  <c r="E21" i="53"/>
  <c r="F20" i="53"/>
  <c r="L26" i="53" l="1"/>
  <c r="N26" i="53" s="1"/>
  <c r="E22" i="53"/>
  <c r="F21" i="53"/>
  <c r="K27" i="53" l="1"/>
  <c r="M26" i="53"/>
  <c r="E23" i="53"/>
  <c r="F22" i="53"/>
  <c r="L27" i="53" l="1"/>
  <c r="N27" i="53" s="1"/>
  <c r="E24" i="53"/>
  <c r="F23" i="53"/>
  <c r="K28" i="53" l="1"/>
  <c r="M27" i="53"/>
  <c r="E25" i="53"/>
  <c r="F24" i="53"/>
  <c r="L28" i="53" l="1"/>
  <c r="N28" i="53" s="1"/>
  <c r="F25" i="53"/>
  <c r="E26" i="53"/>
  <c r="K29" i="53" l="1"/>
  <c r="M28" i="53"/>
  <c r="F26" i="53"/>
  <c r="E27" i="53"/>
  <c r="L29" i="53" l="1"/>
  <c r="N29" i="53" s="1"/>
  <c r="F27" i="53"/>
  <c r="E28" i="53"/>
  <c r="K30" i="53" l="1"/>
  <c r="M29" i="53"/>
  <c r="F28" i="53"/>
  <c r="E29" i="53"/>
  <c r="L30" i="53" l="1"/>
  <c r="N30" i="53" s="1"/>
  <c r="F29" i="53"/>
  <c r="E30" i="53"/>
  <c r="K31" i="53" l="1"/>
  <c r="M30" i="53"/>
  <c r="F30" i="53"/>
  <c r="E31" i="53"/>
  <c r="L31" i="53" l="1"/>
  <c r="M31" i="53" s="1"/>
  <c r="B11" i="52"/>
  <c r="B12" i="52" s="1"/>
  <c r="B13" i="52" s="1"/>
  <c r="B14" i="52" s="1"/>
  <c r="B15" i="52" s="1"/>
  <c r="B16" i="52" s="1"/>
  <c r="B17" i="52" s="1"/>
  <c r="B18" i="52" s="1"/>
  <c r="B19" i="52" s="1"/>
  <c r="B20" i="52" s="1"/>
  <c r="B21" i="52" s="1"/>
  <c r="B22" i="52" s="1"/>
  <c r="B23" i="52" s="1"/>
  <c r="B24" i="52" s="1"/>
  <c r="B25" i="52" s="1"/>
  <c r="H11" i="52"/>
  <c r="I11" i="52"/>
  <c r="H12" i="52"/>
  <c r="I12" i="52"/>
  <c r="H13" i="52"/>
  <c r="I13" i="52"/>
  <c r="H14" i="52"/>
  <c r="I14" i="52"/>
  <c r="H15" i="52"/>
  <c r="I15" i="52"/>
  <c r="H16" i="52"/>
  <c r="I16" i="52"/>
  <c r="H17" i="52"/>
  <c r="I17" i="52"/>
  <c r="H18" i="52"/>
  <c r="I18" i="52"/>
  <c r="H19" i="52"/>
  <c r="I19" i="52"/>
  <c r="H20" i="52"/>
  <c r="I20" i="52"/>
  <c r="H21" i="52"/>
  <c r="I21" i="52"/>
  <c r="H22" i="52"/>
  <c r="I22" i="52"/>
  <c r="H23" i="52"/>
  <c r="I23" i="52"/>
  <c r="H24" i="52"/>
  <c r="I24" i="52"/>
  <c r="H25" i="52"/>
  <c r="I25" i="52"/>
  <c r="I10" i="52"/>
  <c r="H10" i="52"/>
  <c r="N31" i="53" l="1"/>
  <c r="D17" i="51"/>
  <c r="D26" i="51" s="1"/>
  <c r="E17" i="51"/>
  <c r="E26" i="51" s="1"/>
  <c r="F17" i="51"/>
  <c r="F26" i="51" s="1"/>
  <c r="G17" i="51"/>
  <c r="G26" i="51" s="1"/>
  <c r="H17" i="51"/>
  <c r="H26" i="51" s="1"/>
  <c r="I17" i="51"/>
  <c r="I26" i="51" s="1"/>
  <c r="E12" i="51"/>
  <c r="E21" i="51" s="1"/>
  <c r="F12" i="51"/>
  <c r="F21" i="51" s="1"/>
  <c r="G12" i="51"/>
  <c r="G21" i="51" s="1"/>
  <c r="H12" i="51"/>
  <c r="H21" i="51" s="1"/>
  <c r="I12" i="51"/>
  <c r="I21" i="51" s="1"/>
  <c r="E13" i="51"/>
  <c r="E22" i="51" s="1"/>
  <c r="F13" i="51"/>
  <c r="F22" i="51" s="1"/>
  <c r="G13" i="51"/>
  <c r="G22" i="51" s="1"/>
  <c r="H13" i="51"/>
  <c r="H22" i="51" s="1"/>
  <c r="I13" i="51"/>
  <c r="I22" i="51" s="1"/>
  <c r="E14" i="51"/>
  <c r="E23" i="51" s="1"/>
  <c r="F14" i="51"/>
  <c r="F23" i="51" s="1"/>
  <c r="G14" i="51"/>
  <c r="G23" i="51" s="1"/>
  <c r="H14" i="51"/>
  <c r="H23" i="51" s="1"/>
  <c r="I14" i="51"/>
  <c r="I23" i="51" s="1"/>
  <c r="E15" i="51"/>
  <c r="E24" i="51" s="1"/>
  <c r="F15" i="51"/>
  <c r="F24" i="51" s="1"/>
  <c r="G15" i="51"/>
  <c r="G24" i="51" s="1"/>
  <c r="H15" i="51"/>
  <c r="H24" i="51" s="1"/>
  <c r="I15" i="51"/>
  <c r="I24" i="51" s="1"/>
  <c r="E16" i="51"/>
  <c r="E25" i="51" s="1"/>
  <c r="F16" i="51"/>
  <c r="F25" i="51" s="1"/>
  <c r="G16" i="51"/>
  <c r="G25" i="51" s="1"/>
  <c r="H16" i="51"/>
  <c r="H25" i="51" s="1"/>
  <c r="I16" i="51"/>
  <c r="I25" i="51" s="1"/>
  <c r="D13" i="51"/>
  <c r="D22" i="51" s="1"/>
  <c r="D14" i="51"/>
  <c r="D23" i="51" s="1"/>
  <c r="D15" i="51"/>
  <c r="D24" i="51" s="1"/>
  <c r="D16" i="51"/>
  <c r="D25" i="51" s="1"/>
  <c r="D12" i="51"/>
  <c r="D21" i="51" s="1"/>
  <c r="I44" i="50"/>
  <c r="J44" i="50"/>
  <c r="K44" i="50"/>
  <c r="I45" i="50"/>
  <c r="J45" i="50"/>
  <c r="K45" i="50"/>
  <c r="H45" i="50"/>
  <c r="H44" i="50"/>
  <c r="K13" i="50"/>
  <c r="J13" i="50"/>
  <c r="I13" i="50"/>
  <c r="H13" i="50"/>
  <c r="I20" i="50"/>
  <c r="K20" i="50"/>
  <c r="J20" i="50"/>
  <c r="K43" i="50"/>
  <c r="J43" i="50"/>
  <c r="I43" i="50"/>
  <c r="H43" i="50"/>
  <c r="K42" i="50"/>
  <c r="J42" i="50"/>
  <c r="I42" i="50"/>
  <c r="H42" i="50"/>
  <c r="E5" i="50"/>
  <c r="F5" i="50" s="1"/>
  <c r="G5" i="50" s="1"/>
  <c r="H5" i="50" s="1"/>
  <c r="I5" i="50" s="1"/>
  <c r="J5" i="50" s="1"/>
  <c r="K5" i="50" s="1"/>
  <c r="I100" i="49"/>
  <c r="H100" i="49"/>
  <c r="G100" i="49"/>
  <c r="F100" i="49"/>
  <c r="E100" i="49"/>
  <c r="D100" i="49"/>
  <c r="C100" i="49"/>
  <c r="B100" i="49"/>
  <c r="I84" i="49"/>
  <c r="I88" i="49" s="1"/>
  <c r="I90" i="49" s="1"/>
  <c r="I93" i="49" s="1"/>
  <c r="H84" i="49"/>
  <c r="H88" i="49" s="1"/>
  <c r="H90" i="49" s="1"/>
  <c r="H93" i="49" s="1"/>
  <c r="G84" i="49"/>
  <c r="G88" i="49" s="1"/>
  <c r="G90" i="49" s="1"/>
  <c r="G93" i="49" s="1"/>
  <c r="F84" i="49"/>
  <c r="F88" i="49" s="1"/>
  <c r="F90" i="49" s="1"/>
  <c r="F93" i="49" s="1"/>
  <c r="E84" i="49"/>
  <c r="E88" i="49" s="1"/>
  <c r="E90" i="49" s="1"/>
  <c r="E93" i="49" s="1"/>
  <c r="D84" i="49"/>
  <c r="D88" i="49" s="1"/>
  <c r="D90" i="49" s="1"/>
  <c r="D93" i="49" s="1"/>
  <c r="C84" i="49"/>
  <c r="C88" i="49" s="1"/>
  <c r="C90" i="49" s="1"/>
  <c r="C93" i="49" s="1"/>
  <c r="B84" i="49"/>
  <c r="B88" i="49" s="1"/>
  <c r="B90" i="49" s="1"/>
  <c r="B93" i="49" s="1"/>
  <c r="F28" i="34"/>
  <c r="F42" i="34" s="1"/>
  <c r="E26" i="34"/>
  <c r="E40" i="34" s="1"/>
  <c r="F26" i="34"/>
  <c r="E27" i="34"/>
  <c r="E28" i="34"/>
  <c r="F25" i="34"/>
  <c r="F39" i="34" s="1"/>
  <c r="E24" i="34"/>
  <c r="F23" i="34"/>
  <c r="F37" i="34" s="1"/>
  <c r="E23" i="34"/>
  <c r="E37" i="34" s="1"/>
  <c r="F17" i="34"/>
  <c r="E14" i="34"/>
  <c r="E25" i="34" s="1"/>
  <c r="E39" i="34" s="1"/>
  <c r="AM19" i="27"/>
  <c r="AM16" i="27"/>
  <c r="K15" i="34"/>
  <c r="F13" i="34"/>
  <c r="F24" i="34" s="1"/>
  <c r="AH16" i="28"/>
  <c r="AH17" i="28"/>
  <c r="AH18" i="28"/>
  <c r="AH21" i="28"/>
  <c r="AH22" i="28"/>
  <c r="AH23" i="28"/>
  <c r="AH26" i="28"/>
  <c r="AH27" i="28"/>
  <c r="AH28" i="28"/>
  <c r="AH31" i="28"/>
  <c r="AH32" i="28"/>
  <c r="AH38" i="28" l="1"/>
  <c r="C101" i="49"/>
  <c r="D101" i="49"/>
  <c r="AH36" i="28"/>
  <c r="B101" i="49"/>
  <c r="E101" i="49"/>
  <c r="F101" i="49"/>
  <c r="G101" i="49"/>
  <c r="H101" i="49"/>
  <c r="I101" i="49"/>
  <c r="AH43" i="28"/>
  <c r="AH42" i="28"/>
  <c r="AH37" i="28"/>
  <c r="H20" i="50"/>
  <c r="AH41" i="28"/>
  <c r="F30" i="34"/>
  <c r="E32" i="34"/>
  <c r="F31" i="34"/>
  <c r="H24" i="34"/>
  <c r="H38" i="34" s="1"/>
  <c r="H28" i="34"/>
  <c r="H42" i="34" s="1"/>
  <c r="E42" i="34"/>
  <c r="E38" i="34"/>
  <c r="E41" i="34"/>
  <c r="F40" i="34"/>
  <c r="F38" i="34"/>
  <c r="H23" i="34"/>
  <c r="H37" i="34" s="1"/>
  <c r="H26" i="34"/>
  <c r="H40" i="34" s="1"/>
  <c r="F33" i="34"/>
  <c r="E30" i="34"/>
  <c r="E31" i="34"/>
  <c r="H25" i="34"/>
  <c r="H39" i="34" s="1"/>
  <c r="E33" i="34"/>
  <c r="F27" i="34"/>
  <c r="F32" i="34" l="1"/>
  <c r="F41" i="34"/>
  <c r="H27" i="34"/>
  <c r="H41" i="34" s="1"/>
  <c r="I98" i="48" l="1"/>
  <c r="H98" i="48"/>
  <c r="G98" i="48"/>
  <c r="F98" i="48"/>
  <c r="E98" i="48"/>
  <c r="D98" i="48"/>
  <c r="C98" i="48"/>
  <c r="B98" i="48"/>
  <c r="I91" i="48"/>
  <c r="H91" i="48"/>
  <c r="G91" i="48"/>
  <c r="F91" i="48"/>
  <c r="E91" i="48"/>
  <c r="D91" i="48"/>
  <c r="C91" i="48"/>
  <c r="B91" i="48"/>
  <c r="I88" i="48"/>
  <c r="H88" i="48"/>
  <c r="G88" i="48"/>
  <c r="F88" i="48"/>
  <c r="E88" i="48"/>
  <c r="D88" i="48"/>
  <c r="C88" i="48"/>
  <c r="B88" i="48"/>
  <c r="I74" i="48"/>
  <c r="H74" i="48"/>
  <c r="G74" i="48"/>
  <c r="F74" i="48"/>
  <c r="E74" i="48"/>
  <c r="D74" i="48"/>
  <c r="C74" i="48"/>
  <c r="B74" i="48"/>
  <c r="D92" i="48" l="1"/>
  <c r="D94" i="48" s="1"/>
  <c r="D99" i="48" s="1"/>
  <c r="D102" i="48" s="1"/>
  <c r="E92" i="48"/>
  <c r="E94" i="48" s="1"/>
  <c r="E99" i="48" s="1"/>
  <c r="E102" i="48" s="1"/>
  <c r="B92" i="48"/>
  <c r="B94" i="48" s="1"/>
  <c r="B99" i="48" s="1"/>
  <c r="B102" i="48" s="1"/>
  <c r="C92" i="48"/>
  <c r="C94" i="48" s="1"/>
  <c r="C99" i="48" s="1"/>
  <c r="C102" i="48" s="1"/>
  <c r="G92" i="48"/>
  <c r="G94" i="48" s="1"/>
  <c r="G99" i="48" s="1"/>
  <c r="G102" i="48" s="1"/>
  <c r="F92" i="48"/>
  <c r="F94" i="48" s="1"/>
  <c r="F99" i="48" s="1"/>
  <c r="F102" i="48" s="1"/>
  <c r="H92" i="48"/>
  <c r="H94" i="48" s="1"/>
  <c r="H99" i="48" s="1"/>
  <c r="H102" i="48" s="1"/>
  <c r="I92" i="48"/>
  <c r="I94" i="48" s="1"/>
  <c r="I99" i="48" s="1"/>
  <c r="I102" i="48" s="1"/>
  <c r="D37" i="47" l="1"/>
  <c r="E12" i="47"/>
  <c r="F12" i="47"/>
  <c r="G12" i="47"/>
  <c r="H12" i="47"/>
  <c r="I12" i="47"/>
  <c r="J12" i="47"/>
  <c r="E10" i="47"/>
  <c r="F10" i="47"/>
  <c r="G10" i="47"/>
  <c r="H10" i="47"/>
  <c r="I10" i="47"/>
  <c r="J10" i="47"/>
  <c r="K10" i="47"/>
  <c r="E7" i="47"/>
  <c r="F7" i="47"/>
  <c r="G7" i="47"/>
  <c r="H7" i="47"/>
  <c r="I7" i="47"/>
  <c r="J7" i="47"/>
  <c r="K7" i="47"/>
  <c r="E8" i="47"/>
  <c r="F8" i="47"/>
  <c r="G8" i="47"/>
  <c r="H8" i="47"/>
  <c r="I8" i="47"/>
  <c r="J8" i="47"/>
  <c r="K8" i="47"/>
  <c r="K37" i="47"/>
  <c r="J37" i="47"/>
  <c r="H36" i="47"/>
  <c r="G36" i="47"/>
  <c r="F35" i="47"/>
  <c r="E5" i="47"/>
  <c r="F5" i="47" s="1"/>
  <c r="G5" i="47" s="1"/>
  <c r="H5" i="47" s="1"/>
  <c r="I5" i="47" s="1"/>
  <c r="J5" i="47" s="1"/>
  <c r="K5" i="47" s="1"/>
  <c r="J95" i="41"/>
  <c r="K95" i="41"/>
  <c r="J96" i="41"/>
  <c r="K96" i="41"/>
  <c r="J97" i="41"/>
  <c r="K97" i="41"/>
  <c r="J98" i="41"/>
  <c r="K98" i="41"/>
  <c r="I98" i="41"/>
  <c r="I97" i="41"/>
  <c r="I96" i="41"/>
  <c r="I95" i="41"/>
  <c r="J88" i="41"/>
  <c r="K88" i="41"/>
  <c r="I88" i="41"/>
  <c r="E71" i="41"/>
  <c r="F71" i="41" s="1"/>
  <c r="G71" i="41" s="1"/>
  <c r="H71" i="41" s="1"/>
  <c r="I71" i="41" s="1"/>
  <c r="J71" i="41" s="1"/>
  <c r="K71" i="41" s="1"/>
  <c r="E4" i="41"/>
  <c r="F4" i="41" s="1"/>
  <c r="G4" i="41" s="1"/>
  <c r="H4" i="41" s="1"/>
  <c r="I4" i="41" s="1"/>
  <c r="J4" i="41" s="1"/>
  <c r="K4" i="41" s="1"/>
  <c r="K59" i="41"/>
  <c r="J59" i="41"/>
  <c r="I59" i="41"/>
  <c r="K40" i="41"/>
  <c r="K52" i="41" s="1"/>
  <c r="K54" i="41" s="1"/>
  <c r="J40" i="41"/>
  <c r="J52" i="41" s="1"/>
  <c r="J54" i="41" s="1"/>
  <c r="I40" i="41"/>
  <c r="I52" i="41" s="1"/>
  <c r="I54" i="41" s="1"/>
  <c r="I34" i="41"/>
  <c r="K74" i="40"/>
  <c r="G76" i="40"/>
  <c r="H76" i="40"/>
  <c r="D68" i="40"/>
  <c r="E61" i="40"/>
  <c r="F61" i="40" s="1"/>
  <c r="G61" i="40" s="1"/>
  <c r="H61" i="40" s="1"/>
  <c r="I61" i="40" s="1"/>
  <c r="J61" i="40" s="1"/>
  <c r="K61" i="40" s="1"/>
  <c r="K68" i="40"/>
  <c r="J68" i="40"/>
  <c r="I68" i="40"/>
  <c r="H75" i="40"/>
  <c r="G75" i="40"/>
  <c r="F75" i="40"/>
  <c r="E75" i="40"/>
  <c r="D76" i="40"/>
  <c r="K87" i="39"/>
  <c r="J87" i="39"/>
  <c r="I87" i="39"/>
  <c r="H87" i="39"/>
  <c r="G87" i="39"/>
  <c r="F87" i="39"/>
  <c r="E87" i="39"/>
  <c r="D87" i="39"/>
  <c r="K79" i="39"/>
  <c r="J79" i="39"/>
  <c r="I79" i="39"/>
  <c r="H79" i="39"/>
  <c r="G79" i="39"/>
  <c r="F79" i="39"/>
  <c r="E79" i="39"/>
  <c r="D79" i="39"/>
  <c r="D81" i="39" s="1"/>
  <c r="E75" i="39"/>
  <c r="F75" i="39" s="1"/>
  <c r="G75" i="39" s="1"/>
  <c r="H75" i="39" s="1"/>
  <c r="I75" i="39" s="1"/>
  <c r="J75" i="39" s="1"/>
  <c r="K75" i="39" s="1"/>
  <c r="K59" i="38"/>
  <c r="J59" i="38"/>
  <c r="I59" i="38"/>
  <c r="H59" i="38"/>
  <c r="G59" i="38"/>
  <c r="F59" i="38"/>
  <c r="E59" i="38"/>
  <c r="D59" i="38"/>
  <c r="K58" i="38"/>
  <c r="J58" i="38"/>
  <c r="I58" i="38"/>
  <c r="H58" i="38"/>
  <c r="G58" i="38"/>
  <c r="F58" i="38"/>
  <c r="E58" i="38"/>
  <c r="D58" i="38"/>
  <c r="K57" i="38"/>
  <c r="J57" i="38"/>
  <c r="I57" i="38"/>
  <c r="H57" i="38"/>
  <c r="G57" i="38"/>
  <c r="F57" i="38"/>
  <c r="E57" i="38"/>
  <c r="D57" i="38"/>
  <c r="K56" i="38"/>
  <c r="J56" i="38"/>
  <c r="I56" i="38"/>
  <c r="H56" i="38"/>
  <c r="G56" i="38"/>
  <c r="F56" i="38"/>
  <c r="E56" i="38"/>
  <c r="D56" i="38"/>
  <c r="K54" i="38"/>
  <c r="J54" i="38"/>
  <c r="I54" i="38"/>
  <c r="H54" i="38"/>
  <c r="G54" i="38"/>
  <c r="F54" i="38"/>
  <c r="E54" i="38"/>
  <c r="D54" i="38"/>
  <c r="E53" i="38"/>
  <c r="F53" i="38"/>
  <c r="G53" i="38"/>
  <c r="H53" i="38"/>
  <c r="I53" i="38"/>
  <c r="J53" i="38"/>
  <c r="K53" i="38"/>
  <c r="D53" i="38"/>
  <c r="E47" i="38"/>
  <c r="E65" i="38" s="1"/>
  <c r="F47" i="38"/>
  <c r="F65" i="38" s="1"/>
  <c r="G47" i="38"/>
  <c r="G65" i="38" s="1"/>
  <c r="H47" i="38"/>
  <c r="H65" i="38" s="1"/>
  <c r="I47" i="38"/>
  <c r="I65" i="38" s="1"/>
  <c r="J47" i="38"/>
  <c r="J65" i="38" s="1"/>
  <c r="K47" i="38"/>
  <c r="K65" i="38" s="1"/>
  <c r="D47" i="38"/>
  <c r="D65" i="38" s="1"/>
  <c r="E51" i="38"/>
  <c r="F51" i="38" s="1"/>
  <c r="G51" i="38" s="1"/>
  <c r="H51" i="38" s="1"/>
  <c r="I51" i="38" s="1"/>
  <c r="J51" i="38" s="1"/>
  <c r="K51" i="38" s="1"/>
  <c r="K37" i="38"/>
  <c r="K55" i="38" s="1"/>
  <c r="J37" i="38"/>
  <c r="J55" i="38" s="1"/>
  <c r="I37" i="38"/>
  <c r="I55" i="38" s="1"/>
  <c r="H37" i="38"/>
  <c r="H55" i="38" s="1"/>
  <c r="G37" i="38"/>
  <c r="G55" i="38" s="1"/>
  <c r="F37" i="38"/>
  <c r="F55" i="38" s="1"/>
  <c r="E37" i="38"/>
  <c r="E55" i="38" s="1"/>
  <c r="D37" i="38"/>
  <c r="D55" i="38" s="1"/>
  <c r="E33" i="38"/>
  <c r="F33" i="38" s="1"/>
  <c r="G33" i="38" s="1"/>
  <c r="H33" i="38" s="1"/>
  <c r="I33" i="38" s="1"/>
  <c r="J33" i="38" s="1"/>
  <c r="K33" i="38" s="1"/>
  <c r="K11" i="47" l="1"/>
  <c r="J11" i="47"/>
  <c r="K9" i="47"/>
  <c r="I11" i="47"/>
  <c r="H11" i="47"/>
  <c r="E11" i="47"/>
  <c r="F36" i="47"/>
  <c r="E35" i="47"/>
  <c r="E34" i="47"/>
  <c r="G35" i="47"/>
  <c r="I36" i="47"/>
  <c r="D34" i="47"/>
  <c r="J35" i="47"/>
  <c r="D35" i="47"/>
  <c r="E36" i="47"/>
  <c r="K35" i="47"/>
  <c r="D36" i="47"/>
  <c r="K34" i="47"/>
  <c r="H37" i="47"/>
  <c r="F9" i="47"/>
  <c r="I37" i="47"/>
  <c r="F11" i="47"/>
  <c r="E9" i="47"/>
  <c r="F34" i="47"/>
  <c r="H35" i="47"/>
  <c r="J36" i="47"/>
  <c r="G34" i="47"/>
  <c r="I35" i="47"/>
  <c r="K36" i="47"/>
  <c r="J9" i="47"/>
  <c r="H34" i="47"/>
  <c r="E37" i="47"/>
  <c r="I9" i="47"/>
  <c r="I34" i="47"/>
  <c r="F37" i="47"/>
  <c r="H9" i="47"/>
  <c r="J34" i="47"/>
  <c r="G37" i="47"/>
  <c r="G11" i="47"/>
  <c r="G9" i="47"/>
  <c r="I55" i="41"/>
  <c r="I60" i="41"/>
  <c r="K60" i="41"/>
  <c r="K55" i="41"/>
  <c r="J60" i="41"/>
  <c r="J55" i="41"/>
  <c r="D74" i="40"/>
  <c r="D75" i="40"/>
  <c r="K76" i="40"/>
  <c r="J76" i="40"/>
  <c r="I76" i="40"/>
  <c r="J74" i="40"/>
  <c r="I74" i="40"/>
  <c r="H74" i="40"/>
  <c r="G74" i="40"/>
  <c r="F74" i="40"/>
  <c r="E74" i="40"/>
  <c r="F76" i="40"/>
  <c r="E76" i="40"/>
  <c r="K75" i="40"/>
  <c r="J75" i="40"/>
  <c r="I75" i="40"/>
  <c r="H68" i="40"/>
  <c r="G68" i="40"/>
  <c r="F68" i="40"/>
  <c r="E68" i="40"/>
  <c r="D99" i="39"/>
  <c r="D96" i="39"/>
  <c r="D88" i="39"/>
  <c r="D97" i="39"/>
  <c r="K81" i="39"/>
  <c r="K99" i="39" s="1"/>
  <c r="F81" i="39"/>
  <c r="E81" i="39"/>
  <c r="G81" i="39"/>
  <c r="H81" i="39"/>
  <c r="I81" i="39"/>
  <c r="J81" i="39"/>
  <c r="E99" i="39" l="1"/>
  <c r="J99" i="39"/>
  <c r="I99" i="39"/>
  <c r="H99" i="39"/>
  <c r="G99" i="39"/>
  <c r="F99" i="39"/>
  <c r="I97" i="39"/>
  <c r="I96" i="39"/>
  <c r="I88" i="39"/>
  <c r="I98" i="39" s="1"/>
  <c r="G88" i="39"/>
  <c r="G98" i="39" s="1"/>
  <c r="G97" i="39"/>
  <c r="F97" i="39"/>
  <c r="F88" i="39"/>
  <c r="F98" i="39" s="1"/>
  <c r="F96" i="39"/>
  <c r="G96" i="39"/>
  <c r="J96" i="39"/>
  <c r="J88" i="39"/>
  <c r="J97" i="39"/>
  <c r="H88" i="39"/>
  <c r="H97" i="39"/>
  <c r="E88" i="39"/>
  <c r="E98" i="39" s="1"/>
  <c r="E97" i="39"/>
  <c r="K88" i="39"/>
  <c r="K98" i="39" s="1"/>
  <c r="K97" i="39"/>
  <c r="K96" i="39"/>
  <c r="E96" i="39"/>
  <c r="H96" i="39"/>
  <c r="H98" i="39"/>
  <c r="D98" i="39"/>
  <c r="J98" i="39"/>
  <c r="C19" i="45" l="1"/>
  <c r="D19" i="45"/>
  <c r="E19" i="45"/>
  <c r="F19" i="45"/>
  <c r="G19" i="45"/>
  <c r="H19" i="45"/>
  <c r="I19" i="45"/>
  <c r="J19" i="45"/>
  <c r="K19" i="45"/>
  <c r="L19" i="45"/>
  <c r="M19" i="45"/>
  <c r="C20" i="45"/>
  <c r="D20" i="45"/>
  <c r="E20" i="45"/>
  <c r="F20" i="45"/>
  <c r="G20" i="45"/>
  <c r="H20" i="45"/>
  <c r="I20" i="45"/>
  <c r="J20" i="45"/>
  <c r="K20" i="45"/>
  <c r="L20" i="45"/>
  <c r="M20" i="45"/>
  <c r="B20" i="45"/>
  <c r="B19" i="45"/>
  <c r="C17" i="45"/>
  <c r="C21" i="45" s="1"/>
  <c r="D17" i="45"/>
  <c r="D21" i="45" s="1"/>
  <c r="E17" i="45"/>
  <c r="E21" i="45" s="1"/>
  <c r="F17" i="45"/>
  <c r="F21" i="45" s="1"/>
  <c r="G17" i="45"/>
  <c r="G21" i="45" s="1"/>
  <c r="H17" i="45"/>
  <c r="H21" i="45" s="1"/>
  <c r="I17" i="45"/>
  <c r="I21" i="45" s="1"/>
  <c r="J17" i="45"/>
  <c r="J21" i="45" s="1"/>
  <c r="K17" i="45"/>
  <c r="K21" i="45" s="1"/>
  <c r="L17" i="45"/>
  <c r="L21" i="45" s="1"/>
  <c r="M17" i="45"/>
  <c r="M21" i="45" s="1"/>
  <c r="B17" i="45"/>
  <c r="B21" i="45" s="1"/>
  <c r="M11" i="46"/>
  <c r="M4" i="46"/>
  <c r="L22" i="45" l="1"/>
  <c r="K22" i="45"/>
  <c r="B22" i="45"/>
  <c r="I22" i="45"/>
  <c r="H22" i="45"/>
  <c r="G22" i="45"/>
  <c r="J22" i="45"/>
  <c r="E22" i="45"/>
  <c r="D22" i="45"/>
  <c r="C22" i="45"/>
  <c r="F22" i="45"/>
  <c r="J13" i="44" l="1"/>
  <c r="J12" i="44"/>
  <c r="J11" i="44"/>
  <c r="J9" i="44"/>
  <c r="J8" i="44"/>
  <c r="J7" i="44"/>
  <c r="J6" i="44"/>
  <c r="J5" i="44"/>
  <c r="J4" i="44"/>
  <c r="H26" i="43"/>
  <c r="J26" i="43"/>
  <c r="D27" i="43"/>
  <c r="D10" i="43"/>
  <c r="E10" i="43"/>
  <c r="F10" i="43"/>
  <c r="G10" i="43"/>
  <c r="H10" i="43"/>
  <c r="I10" i="43"/>
  <c r="J10" i="43"/>
  <c r="K10" i="43"/>
  <c r="D11" i="43"/>
  <c r="E11" i="43"/>
  <c r="F11" i="43"/>
  <c r="G11" i="43"/>
  <c r="H11" i="43"/>
  <c r="I11" i="43"/>
  <c r="J11" i="43"/>
  <c r="K11" i="43"/>
  <c r="G12" i="43"/>
  <c r="G20" i="43" s="1"/>
  <c r="H12" i="43"/>
  <c r="I12" i="43"/>
  <c r="J12" i="43"/>
  <c r="K12" i="43"/>
  <c r="E9" i="43"/>
  <c r="F9" i="43"/>
  <c r="G9" i="43"/>
  <c r="H9" i="43"/>
  <c r="I9" i="43"/>
  <c r="J9" i="43"/>
  <c r="K9" i="43"/>
  <c r="D9" i="43"/>
  <c r="N34" i="2"/>
  <c r="AW11" i="2"/>
  <c r="AX11" i="2" s="1"/>
  <c r="AY11" i="2" s="1"/>
  <c r="AZ11" i="2" s="1"/>
  <c r="BA11" i="2" s="1"/>
  <c r="BB11" i="2" s="1"/>
  <c r="BC11" i="2" s="1"/>
  <c r="H19" i="43" l="1"/>
  <c r="I18" i="43"/>
  <c r="I17" i="43"/>
  <c r="I19" i="43"/>
  <c r="K20" i="43"/>
  <c r="H18" i="43"/>
  <c r="K17" i="43"/>
  <c r="J17" i="43"/>
  <c r="F19" i="43"/>
  <c r="I20" i="43"/>
  <c r="F18" i="43"/>
  <c r="E19" i="43"/>
  <c r="K18" i="43"/>
  <c r="G19" i="43"/>
  <c r="K14" i="43"/>
  <c r="J18" i="43"/>
  <c r="H20" i="43"/>
  <c r="G18" i="43"/>
  <c r="H17" i="43"/>
  <c r="G14" i="43"/>
  <c r="E18" i="43"/>
  <c r="F14" i="43"/>
  <c r="J20" i="43"/>
  <c r="I14" i="43"/>
  <c r="D13" i="43"/>
  <c r="J14" i="43"/>
  <c r="J29" i="43" s="1"/>
  <c r="H14" i="43"/>
  <c r="H29" i="43" s="1"/>
  <c r="E13" i="43"/>
  <c r="E14" i="43"/>
  <c r="E17" i="43"/>
  <c r="G13" i="43"/>
  <c r="G17" i="43"/>
  <c r="D14" i="43"/>
  <c r="F13" i="43"/>
  <c r="F17" i="43"/>
  <c r="K19" i="43"/>
  <c r="J13" i="43"/>
  <c r="J28" i="43" s="1"/>
  <c r="I13" i="43"/>
  <c r="H13" i="43"/>
  <c r="H28" i="43" s="1"/>
  <c r="J19" i="43"/>
  <c r="K13" i="43"/>
  <c r="BA15" i="2" l="1"/>
  <c r="AZ15" i="2"/>
  <c r="AY15" i="2"/>
  <c r="BA20" i="2"/>
  <c r="AZ20" i="2"/>
  <c r="AY20" i="2"/>
  <c r="AW20" i="2"/>
  <c r="AX20" i="2"/>
  <c r="AX15" i="2"/>
  <c r="T38" i="27"/>
  <c r="U38" i="27"/>
  <c r="V38" i="27"/>
  <c r="W38" i="27"/>
  <c r="X38" i="27"/>
  <c r="Y38" i="27"/>
  <c r="Z38" i="27"/>
  <c r="AA38" i="27"/>
  <c r="AB38" i="27"/>
  <c r="AC38" i="27"/>
  <c r="AD38" i="27"/>
  <c r="AE38" i="27"/>
  <c r="AF38" i="27"/>
  <c r="AG38" i="27"/>
  <c r="AH38" i="27"/>
  <c r="S38" i="27"/>
  <c r="AC121" i="4"/>
  <c r="AD121" i="4"/>
  <c r="AE121" i="4"/>
  <c r="AC112" i="4"/>
  <c r="AC123" i="4" s="1"/>
  <c r="AD112" i="4"/>
  <c r="AD123" i="4" s="1"/>
  <c r="AE112" i="4"/>
  <c r="AE123" i="4" s="1"/>
  <c r="Y112" i="4"/>
  <c r="Y123" i="4" s="1"/>
  <c r="Z112" i="4"/>
  <c r="Z123" i="4" s="1"/>
  <c r="AA112" i="4"/>
  <c r="AA123" i="4" s="1"/>
  <c r="AB112" i="4"/>
  <c r="AB123" i="4" s="1"/>
  <c r="X112" i="4"/>
  <c r="X123" i="4" s="1"/>
  <c r="W84" i="4"/>
  <c r="J14" i="40"/>
  <c r="I14" i="40"/>
  <c r="H14" i="40"/>
  <c r="G14" i="40"/>
  <c r="F14" i="40"/>
  <c r="E14" i="40"/>
  <c r="D14" i="40"/>
  <c r="K14" i="40"/>
  <c r="J45" i="38"/>
  <c r="J63" i="38" s="1"/>
  <c r="I45" i="38"/>
  <c r="I63" i="38" s="1"/>
  <c r="H45" i="38"/>
  <c r="H63" i="38" s="1"/>
  <c r="G45" i="38"/>
  <c r="G63" i="38" s="1"/>
  <c r="F45" i="38"/>
  <c r="F63" i="38" s="1"/>
  <c r="E45" i="38"/>
  <c r="E63" i="38" s="1"/>
  <c r="D45" i="38"/>
  <c r="D63" i="38" s="1"/>
  <c r="K45" i="38"/>
  <c r="K63" i="38" s="1"/>
  <c r="AN157" i="30" l="1"/>
  <c r="AO157" i="30"/>
  <c r="BB157" i="30" s="1"/>
  <c r="AP157" i="30"/>
  <c r="AN158" i="30"/>
  <c r="AS158" i="30" s="1"/>
  <c r="AO158" i="30"/>
  <c r="AP158" i="30"/>
  <c r="AN159" i="30"/>
  <c r="AO159" i="30"/>
  <c r="AP159" i="30"/>
  <c r="AN160" i="30"/>
  <c r="AO160" i="30"/>
  <c r="AP160" i="30"/>
  <c r="AN161" i="30"/>
  <c r="AS161" i="30" s="1"/>
  <c r="AO161" i="30"/>
  <c r="AP161" i="30"/>
  <c r="AN162" i="30"/>
  <c r="AO162" i="30"/>
  <c r="AP162" i="30"/>
  <c r="AN163" i="30"/>
  <c r="AO163" i="30"/>
  <c r="AP163" i="30"/>
  <c r="AN164" i="30"/>
  <c r="AO164" i="30"/>
  <c r="AP164" i="30"/>
  <c r="AN165" i="30"/>
  <c r="AS165" i="30" s="1"/>
  <c r="AO165" i="30"/>
  <c r="AP165" i="30"/>
  <c r="AN166" i="30"/>
  <c r="AS166" i="30" s="1"/>
  <c r="AO166" i="30"/>
  <c r="AP166" i="30"/>
  <c r="AN167" i="30"/>
  <c r="AO167" i="30"/>
  <c r="AP167" i="30"/>
  <c r="AN168" i="30"/>
  <c r="AO168" i="30"/>
  <c r="AP168" i="30"/>
  <c r="AU168" i="30" s="1"/>
  <c r="AN169" i="30"/>
  <c r="AO169" i="30"/>
  <c r="AP169" i="30"/>
  <c r="AN170" i="30"/>
  <c r="AO170" i="30"/>
  <c r="AP170" i="30"/>
  <c r="AN171" i="30"/>
  <c r="AS171" i="30" s="1"/>
  <c r="AO171" i="30"/>
  <c r="AP171" i="30"/>
  <c r="AN172" i="30"/>
  <c r="AO172" i="30"/>
  <c r="AP172" i="30"/>
  <c r="AN173" i="30"/>
  <c r="AO173" i="30"/>
  <c r="AP173" i="30"/>
  <c r="AN174" i="30"/>
  <c r="AS174" i="30" s="1"/>
  <c r="AO174" i="30"/>
  <c r="AP174" i="30"/>
  <c r="AN175" i="30"/>
  <c r="AO175" i="30"/>
  <c r="AP175" i="30"/>
  <c r="AN176" i="30"/>
  <c r="AO176" i="30"/>
  <c r="AP176" i="30"/>
  <c r="AN177" i="30"/>
  <c r="AS177" i="30" s="1"/>
  <c r="AO177" i="30"/>
  <c r="AT177" i="30" s="1"/>
  <c r="AP177" i="30"/>
  <c r="AN178" i="30"/>
  <c r="AO178" i="30"/>
  <c r="AP178" i="30"/>
  <c r="AN179" i="30"/>
  <c r="AO179" i="30"/>
  <c r="AP179" i="30"/>
  <c r="AN180" i="30"/>
  <c r="AO180" i="30"/>
  <c r="AP180" i="30"/>
  <c r="AN181" i="30"/>
  <c r="AO181" i="30"/>
  <c r="AP181" i="30"/>
  <c r="AN182" i="30"/>
  <c r="AO182" i="30"/>
  <c r="AP182" i="30"/>
  <c r="AJ184" i="30"/>
  <c r="AK184" i="30"/>
  <c r="AM158" i="30"/>
  <c r="AM159" i="30"/>
  <c r="AM160" i="30"/>
  <c r="AM161" i="30"/>
  <c r="AM162" i="30"/>
  <c r="AM163" i="30"/>
  <c r="AM164" i="30"/>
  <c r="AM165" i="30"/>
  <c r="AM166" i="30"/>
  <c r="AM167" i="30"/>
  <c r="AM168" i="30"/>
  <c r="AM169" i="30"/>
  <c r="AM170" i="30"/>
  <c r="AM171" i="30"/>
  <c r="AM172" i="30"/>
  <c r="AM173" i="30"/>
  <c r="AM174" i="30"/>
  <c r="AM175" i="30"/>
  <c r="AM176" i="30"/>
  <c r="AM177" i="30"/>
  <c r="AM178" i="30"/>
  <c r="AM179" i="30"/>
  <c r="AM180" i="30"/>
  <c r="AR180" i="30" s="1"/>
  <c r="AM181" i="30"/>
  <c r="AM182" i="30"/>
  <c r="AR182" i="30" s="1"/>
  <c r="AM157" i="30"/>
  <c r="AZ157" i="30" s="1"/>
  <c r="AR178" i="30" l="1"/>
  <c r="AS160" i="30"/>
  <c r="AR181" i="30"/>
  <c r="AR177" i="30"/>
  <c r="AS178" i="30"/>
  <c r="AR172" i="30"/>
  <c r="AU177" i="30"/>
  <c r="AR179" i="30"/>
  <c r="BL172" i="30"/>
  <c r="AS172" i="30"/>
  <c r="BM166" i="30"/>
  <c r="AT166" i="30"/>
  <c r="BM176" i="30"/>
  <c r="AT176" i="30"/>
  <c r="BN161" i="30"/>
  <c r="AU161" i="30"/>
  <c r="BN171" i="30"/>
  <c r="AU171" i="30"/>
  <c r="BL182" i="30"/>
  <c r="AS182" i="30"/>
  <c r="BK168" i="30"/>
  <c r="AR168" i="30"/>
  <c r="BM165" i="30"/>
  <c r="AT165" i="30"/>
  <c r="BN174" i="30"/>
  <c r="AU174" i="30"/>
  <c r="BN172" i="30"/>
  <c r="AU172" i="30"/>
  <c r="BN160" i="30"/>
  <c r="AU160" i="30"/>
  <c r="BL170" i="30"/>
  <c r="AS170" i="30"/>
  <c r="BL175" i="30"/>
  <c r="AS175" i="30"/>
  <c r="BN169" i="30"/>
  <c r="AU169" i="30"/>
  <c r="BL180" i="30"/>
  <c r="AS180" i="30"/>
  <c r="BM174" i="30"/>
  <c r="AT174" i="30"/>
  <c r="BL169" i="30"/>
  <c r="AS169" i="30"/>
  <c r="BN163" i="30"/>
  <c r="AU163" i="30"/>
  <c r="BM158" i="30"/>
  <c r="AT158" i="30"/>
  <c r="BM167" i="30"/>
  <c r="AT167" i="30"/>
  <c r="BM161" i="30"/>
  <c r="AT161" i="30"/>
  <c r="BK170" i="30"/>
  <c r="AR170" i="30"/>
  <c r="BN181" i="30"/>
  <c r="AU181" i="30"/>
  <c r="BK167" i="30"/>
  <c r="AR167" i="30"/>
  <c r="BN175" i="30"/>
  <c r="AU175" i="30"/>
  <c r="BM175" i="30"/>
  <c r="AT175" i="30"/>
  <c r="BM180" i="30"/>
  <c r="AT180" i="30"/>
  <c r="BL159" i="30"/>
  <c r="AS159" i="30"/>
  <c r="BK163" i="30"/>
  <c r="AR163" i="30"/>
  <c r="BK161" i="30"/>
  <c r="AR161" i="30"/>
  <c r="BM179" i="30"/>
  <c r="AT179" i="30"/>
  <c r="BM163" i="30"/>
  <c r="AT163" i="30"/>
  <c r="BM172" i="30"/>
  <c r="AT172" i="30"/>
  <c r="BK171" i="30"/>
  <c r="AR171" i="30"/>
  <c r="BN182" i="30"/>
  <c r="AU182" i="30"/>
  <c r="BM171" i="30"/>
  <c r="AT171" i="30"/>
  <c r="BM181" i="30"/>
  <c r="AT181" i="30"/>
  <c r="BL176" i="30"/>
  <c r="AS176" i="30"/>
  <c r="BK166" i="30"/>
  <c r="AR166" i="30"/>
  <c r="BN159" i="30"/>
  <c r="AU159" i="30"/>
  <c r="BN180" i="30"/>
  <c r="AU180" i="30"/>
  <c r="BM164" i="30"/>
  <c r="AT164" i="30"/>
  <c r="BM169" i="30"/>
  <c r="AT169" i="30"/>
  <c r="BK176" i="30"/>
  <c r="AR176" i="30"/>
  <c r="BK160" i="30"/>
  <c r="AR160" i="30"/>
  <c r="AS179" i="30"/>
  <c r="AU173" i="30"/>
  <c r="AT168" i="30"/>
  <c r="AS163" i="30"/>
  <c r="BK173" i="30"/>
  <c r="AR173" i="30"/>
  <c r="BN166" i="30"/>
  <c r="AU166" i="30"/>
  <c r="BM182" i="30"/>
  <c r="AT182" i="30"/>
  <c r="BK169" i="30"/>
  <c r="AR169" i="30"/>
  <c r="BN165" i="30"/>
  <c r="AU165" i="30"/>
  <c r="BN170" i="30"/>
  <c r="AU170" i="30"/>
  <c r="BL181" i="30"/>
  <c r="AS181" i="30"/>
  <c r="BK165" i="30"/>
  <c r="AR165" i="30"/>
  <c r="BM159" i="30"/>
  <c r="AT159" i="30"/>
  <c r="BN158" i="30"/>
  <c r="AU158" i="30"/>
  <c r="BN179" i="30"/>
  <c r="AU179" i="30"/>
  <c r="BK175" i="30"/>
  <c r="AR175" i="30"/>
  <c r="BK159" i="30"/>
  <c r="AR159" i="30"/>
  <c r="AU178" i="30"/>
  <c r="AT173" i="30"/>
  <c r="AS168" i="30"/>
  <c r="AU162" i="30"/>
  <c r="BL162" i="30"/>
  <c r="AS162" i="30"/>
  <c r="BL167" i="30"/>
  <c r="AS167" i="30"/>
  <c r="BN176" i="30"/>
  <c r="AU176" i="30"/>
  <c r="BM160" i="30"/>
  <c r="AT160" i="30"/>
  <c r="BM170" i="30"/>
  <c r="AT170" i="30"/>
  <c r="BN164" i="30"/>
  <c r="AU164" i="30"/>
  <c r="BK164" i="30"/>
  <c r="AR164" i="30"/>
  <c r="BL164" i="30"/>
  <c r="AS164" i="30"/>
  <c r="BK162" i="30"/>
  <c r="AR162" i="30"/>
  <c r="AR174" i="30"/>
  <c r="AR158" i="30"/>
  <c r="AT178" i="30"/>
  <c r="AS173" i="30"/>
  <c r="AU167" i="30"/>
  <c r="AT162" i="30"/>
  <c r="BL160" i="30"/>
  <c r="BG178" i="30"/>
  <c r="BL178" i="30"/>
  <c r="AZ172" i="30"/>
  <c r="BK172" i="30"/>
  <c r="BF182" i="30"/>
  <c r="BK182" i="30"/>
  <c r="BA165" i="30"/>
  <c r="BL165" i="30"/>
  <c r="BF179" i="30"/>
  <c r="BK179" i="30"/>
  <c r="BF178" i="30"/>
  <c r="BK178" i="30"/>
  <c r="BI177" i="30"/>
  <c r="BN177" i="30"/>
  <c r="BA166" i="30"/>
  <c r="BL166" i="30"/>
  <c r="BF180" i="30"/>
  <c r="BK180" i="30"/>
  <c r="BF177" i="30"/>
  <c r="BK177" i="30"/>
  <c r="BA174" i="30"/>
  <c r="BL174" i="30"/>
  <c r="BN168" i="30"/>
  <c r="BA158" i="30"/>
  <c r="BL158" i="30"/>
  <c r="BL179" i="30"/>
  <c r="BN173" i="30"/>
  <c r="BM168" i="30"/>
  <c r="BL163" i="30"/>
  <c r="BL161" i="30"/>
  <c r="BF181" i="30"/>
  <c r="BK181" i="30"/>
  <c r="BN178" i="30"/>
  <c r="BB173" i="30"/>
  <c r="BM173" i="30"/>
  <c r="BL168" i="30"/>
  <c r="BN162" i="30"/>
  <c r="BH177" i="30"/>
  <c r="BM177" i="30"/>
  <c r="BG177" i="30"/>
  <c r="BL177" i="30"/>
  <c r="BA171" i="30"/>
  <c r="BL171" i="30"/>
  <c r="BK174" i="30"/>
  <c r="BK158" i="30"/>
  <c r="BM178" i="30"/>
  <c r="BA173" i="30"/>
  <c r="BL173" i="30"/>
  <c r="BN167" i="30"/>
  <c r="BM162" i="30"/>
  <c r="BI182" i="30"/>
  <c r="BB181" i="30"/>
  <c r="BH181" i="30"/>
  <c r="BA180" i="30"/>
  <c r="BG180" i="30"/>
  <c r="BI179" i="30"/>
  <c r="BH182" i="30"/>
  <c r="BA182" i="30"/>
  <c r="BG182" i="30"/>
  <c r="BA181" i="30"/>
  <c r="BG181" i="30"/>
  <c r="BB179" i="30"/>
  <c r="BH179" i="30"/>
  <c r="BI180" i="30"/>
  <c r="BA179" i="30"/>
  <c r="BG179" i="30"/>
  <c r="BI178" i="30"/>
  <c r="BI181" i="30"/>
  <c r="BH180" i="30"/>
  <c r="BH178" i="30"/>
  <c r="BC181" i="30"/>
  <c r="BB163" i="30"/>
  <c r="BB176" i="30"/>
  <c r="BB168" i="30"/>
  <c r="BA163" i="30"/>
  <c r="BA176" i="30"/>
  <c r="BA168" i="30"/>
  <c r="BA160" i="30"/>
  <c r="AZ181" i="30"/>
  <c r="BB160" i="30"/>
  <c r="AZ160" i="30"/>
  <c r="BC173" i="30"/>
  <c r="BB175" i="30"/>
  <c r="BB159" i="30"/>
  <c r="BA170" i="30"/>
  <c r="AZ169" i="30"/>
  <c r="BA167" i="30"/>
  <c r="AZ168" i="30"/>
  <c r="BC182" i="30"/>
  <c r="BA164" i="30"/>
  <c r="BC165" i="30"/>
  <c r="AZ177" i="30"/>
  <c r="AZ161" i="30"/>
  <c r="AZ163" i="30"/>
  <c r="AZ178" i="30"/>
  <c r="AZ176" i="30"/>
  <c r="BB165" i="30"/>
  <c r="AZ175" i="30"/>
  <c r="AZ159" i="30"/>
  <c r="AZ179" i="30"/>
  <c r="AZ158" i="30"/>
  <c r="AZ162" i="30"/>
  <c r="AZ174" i="30"/>
  <c r="AZ173" i="30"/>
  <c r="BA159" i="30"/>
  <c r="BA157" i="30"/>
  <c r="BC178" i="30"/>
  <c r="BC170" i="30"/>
  <c r="BC162" i="30"/>
  <c r="BB164" i="30"/>
  <c r="BB172" i="30"/>
  <c r="BB178" i="30"/>
  <c r="BC175" i="30"/>
  <c r="BB170" i="30"/>
  <c r="BC167" i="30"/>
  <c r="BB162" i="30"/>
  <c r="BC159" i="30"/>
  <c r="BC157" i="30"/>
  <c r="BC171" i="30"/>
  <c r="BC172" i="30"/>
  <c r="BB167" i="30"/>
  <c r="BC169" i="30"/>
  <c r="AZ171" i="30"/>
  <c r="BA178" i="30"/>
  <c r="BA162" i="30"/>
  <c r="AZ180" i="30"/>
  <c r="AZ170" i="30"/>
  <c r="BC161" i="30"/>
  <c r="BB177" i="30"/>
  <c r="BC174" i="30"/>
  <c r="BB169" i="30"/>
  <c r="BC166" i="30"/>
  <c r="BB161" i="30"/>
  <c r="BC158" i="30"/>
  <c r="AZ167" i="30"/>
  <c r="BA172" i="30"/>
  <c r="AZ182" i="30"/>
  <c r="AZ166" i="30"/>
  <c r="BB182" i="30"/>
  <c r="BC179" i="30"/>
  <c r="BB174" i="30"/>
  <c r="BB166" i="30"/>
  <c r="BC163" i="30"/>
  <c r="BB158" i="30"/>
  <c r="AZ165" i="30"/>
  <c r="BA177" i="30"/>
  <c r="BA169" i="30"/>
  <c r="BA161" i="30"/>
  <c r="AZ164" i="30"/>
  <c r="BC176" i="30"/>
  <c r="BB171" i="30"/>
  <c r="BC168" i="30"/>
  <c r="BC160" i="30"/>
  <c r="BC164" i="30"/>
  <c r="BA175" i="30"/>
  <c r="BC180" i="30"/>
  <c r="BB180" i="30"/>
  <c r="BC177" i="30"/>
  <c r="L183" i="30"/>
  <c r="Y183" i="30" s="1"/>
  <c r="B184" i="30"/>
  <c r="B183" i="30"/>
  <c r="B158" i="30"/>
  <c r="B159" i="30"/>
  <c r="B160" i="30"/>
  <c r="B161" i="30"/>
  <c r="B162" i="30"/>
  <c r="B163" i="30"/>
  <c r="B164" i="30"/>
  <c r="B165" i="30"/>
  <c r="B166" i="30"/>
  <c r="B167" i="30"/>
  <c r="B168" i="30"/>
  <c r="B169" i="30"/>
  <c r="B170" i="30"/>
  <c r="B171" i="30"/>
  <c r="B172" i="30"/>
  <c r="B173" i="30"/>
  <c r="B174" i="30"/>
  <c r="B175" i="30"/>
  <c r="B176" i="30"/>
  <c r="B177" i="30"/>
  <c r="B178" i="30"/>
  <c r="B179" i="30"/>
  <c r="B180" i="30"/>
  <c r="B181" i="30"/>
  <c r="B182" i="30"/>
  <c r="B157" i="30"/>
  <c r="N27" i="22"/>
  <c r="O27" i="22"/>
  <c r="P27" i="22"/>
  <c r="Q27" i="22"/>
  <c r="R27" i="22"/>
  <c r="S27" i="22"/>
  <c r="M27" i="22"/>
  <c r="N25" i="22"/>
  <c r="O25" i="22"/>
  <c r="P25" i="22"/>
  <c r="Q25" i="22"/>
  <c r="R25" i="22"/>
  <c r="S25" i="22"/>
  <c r="T25" i="22"/>
  <c r="M25" i="22"/>
  <c r="BC35" i="2"/>
  <c r="BB35" i="2"/>
  <c r="BA35" i="2"/>
  <c r="AS35" i="2"/>
  <c r="AQ35" i="2"/>
  <c r="AH34" i="2"/>
  <c r="AH32" i="2"/>
  <c r="AL34" i="2"/>
  <c r="AH37" i="2"/>
  <c r="AH31" i="2"/>
  <c r="AL37" i="2"/>
  <c r="AL32" i="2"/>
  <c r="AL31" i="2"/>
  <c r="AH19" i="2"/>
  <c r="AL19" i="2"/>
  <c r="AL14" i="2"/>
  <c r="AH14" i="2"/>
  <c r="AL12" i="2"/>
  <c r="AH12" i="2"/>
  <c r="J44" i="38"/>
  <c r="J62" i="38" s="1"/>
  <c r="I44" i="38"/>
  <c r="I62" i="38" s="1"/>
  <c r="H44" i="38"/>
  <c r="H62" i="38" s="1"/>
  <c r="G44" i="38"/>
  <c r="G62" i="38" s="1"/>
  <c r="F44" i="38"/>
  <c r="F62" i="38" s="1"/>
  <c r="E44" i="38"/>
  <c r="E62" i="38" s="1"/>
  <c r="D44" i="38"/>
  <c r="D62" i="38" s="1"/>
  <c r="K44" i="38"/>
  <c r="K62" i="38" s="1"/>
  <c r="R31" i="22"/>
  <c r="AL35" i="6"/>
  <c r="AK35" i="6"/>
  <c r="AJ35" i="6"/>
  <c r="AI35" i="6"/>
  <c r="AH35" i="6"/>
  <c r="AG35" i="6"/>
  <c r="AF35" i="6"/>
  <c r="AL34" i="6"/>
  <c r="AK34" i="6"/>
  <c r="AJ34" i="6"/>
  <c r="AI34" i="6"/>
  <c r="AH34" i="6"/>
  <c r="AG34" i="6"/>
  <c r="AF34" i="6"/>
  <c r="AD35" i="6"/>
  <c r="AD34" i="6"/>
  <c r="AD22" i="6"/>
  <c r="AC22" i="6"/>
  <c r="AB22" i="6"/>
  <c r="AA22" i="6"/>
  <c r="Z22" i="6"/>
  <c r="Y22" i="6"/>
  <c r="X22" i="6"/>
  <c r="W22" i="6"/>
  <c r="V22" i="6"/>
  <c r="U22" i="6"/>
  <c r="T22" i="6"/>
  <c r="S22" i="6"/>
  <c r="R22" i="6"/>
  <c r="Q22" i="6"/>
  <c r="P22" i="6"/>
  <c r="AD21" i="6"/>
  <c r="AC21" i="6"/>
  <c r="AB21" i="6"/>
  <c r="AA21" i="6"/>
  <c r="Z21" i="6"/>
  <c r="Y21" i="6"/>
  <c r="X21" i="6"/>
  <c r="W21" i="6"/>
  <c r="V21" i="6"/>
  <c r="U21" i="6"/>
  <c r="T21" i="6"/>
  <c r="S21" i="6"/>
  <c r="R21" i="6"/>
  <c r="Q21" i="6"/>
  <c r="P21" i="6"/>
  <c r="AE22" i="6"/>
  <c r="AE21" i="6"/>
  <c r="AL31" i="6"/>
  <c r="AK31" i="6"/>
  <c r="AJ31" i="6"/>
  <c r="AI31" i="6"/>
  <c r="AH31" i="6"/>
  <c r="AG31" i="6"/>
  <c r="AF31" i="6"/>
  <c r="AL28" i="6"/>
  <c r="AK28" i="6"/>
  <c r="AJ28" i="6"/>
  <c r="AI28" i="6"/>
  <c r="AH28" i="6"/>
  <c r="AG28" i="6"/>
  <c r="AF28" i="6"/>
  <c r="AD75" i="6"/>
  <c r="AB75" i="6"/>
  <c r="AA75" i="6"/>
  <c r="Z75" i="6"/>
  <c r="Y75" i="6"/>
  <c r="X75" i="6"/>
  <c r="W75" i="6"/>
  <c r="V75" i="6"/>
  <c r="U75" i="6"/>
  <c r="T75" i="6"/>
  <c r="S75" i="6"/>
  <c r="R75" i="6"/>
  <c r="Q75" i="6"/>
  <c r="P75" i="6"/>
  <c r="AD74" i="6"/>
  <c r="AB74" i="6"/>
  <c r="AA74" i="6"/>
  <c r="Z74" i="6"/>
  <c r="Y74" i="6"/>
  <c r="X74" i="6"/>
  <c r="W74" i="6"/>
  <c r="V74" i="6"/>
  <c r="U74" i="6"/>
  <c r="T74" i="6"/>
  <c r="S74" i="6"/>
  <c r="R74" i="6"/>
  <c r="Q74" i="6"/>
  <c r="P74" i="6"/>
  <c r="AD73" i="6"/>
  <c r="AB73" i="6"/>
  <c r="AA73" i="6"/>
  <c r="Z73" i="6"/>
  <c r="Y73" i="6"/>
  <c r="X73" i="6"/>
  <c r="W73" i="6"/>
  <c r="V73" i="6"/>
  <c r="U73" i="6"/>
  <c r="T73" i="6"/>
  <c r="S73" i="6"/>
  <c r="R73" i="6"/>
  <c r="Q73" i="6"/>
  <c r="P73" i="6"/>
  <c r="AD72" i="6"/>
  <c r="AB72" i="6"/>
  <c r="AA72" i="6"/>
  <c r="Z72" i="6"/>
  <c r="Y72" i="6"/>
  <c r="X72" i="6"/>
  <c r="W72" i="6"/>
  <c r="V72" i="6"/>
  <c r="U72" i="6"/>
  <c r="T72" i="6"/>
  <c r="S72" i="6"/>
  <c r="R72" i="6"/>
  <c r="Q72" i="6"/>
  <c r="P72" i="6"/>
  <c r="AE73" i="6"/>
  <c r="AE74" i="6"/>
  <c r="AE75" i="6"/>
  <c r="AE72" i="6"/>
  <c r="AH35" i="2" l="1"/>
  <c r="AL35" i="2"/>
  <c r="AL15" i="2"/>
  <c r="L184" i="30"/>
  <c r="AP183" i="30"/>
  <c r="AH20" i="2"/>
  <c r="AL20" i="2"/>
  <c r="AH15" i="2"/>
  <c r="BN183" i="30" l="1"/>
  <c r="AU183" i="30"/>
  <c r="AP184" i="30"/>
  <c r="AU184" i="30" s="1"/>
  <c r="Y184" i="30"/>
  <c r="BC183" i="30"/>
  <c r="BI183" i="30"/>
  <c r="AL17" i="2"/>
  <c r="AH17" i="2"/>
  <c r="S24" i="22"/>
  <c r="T24" i="22"/>
  <c r="BI184" i="30" l="1"/>
  <c r="BC184" i="30"/>
  <c r="BN184" i="30"/>
  <c r="W24" i="22"/>
  <c r="E15" i="39"/>
  <c r="N26" i="22" s="1"/>
  <c r="F15" i="39"/>
  <c r="O26" i="22" s="1"/>
  <c r="G15" i="39"/>
  <c r="P26" i="22" s="1"/>
  <c r="H15" i="39"/>
  <c r="Q26" i="22" s="1"/>
  <c r="I15" i="39"/>
  <c r="R26" i="22" s="1"/>
  <c r="J15" i="39"/>
  <c r="S26" i="22" s="1"/>
  <c r="K15" i="39"/>
  <c r="T26" i="22" s="1"/>
  <c r="D15" i="39"/>
  <c r="M26" i="22" s="1"/>
  <c r="W25" i="22"/>
  <c r="V25" i="22"/>
  <c r="BC27" i="2"/>
  <c r="BB27" i="2"/>
  <c r="BA27" i="2"/>
  <c r="BH11" i="2"/>
  <c r="BI11" i="2" s="1"/>
  <c r="BJ11" i="2" s="1"/>
  <c r="BK11" i="2" s="1"/>
  <c r="BL11" i="2" s="1"/>
  <c r="BM11" i="2" s="1"/>
  <c r="BN11" i="2" s="1"/>
  <c r="E6" i="40"/>
  <c r="F6" i="40" s="1"/>
  <c r="G6" i="40" s="1"/>
  <c r="H6" i="40" s="1"/>
  <c r="I6" i="40" s="1"/>
  <c r="J6" i="40" s="1"/>
  <c r="K6" i="40" s="1"/>
  <c r="E6" i="39"/>
  <c r="F6" i="39" s="1"/>
  <c r="G6" i="39" s="1"/>
  <c r="H6" i="39" s="1"/>
  <c r="I6" i="39" s="1"/>
  <c r="J6" i="39" s="1"/>
  <c r="K6" i="39" s="1"/>
  <c r="E3" i="38"/>
  <c r="F3" i="38" s="1"/>
  <c r="G3" i="38" s="1"/>
  <c r="H3" i="38" s="1"/>
  <c r="I3" i="38" s="1"/>
  <c r="J3" i="38" s="1"/>
  <c r="K3" i="38" s="1"/>
  <c r="J12" i="41"/>
  <c r="J14" i="41" s="1"/>
  <c r="S31" i="22" s="1"/>
  <c r="K12" i="41"/>
  <c r="K14" i="41" s="1"/>
  <c r="T31" i="22" s="1"/>
  <c r="J24" i="41"/>
  <c r="K24" i="41"/>
  <c r="J34" i="41"/>
  <c r="K34" i="41"/>
  <c r="D11" i="40"/>
  <c r="E11" i="40"/>
  <c r="F11" i="40"/>
  <c r="G11" i="40"/>
  <c r="H11" i="40"/>
  <c r="I11" i="40"/>
  <c r="J11" i="40"/>
  <c r="K11" i="40"/>
  <c r="D25" i="40"/>
  <c r="E25" i="40"/>
  <c r="F25" i="40"/>
  <c r="G25" i="40"/>
  <c r="H25" i="40"/>
  <c r="I25" i="40"/>
  <c r="J25" i="40"/>
  <c r="K25" i="40"/>
  <c r="D35" i="40"/>
  <c r="E35" i="40"/>
  <c r="F35" i="40"/>
  <c r="G35" i="40"/>
  <c r="H35" i="40"/>
  <c r="I35" i="40"/>
  <c r="J35" i="40"/>
  <c r="K35" i="40"/>
  <c r="D36" i="40"/>
  <c r="E36" i="40"/>
  <c r="F36" i="40"/>
  <c r="G36" i="40"/>
  <c r="H36" i="40"/>
  <c r="I36" i="40"/>
  <c r="J36" i="40"/>
  <c r="K36" i="40"/>
  <c r="D38" i="40"/>
  <c r="E38" i="40"/>
  <c r="F38" i="40"/>
  <c r="G38" i="40"/>
  <c r="H38" i="40"/>
  <c r="I38" i="40"/>
  <c r="J38" i="40"/>
  <c r="K38" i="40"/>
  <c r="E42" i="40"/>
  <c r="F42" i="40"/>
  <c r="G42" i="40"/>
  <c r="H42" i="40"/>
  <c r="I42" i="40"/>
  <c r="J42" i="40"/>
  <c r="K42" i="40"/>
  <c r="D43" i="40"/>
  <c r="E43" i="40"/>
  <c r="F43" i="40"/>
  <c r="G43" i="40"/>
  <c r="H43" i="40"/>
  <c r="I43" i="40"/>
  <c r="J43" i="40"/>
  <c r="K43" i="40"/>
  <c r="D44" i="40"/>
  <c r="E44" i="40"/>
  <c r="F44" i="40"/>
  <c r="G44" i="40"/>
  <c r="H44" i="40"/>
  <c r="I44" i="40"/>
  <c r="J44" i="40"/>
  <c r="K44" i="40"/>
  <c r="D45" i="40"/>
  <c r="E45" i="40"/>
  <c r="F45" i="40"/>
  <c r="G45" i="40"/>
  <c r="H45" i="40"/>
  <c r="I45" i="40"/>
  <c r="J45" i="40"/>
  <c r="K45" i="40"/>
  <c r="D11" i="39"/>
  <c r="E11" i="39"/>
  <c r="F11" i="39"/>
  <c r="G11" i="39"/>
  <c r="G18" i="39" s="1"/>
  <c r="H11" i="39"/>
  <c r="I11" i="39"/>
  <c r="J11" i="39"/>
  <c r="K11" i="39"/>
  <c r="K18" i="39" s="1"/>
  <c r="D25" i="39"/>
  <c r="E25" i="39"/>
  <c r="F25" i="39"/>
  <c r="G25" i="39"/>
  <c r="H25" i="39"/>
  <c r="I25" i="39"/>
  <c r="J25" i="39"/>
  <c r="K25" i="39"/>
  <c r="D33" i="39"/>
  <c r="E33" i="39"/>
  <c r="F33" i="39"/>
  <c r="G33" i="39"/>
  <c r="H33" i="39"/>
  <c r="I33" i="39"/>
  <c r="J33" i="39"/>
  <c r="K33" i="39"/>
  <c r="D44" i="39"/>
  <c r="E44" i="39"/>
  <c r="F44" i="39"/>
  <c r="G44" i="39"/>
  <c r="H44" i="39"/>
  <c r="I44" i="39"/>
  <c r="J44" i="39"/>
  <c r="K44" i="39"/>
  <c r="D45" i="39"/>
  <c r="E45" i="39"/>
  <c r="F45" i="39"/>
  <c r="G45" i="39"/>
  <c r="H45" i="39"/>
  <c r="I45" i="39"/>
  <c r="J45" i="39"/>
  <c r="K45" i="39"/>
  <c r="E57" i="39"/>
  <c r="F57" i="39"/>
  <c r="G57" i="39"/>
  <c r="H57" i="39"/>
  <c r="I57" i="39"/>
  <c r="J57" i="39"/>
  <c r="K57" i="39"/>
  <c r="J58" i="39"/>
  <c r="K58" i="39"/>
  <c r="D7" i="38"/>
  <c r="D9" i="38" s="1"/>
  <c r="E7" i="38"/>
  <c r="E9" i="38" s="1"/>
  <c r="F7" i="38"/>
  <c r="F9" i="38" s="1"/>
  <c r="G7" i="38"/>
  <c r="G9" i="38" s="1"/>
  <c r="H7" i="38"/>
  <c r="H9" i="38" s="1"/>
  <c r="I7" i="38"/>
  <c r="I9" i="38" s="1"/>
  <c r="J7" i="38"/>
  <c r="J9" i="38" s="1"/>
  <c r="K7" i="38"/>
  <c r="K9" i="38" s="1"/>
  <c r="D12" i="38"/>
  <c r="E12" i="38"/>
  <c r="F12" i="38"/>
  <c r="G12" i="38"/>
  <c r="H12" i="38"/>
  <c r="I12" i="38"/>
  <c r="J12" i="38"/>
  <c r="K12" i="38"/>
  <c r="E25" i="38"/>
  <c r="F25" i="38"/>
  <c r="G25" i="38"/>
  <c r="H25" i="38"/>
  <c r="I25" i="38"/>
  <c r="J25" i="38"/>
  <c r="K25" i="38"/>
  <c r="V26" i="22" l="1"/>
  <c r="H24" i="38"/>
  <c r="H46" i="38"/>
  <c r="H64" i="38" s="1"/>
  <c r="F24" i="38"/>
  <c r="F46" i="38"/>
  <c r="F64" i="38" s="1"/>
  <c r="J24" i="38"/>
  <c r="J46" i="38"/>
  <c r="J64" i="38" s="1"/>
  <c r="G24" i="38"/>
  <c r="G46" i="38"/>
  <c r="G64" i="38" s="1"/>
  <c r="E24" i="38"/>
  <c r="E46" i="38"/>
  <c r="E64" i="38" s="1"/>
  <c r="I24" i="38"/>
  <c r="I46" i="38"/>
  <c r="I64" i="38" s="1"/>
  <c r="D24" i="38"/>
  <c r="D46" i="38"/>
  <c r="D64" i="38" s="1"/>
  <c r="K24" i="38"/>
  <c r="K46" i="38"/>
  <c r="K64" i="38" s="1"/>
  <c r="W26" i="22"/>
  <c r="I13" i="39"/>
  <c r="I60" i="39" s="1"/>
  <c r="I18" i="39"/>
  <c r="H59" i="39"/>
  <c r="H18" i="39"/>
  <c r="E63" i="39"/>
  <c r="E18" i="39"/>
  <c r="F59" i="39"/>
  <c r="F18" i="39"/>
  <c r="D61" i="39"/>
  <c r="D18" i="39"/>
  <c r="J13" i="39"/>
  <c r="J26" i="39" s="1"/>
  <c r="J27" i="39" s="1"/>
  <c r="J18" i="39"/>
  <c r="D27" i="40"/>
  <c r="D31" i="40" s="1"/>
  <c r="E62" i="39"/>
  <c r="G56" i="39"/>
  <c r="I61" i="39"/>
  <c r="I59" i="39"/>
  <c r="I63" i="39"/>
  <c r="D63" i="39"/>
  <c r="G27" i="40"/>
  <c r="G34" i="40" s="1"/>
  <c r="G37" i="40" s="1"/>
  <c r="H62" i="39"/>
  <c r="F62" i="39"/>
  <c r="G13" i="39"/>
  <c r="G26" i="39" s="1"/>
  <c r="G37" i="39" s="1"/>
  <c r="G39" i="39" s="1"/>
  <c r="F27" i="40"/>
  <c r="F48" i="40" s="1"/>
  <c r="D62" i="39"/>
  <c r="H13" i="39"/>
  <c r="H26" i="39" s="1"/>
  <c r="H27" i="39" s="1"/>
  <c r="E59" i="39"/>
  <c r="F13" i="39"/>
  <c r="F60" i="39" s="1"/>
  <c r="E27" i="40"/>
  <c r="E34" i="40" s="1"/>
  <c r="E37" i="40" s="1"/>
  <c r="E46" i="40" s="1"/>
  <c r="D59" i="39"/>
  <c r="E13" i="39"/>
  <c r="E26" i="39" s="1"/>
  <c r="E27" i="39" s="1"/>
  <c r="H63" i="39"/>
  <c r="D13" i="39"/>
  <c r="D26" i="39" s="1"/>
  <c r="D27" i="39" s="1"/>
  <c r="G63" i="39"/>
  <c r="K56" i="39"/>
  <c r="F61" i="39"/>
  <c r="E56" i="39"/>
  <c r="F63" i="39"/>
  <c r="I27" i="40"/>
  <c r="I31" i="40" s="1"/>
  <c r="I56" i="39"/>
  <c r="F56" i="39"/>
  <c r="E61" i="39"/>
  <c r="H27" i="40"/>
  <c r="H48" i="40" s="1"/>
  <c r="K27" i="40"/>
  <c r="K48" i="40" s="1"/>
  <c r="J27" i="40"/>
  <c r="J31" i="40" s="1"/>
  <c r="G62" i="39"/>
  <c r="K59" i="39"/>
  <c r="K61" i="39"/>
  <c r="J61" i="39"/>
  <c r="G59" i="39"/>
  <c r="H56" i="39"/>
  <c r="J59" i="39"/>
  <c r="K63" i="39"/>
  <c r="H61" i="39"/>
  <c r="J63" i="39"/>
  <c r="G61" i="39"/>
  <c r="J56" i="39"/>
  <c r="K62" i="39"/>
  <c r="K13" i="39"/>
  <c r="K26" i="39" s="1"/>
  <c r="J62" i="39"/>
  <c r="I62" i="39"/>
  <c r="F195" i="30"/>
  <c r="K189" i="30"/>
  <c r="F183" i="30" s="1"/>
  <c r="K188" i="30"/>
  <c r="I188" i="30"/>
  <c r="I189" i="30"/>
  <c r="I190" i="30"/>
  <c r="G196" i="30" s="1"/>
  <c r="I191" i="30"/>
  <c r="I187" i="30"/>
  <c r="AM183" i="30" l="1"/>
  <c r="AZ183" i="30" s="1"/>
  <c r="V183" i="30"/>
  <c r="J60" i="39"/>
  <c r="D48" i="40"/>
  <c r="G48" i="40"/>
  <c r="G31" i="40"/>
  <c r="G29" i="40"/>
  <c r="D29" i="40"/>
  <c r="D34" i="40"/>
  <c r="D37" i="40" s="1"/>
  <c r="D46" i="40" s="1"/>
  <c r="I26" i="39"/>
  <c r="I27" i="39" s="1"/>
  <c r="G42" i="39"/>
  <c r="G46" i="39" s="1"/>
  <c r="G49" i="39" s="1"/>
  <c r="G50" i="39" s="1"/>
  <c r="J191" i="30"/>
  <c r="J189" i="30"/>
  <c r="I29" i="40"/>
  <c r="I34" i="40"/>
  <c r="I37" i="40" s="1"/>
  <c r="I39" i="40" s="1"/>
  <c r="I47" i="40" s="1"/>
  <c r="K29" i="40"/>
  <c r="I48" i="40"/>
  <c r="J188" i="30"/>
  <c r="H31" i="40"/>
  <c r="G60" i="39"/>
  <c r="F31" i="40"/>
  <c r="G27" i="39"/>
  <c r="K31" i="40"/>
  <c r="K34" i="40"/>
  <c r="K37" i="40" s="1"/>
  <c r="K39" i="40" s="1"/>
  <c r="K47" i="40" s="1"/>
  <c r="E29" i="40"/>
  <c r="E48" i="40"/>
  <c r="F29" i="40"/>
  <c r="F34" i="40"/>
  <c r="F37" i="40" s="1"/>
  <c r="F39" i="40" s="1"/>
  <c r="F47" i="40" s="1"/>
  <c r="H37" i="39"/>
  <c r="H42" i="39" s="1"/>
  <c r="H46" i="39" s="1"/>
  <c r="H49" i="39" s="1"/>
  <c r="H50" i="39" s="1"/>
  <c r="E37" i="39"/>
  <c r="E42" i="39" s="1"/>
  <c r="E46" i="39" s="1"/>
  <c r="E49" i="39" s="1"/>
  <c r="E50" i="39" s="1"/>
  <c r="J48" i="40"/>
  <c r="J34" i="40"/>
  <c r="J37" i="40" s="1"/>
  <c r="J39" i="40" s="1"/>
  <c r="J47" i="40" s="1"/>
  <c r="H60" i="39"/>
  <c r="J29" i="40"/>
  <c r="E39" i="40"/>
  <c r="E47" i="40" s="1"/>
  <c r="D60" i="39"/>
  <c r="D37" i="39"/>
  <c r="D42" i="39" s="1"/>
  <c r="D46" i="39" s="1"/>
  <c r="D49" i="39" s="1"/>
  <c r="D50" i="39" s="1"/>
  <c r="E31" i="40"/>
  <c r="J190" i="30"/>
  <c r="K60" i="39"/>
  <c r="H29" i="40"/>
  <c r="H196" i="30"/>
  <c r="H34" i="40"/>
  <c r="H37" i="40" s="1"/>
  <c r="H39" i="40" s="1"/>
  <c r="H47" i="40" s="1"/>
  <c r="J37" i="39"/>
  <c r="J42" i="39" s="1"/>
  <c r="J46" i="39" s="1"/>
  <c r="J49" i="39" s="1"/>
  <c r="J50" i="39" s="1"/>
  <c r="F26" i="39"/>
  <c r="F196" i="30"/>
  <c r="E60" i="39"/>
  <c r="K27" i="39"/>
  <c r="K37" i="39"/>
  <c r="G39" i="40"/>
  <c r="G47" i="40" s="1"/>
  <c r="G46" i="40"/>
  <c r="J183" i="30"/>
  <c r="X183" i="30" s="1"/>
  <c r="AG180" i="30"/>
  <c r="AG181" i="30"/>
  <c r="AG182" i="30"/>
  <c r="BF183" i="30" l="1"/>
  <c r="BK183" i="30"/>
  <c r="AR183" i="30"/>
  <c r="I37" i="39"/>
  <c r="I39" i="39" s="1"/>
  <c r="K46" i="40"/>
  <c r="D39" i="40"/>
  <c r="D47" i="40" s="1"/>
  <c r="I46" i="40"/>
  <c r="J184" i="30"/>
  <c r="X184" i="30" s="1"/>
  <c r="AO183" i="30"/>
  <c r="F46" i="40"/>
  <c r="H39" i="39"/>
  <c r="E39" i="39"/>
  <c r="J46" i="40"/>
  <c r="H46" i="40"/>
  <c r="J39" i="39"/>
  <c r="I196" i="30"/>
  <c r="F184" i="30" s="1"/>
  <c r="D39" i="39"/>
  <c r="AG183" i="30"/>
  <c r="F27" i="39"/>
  <c r="F37" i="39"/>
  <c r="K39" i="39"/>
  <c r="K42" i="39"/>
  <c r="K46" i="39" s="1"/>
  <c r="K49" i="39" s="1"/>
  <c r="K50" i="39" s="1"/>
  <c r="G183" i="30"/>
  <c r="AC182" i="30"/>
  <c r="AE182" i="30" s="1"/>
  <c r="AC181" i="30"/>
  <c r="AE181" i="30" s="1"/>
  <c r="AC180" i="30"/>
  <c r="AE180" i="30" s="1"/>
  <c r="AC179" i="30"/>
  <c r="AE179" i="30" s="1"/>
  <c r="AC178" i="30"/>
  <c r="AC177" i="30"/>
  <c r="AC176" i="30"/>
  <c r="AD176" i="30" s="1"/>
  <c r="AC175" i="30"/>
  <c r="AD175" i="30" s="1"/>
  <c r="AC174" i="30"/>
  <c r="AD174" i="30" s="1"/>
  <c r="AC173" i="30"/>
  <c r="AD173" i="30" s="1"/>
  <c r="AC172" i="30"/>
  <c r="AD172" i="30" s="1"/>
  <c r="AC171" i="30"/>
  <c r="AD171" i="30" s="1"/>
  <c r="AC170" i="30"/>
  <c r="AD170" i="30" s="1"/>
  <c r="AC169" i="30"/>
  <c r="AD169" i="30" s="1"/>
  <c r="AC168" i="30"/>
  <c r="AD168" i="30" s="1"/>
  <c r="AC167" i="30"/>
  <c r="AD167" i="30" s="1"/>
  <c r="AC166" i="30"/>
  <c r="AD166" i="30" s="1"/>
  <c r="AC165" i="30"/>
  <c r="AD165" i="30" s="1"/>
  <c r="AC164" i="30"/>
  <c r="AD164" i="30" s="1"/>
  <c r="AC163" i="30"/>
  <c r="AD163" i="30" s="1"/>
  <c r="AC162" i="30"/>
  <c r="AD162" i="30" s="1"/>
  <c r="AC161" i="30"/>
  <c r="AD161" i="30" s="1"/>
  <c r="AC160" i="30"/>
  <c r="AD160" i="30" s="1"/>
  <c r="AC159" i="30"/>
  <c r="AD159" i="30" s="1"/>
  <c r="AC158" i="30"/>
  <c r="AD158" i="30" s="1"/>
  <c r="D158" i="30"/>
  <c r="D159" i="30" s="1"/>
  <c r="D160" i="30" s="1"/>
  <c r="D161" i="30" s="1"/>
  <c r="D162" i="30" s="1"/>
  <c r="D163" i="30" s="1"/>
  <c r="D164" i="30" s="1"/>
  <c r="D165" i="30" s="1"/>
  <c r="D166" i="30" s="1"/>
  <c r="D167" i="30" s="1"/>
  <c r="D168" i="30" s="1"/>
  <c r="D169" i="30" s="1"/>
  <c r="D170" i="30" s="1"/>
  <c r="D171" i="30" s="1"/>
  <c r="D172" i="30" s="1"/>
  <c r="D173" i="30" s="1"/>
  <c r="D174" i="30" s="1"/>
  <c r="D175" i="30" s="1"/>
  <c r="D176" i="30" s="1"/>
  <c r="D177" i="30" s="1"/>
  <c r="D178" i="30" s="1"/>
  <c r="D179" i="30" s="1"/>
  <c r="D180" i="30" s="1"/>
  <c r="D181" i="30" s="1"/>
  <c r="D182" i="30" s="1"/>
  <c r="D183" i="30" s="1"/>
  <c r="D184" i="30" s="1"/>
  <c r="AC157" i="30"/>
  <c r="AD157" i="30" s="1"/>
  <c r="G147" i="30"/>
  <c r="L147" i="30" s="1"/>
  <c r="P201" i="30"/>
  <c r="Q201" i="30" s="1"/>
  <c r="P202" i="30"/>
  <c r="Q202" i="30" s="1"/>
  <c r="P203" i="30"/>
  <c r="Q203" i="30" s="1"/>
  <c r="P204" i="30"/>
  <c r="Q204" i="30" s="1"/>
  <c r="P205" i="30"/>
  <c r="Q205" i="30" s="1"/>
  <c r="P206" i="30"/>
  <c r="Q206" i="30" s="1"/>
  <c r="P207" i="30"/>
  <c r="Q207" i="30" s="1"/>
  <c r="P208" i="30"/>
  <c r="Q208" i="30" s="1"/>
  <c r="P209" i="30"/>
  <c r="Q209" i="30" s="1"/>
  <c r="P210" i="30"/>
  <c r="Q210" i="30" s="1"/>
  <c r="P211" i="30"/>
  <c r="Q211" i="30" s="1"/>
  <c r="P212" i="30"/>
  <c r="Q212" i="30" s="1"/>
  <c r="P213" i="30"/>
  <c r="Q213" i="30" s="1"/>
  <c r="P214" i="30"/>
  <c r="Q214" i="30" s="1"/>
  <c r="P215" i="30"/>
  <c r="Q215" i="30" s="1"/>
  <c r="P216" i="30"/>
  <c r="Q216" i="30" s="1"/>
  <c r="P217" i="30"/>
  <c r="Q217" i="30" s="1"/>
  <c r="P218" i="30"/>
  <c r="Q218" i="30" s="1"/>
  <c r="P219" i="30"/>
  <c r="Q219" i="30" s="1"/>
  <c r="P220" i="30"/>
  <c r="Q220" i="30" s="1"/>
  <c r="P221" i="30"/>
  <c r="Q221" i="30" s="1"/>
  <c r="P222" i="30"/>
  <c r="R222" i="30" s="1"/>
  <c r="P223" i="30"/>
  <c r="R223" i="30" s="1"/>
  <c r="P224" i="30"/>
  <c r="R224" i="30" s="1"/>
  <c r="P225" i="30"/>
  <c r="R225" i="30" s="1"/>
  <c r="P226" i="30"/>
  <c r="R226" i="30" s="1"/>
  <c r="D202" i="30"/>
  <c r="D203" i="30" s="1"/>
  <c r="D204" i="30" s="1"/>
  <c r="D205" i="30" s="1"/>
  <c r="D206" i="30" s="1"/>
  <c r="D207" i="30" s="1"/>
  <c r="D208" i="30" s="1"/>
  <c r="D209" i="30" s="1"/>
  <c r="D210" i="30" s="1"/>
  <c r="D211" i="30" s="1"/>
  <c r="D212" i="30" s="1"/>
  <c r="D213" i="30" s="1"/>
  <c r="D214" i="30" s="1"/>
  <c r="D215" i="30" s="1"/>
  <c r="D216" i="30" s="1"/>
  <c r="D217" i="30" s="1"/>
  <c r="D218" i="30" s="1"/>
  <c r="D219" i="30" s="1"/>
  <c r="D220" i="30" s="1"/>
  <c r="D221" i="30" s="1"/>
  <c r="D222" i="30" s="1"/>
  <c r="D223" i="30" s="1"/>
  <c r="D224" i="30" s="1"/>
  <c r="D225" i="30" s="1"/>
  <c r="D226" i="30" s="1"/>
  <c r="P121" i="30"/>
  <c r="Q121" i="30" s="1"/>
  <c r="P122" i="30"/>
  <c r="Q122" i="30" s="1"/>
  <c r="P123" i="30"/>
  <c r="Q123" i="30" s="1"/>
  <c r="P124" i="30"/>
  <c r="Q124" i="30" s="1"/>
  <c r="P125" i="30"/>
  <c r="Q125" i="30" s="1"/>
  <c r="P126" i="30"/>
  <c r="Q126" i="30" s="1"/>
  <c r="P127" i="30"/>
  <c r="Q127" i="30" s="1"/>
  <c r="P128" i="30"/>
  <c r="Q128" i="30" s="1"/>
  <c r="P129" i="30"/>
  <c r="Q129" i="30" s="1"/>
  <c r="P130" i="30"/>
  <c r="Q130" i="30" s="1"/>
  <c r="P131" i="30"/>
  <c r="Q131" i="30" s="1"/>
  <c r="P132" i="30"/>
  <c r="Q132" i="30" s="1"/>
  <c r="P133" i="30"/>
  <c r="Q133" i="30" s="1"/>
  <c r="P134" i="30"/>
  <c r="Q134" i="30" s="1"/>
  <c r="P135" i="30"/>
  <c r="Q135" i="30" s="1"/>
  <c r="P136" i="30"/>
  <c r="Q136" i="30" s="1"/>
  <c r="P137" i="30"/>
  <c r="Q137" i="30" s="1"/>
  <c r="P138" i="30"/>
  <c r="Q138" i="30" s="1"/>
  <c r="P139" i="30"/>
  <c r="Q139" i="30" s="1"/>
  <c r="P140" i="30"/>
  <c r="Q140" i="30" s="1"/>
  <c r="P141" i="30"/>
  <c r="R141" i="30" s="1"/>
  <c r="P142" i="30"/>
  <c r="R142" i="30" s="1"/>
  <c r="P143" i="30"/>
  <c r="R143" i="30" s="1"/>
  <c r="P144" i="30"/>
  <c r="R144" i="30" s="1"/>
  <c r="P145" i="30"/>
  <c r="R145" i="30" s="1"/>
  <c r="P120" i="30"/>
  <c r="Q120" i="30" s="1"/>
  <c r="D121" i="30"/>
  <c r="D122" i="30" s="1"/>
  <c r="D123" i="30" s="1"/>
  <c r="D124" i="30" s="1"/>
  <c r="D125" i="30" s="1"/>
  <c r="D126" i="30" s="1"/>
  <c r="D127" i="30" s="1"/>
  <c r="D128" i="30" s="1"/>
  <c r="D129" i="30" s="1"/>
  <c r="D130" i="30" s="1"/>
  <c r="D131" i="30" s="1"/>
  <c r="D132" i="30" s="1"/>
  <c r="D133" i="30" s="1"/>
  <c r="D134" i="30" s="1"/>
  <c r="D135" i="30" s="1"/>
  <c r="D136" i="30" s="1"/>
  <c r="D137" i="30" s="1"/>
  <c r="D138" i="30" s="1"/>
  <c r="D139" i="30" s="1"/>
  <c r="D140" i="30" s="1"/>
  <c r="D141" i="30" s="1"/>
  <c r="D142" i="30" s="1"/>
  <c r="D143" i="30" s="1"/>
  <c r="D144" i="30" s="1"/>
  <c r="D145" i="30" s="1"/>
  <c r="I42" i="39" l="1"/>
  <c r="I46" i="39" s="1"/>
  <c r="I49" i="39" s="1"/>
  <c r="I50" i="39" s="1"/>
  <c r="BM183" i="30"/>
  <c r="AT183" i="30"/>
  <c r="AN183" i="30"/>
  <c r="BA183" i="30" s="1"/>
  <c r="W183" i="30"/>
  <c r="AM184" i="30"/>
  <c r="V184" i="30"/>
  <c r="AZ184" i="30"/>
  <c r="BF184" i="30"/>
  <c r="BB183" i="30"/>
  <c r="BH183" i="30"/>
  <c r="AG184" i="30"/>
  <c r="AO184" i="30"/>
  <c r="G184" i="30"/>
  <c r="AC184" i="30" s="1"/>
  <c r="AE184" i="30" s="1"/>
  <c r="AC183" i="30"/>
  <c r="AE183" i="30" s="1"/>
  <c r="AE178" i="30"/>
  <c r="AD178" i="30"/>
  <c r="F39" i="39"/>
  <c r="F42" i="39"/>
  <c r="F46" i="39" s="1"/>
  <c r="F49" i="39" s="1"/>
  <c r="F50" i="39" s="1"/>
  <c r="AD177" i="30"/>
  <c r="R140" i="30"/>
  <c r="R221" i="30"/>
  <c r="Y102" i="30"/>
  <c r="O103" i="30"/>
  <c r="P103" i="30"/>
  <c r="Q103" i="30"/>
  <c r="T103" i="30"/>
  <c r="U103" i="30"/>
  <c r="V103" i="30"/>
  <c r="W103" i="30"/>
  <c r="Y103" i="30"/>
  <c r="O104" i="30"/>
  <c r="P104" i="30"/>
  <c r="Q104" i="30"/>
  <c r="T104" i="30"/>
  <c r="U104" i="30"/>
  <c r="V104" i="30"/>
  <c r="W104" i="30"/>
  <c r="Y104" i="30"/>
  <c r="O105" i="30"/>
  <c r="P105" i="30"/>
  <c r="Q105" i="30"/>
  <c r="T105" i="30"/>
  <c r="U105" i="30"/>
  <c r="V105" i="30"/>
  <c r="W105" i="30"/>
  <c r="Y105" i="30"/>
  <c r="S29" i="30"/>
  <c r="T29" i="30"/>
  <c r="U29" i="30"/>
  <c r="V29" i="30"/>
  <c r="S30" i="30"/>
  <c r="T30" i="30"/>
  <c r="U30" i="30"/>
  <c r="V30" i="30"/>
  <c r="S31" i="30"/>
  <c r="T31" i="30"/>
  <c r="U31" i="30"/>
  <c r="V31" i="30"/>
  <c r="O29" i="30"/>
  <c r="P29" i="30"/>
  <c r="O30" i="30"/>
  <c r="P30" i="30"/>
  <c r="O31" i="30"/>
  <c r="P31" i="30"/>
  <c r="BG183" i="30" l="1"/>
  <c r="BM184" i="30"/>
  <c r="AT184" i="30"/>
  <c r="BK184" i="30"/>
  <c r="AR184" i="30"/>
  <c r="BL183" i="30"/>
  <c r="AS183" i="30"/>
  <c r="AN184" i="30"/>
  <c r="W184" i="30"/>
  <c r="BB184" i="30"/>
  <c r="BH184" i="30"/>
  <c r="BA184" i="30"/>
  <c r="BG184" i="30"/>
  <c r="E35" i="32"/>
  <c r="F35" i="32"/>
  <c r="G35" i="32"/>
  <c r="H35" i="32"/>
  <c r="I35" i="32"/>
  <c r="J35" i="32"/>
  <c r="K35" i="32"/>
  <c r="L35" i="32"/>
  <c r="M35" i="32"/>
  <c r="N35" i="32"/>
  <c r="D35" i="32"/>
  <c r="Q165" i="17"/>
  <c r="T159" i="17"/>
  <c r="R160" i="17"/>
  <c r="S160" i="17"/>
  <c r="T160" i="17"/>
  <c r="U160" i="17"/>
  <c r="V160" i="17"/>
  <c r="W160" i="17"/>
  <c r="X160" i="17"/>
  <c r="Y160" i="17"/>
  <c r="Z160" i="17"/>
  <c r="AA160" i="17"/>
  <c r="AB160" i="17"/>
  <c r="AC160" i="17"/>
  <c r="R161" i="17"/>
  <c r="S161" i="17"/>
  <c r="T161" i="17"/>
  <c r="U161" i="17"/>
  <c r="V161" i="17"/>
  <c r="W161" i="17"/>
  <c r="X161" i="17"/>
  <c r="Y161" i="17"/>
  <c r="Z161" i="17"/>
  <c r="AA161" i="17"/>
  <c r="AB161" i="17"/>
  <c r="AC161" i="17"/>
  <c r="Q161" i="17"/>
  <c r="R165" i="17"/>
  <c r="S165" i="17"/>
  <c r="T165" i="17"/>
  <c r="U165" i="17"/>
  <c r="V165" i="17"/>
  <c r="W165" i="17"/>
  <c r="X165" i="17"/>
  <c r="R166" i="17"/>
  <c r="S166" i="17"/>
  <c r="T166" i="17"/>
  <c r="U166" i="17"/>
  <c r="V166" i="17"/>
  <c r="V172" i="17" s="1"/>
  <c r="W166" i="17"/>
  <c r="X166" i="17"/>
  <c r="Y166" i="17"/>
  <c r="Z166" i="17"/>
  <c r="AA166" i="17"/>
  <c r="AB166" i="17"/>
  <c r="AC166" i="17"/>
  <c r="R167" i="17"/>
  <c r="S167" i="17"/>
  <c r="T167" i="17"/>
  <c r="U167" i="17"/>
  <c r="V167" i="17"/>
  <c r="W167" i="17"/>
  <c r="X167" i="17"/>
  <c r="Y167" i="17"/>
  <c r="Z167" i="17"/>
  <c r="AA167" i="17"/>
  <c r="AB167" i="17"/>
  <c r="AC167" i="17"/>
  <c r="Q167" i="17"/>
  <c r="Q166" i="17"/>
  <c r="AB137" i="17"/>
  <c r="AB131" i="17" s="1"/>
  <c r="AC137" i="17"/>
  <c r="AC131" i="17" s="1"/>
  <c r="AA137" i="17"/>
  <c r="AA131" i="17" s="1"/>
  <c r="AB129" i="17"/>
  <c r="AC129" i="17"/>
  <c r="X130" i="17"/>
  <c r="W130" i="17"/>
  <c r="X129" i="17"/>
  <c r="Y129" i="17"/>
  <c r="Z129" i="17"/>
  <c r="AA129" i="17"/>
  <c r="X128" i="17"/>
  <c r="Y128" i="17"/>
  <c r="W129" i="17"/>
  <c r="W128" i="17"/>
  <c r="N25" i="37"/>
  <c r="M25" i="37"/>
  <c r="L25" i="37"/>
  <c r="K25" i="37"/>
  <c r="J25" i="37"/>
  <c r="I25" i="37"/>
  <c r="H25" i="37"/>
  <c r="G25" i="37"/>
  <c r="F25" i="37"/>
  <c r="N24" i="37"/>
  <c r="M24" i="37"/>
  <c r="L24" i="37"/>
  <c r="K24" i="37"/>
  <c r="J24" i="37"/>
  <c r="I24" i="37"/>
  <c r="H24" i="37"/>
  <c r="G24" i="37"/>
  <c r="F24" i="37"/>
  <c r="N23" i="37"/>
  <c r="M23" i="37"/>
  <c r="L23" i="37"/>
  <c r="K23" i="37"/>
  <c r="J23" i="37"/>
  <c r="I23" i="37"/>
  <c r="H23" i="37"/>
  <c r="G23" i="37"/>
  <c r="F23" i="37"/>
  <c r="N28" i="32"/>
  <c r="M28" i="32"/>
  <c r="L28" i="32"/>
  <c r="K28" i="32"/>
  <c r="J28" i="32"/>
  <c r="N27" i="32"/>
  <c r="M27" i="32"/>
  <c r="L27" i="32"/>
  <c r="K27" i="32"/>
  <c r="J27" i="32"/>
  <c r="N24" i="32"/>
  <c r="M24" i="32"/>
  <c r="L24" i="32"/>
  <c r="K24" i="32"/>
  <c r="J24" i="32"/>
  <c r="I24" i="32"/>
  <c r="H24" i="32"/>
  <c r="G24" i="32"/>
  <c r="F24" i="32"/>
  <c r="E24" i="32"/>
  <c r="N23" i="32"/>
  <c r="M23" i="32"/>
  <c r="L23" i="32"/>
  <c r="K23" i="32"/>
  <c r="J23" i="32"/>
  <c r="I23" i="32"/>
  <c r="H23" i="32"/>
  <c r="G23" i="32"/>
  <c r="F23" i="32"/>
  <c r="E23" i="32"/>
  <c r="N22" i="32"/>
  <c r="M22" i="32"/>
  <c r="L22" i="32"/>
  <c r="K22" i="32"/>
  <c r="J22" i="32"/>
  <c r="I22" i="32"/>
  <c r="H22" i="32"/>
  <c r="G22" i="32"/>
  <c r="F22" i="32"/>
  <c r="E22" i="32"/>
  <c r="N86" i="32"/>
  <c r="M86" i="32"/>
  <c r="L86" i="32"/>
  <c r="K86" i="32"/>
  <c r="J86" i="32"/>
  <c r="I86" i="32"/>
  <c r="H86" i="32"/>
  <c r="G86" i="32"/>
  <c r="F86" i="32"/>
  <c r="E86" i="32"/>
  <c r="N85" i="32"/>
  <c r="M85" i="32"/>
  <c r="L85" i="32"/>
  <c r="K85" i="32"/>
  <c r="J85" i="32"/>
  <c r="I85" i="32"/>
  <c r="H85" i="32"/>
  <c r="G85" i="32"/>
  <c r="F85" i="32"/>
  <c r="E85" i="32"/>
  <c r="M84" i="32"/>
  <c r="L84" i="32"/>
  <c r="K84" i="32"/>
  <c r="J84" i="32"/>
  <c r="I84" i="32"/>
  <c r="H84" i="32"/>
  <c r="G84" i="32"/>
  <c r="F84" i="32"/>
  <c r="E84" i="32"/>
  <c r="N84" i="32"/>
  <c r="M32" i="32"/>
  <c r="L32" i="32"/>
  <c r="K32" i="32"/>
  <c r="J32" i="32"/>
  <c r="I32" i="32"/>
  <c r="N32" i="32"/>
  <c r="N20" i="37"/>
  <c r="N29" i="37" s="1"/>
  <c r="M20" i="37"/>
  <c r="M31" i="37" s="1"/>
  <c r="L20" i="37"/>
  <c r="L30" i="37" s="1"/>
  <c r="K20" i="37"/>
  <c r="K29" i="37" s="1"/>
  <c r="J20" i="37"/>
  <c r="J29" i="37" s="1"/>
  <c r="I20" i="37"/>
  <c r="I29" i="37" s="1"/>
  <c r="H20" i="37"/>
  <c r="H31" i="37" s="1"/>
  <c r="G20" i="37"/>
  <c r="G31" i="37" s="1"/>
  <c r="F20" i="37"/>
  <c r="F29" i="37" s="1"/>
  <c r="E20" i="37"/>
  <c r="E31" i="37" s="1"/>
  <c r="N13" i="37"/>
  <c r="M13" i="37"/>
  <c r="L13" i="37"/>
  <c r="K13" i="37"/>
  <c r="J13" i="37"/>
  <c r="I13" i="37"/>
  <c r="H13" i="37"/>
  <c r="G13" i="37"/>
  <c r="F13" i="37"/>
  <c r="E13" i="37"/>
  <c r="N8" i="37"/>
  <c r="M8" i="37"/>
  <c r="L8" i="37"/>
  <c r="K8" i="37"/>
  <c r="J8" i="37"/>
  <c r="I8" i="37"/>
  <c r="H8" i="37"/>
  <c r="G8" i="37"/>
  <c r="F8" i="37"/>
  <c r="E8" i="37"/>
  <c r="N81" i="32"/>
  <c r="N95" i="32" s="1"/>
  <c r="M81" i="32"/>
  <c r="M91" i="32" s="1"/>
  <c r="L81" i="32"/>
  <c r="L91" i="32" s="1"/>
  <c r="K81" i="32"/>
  <c r="K91" i="32" s="1"/>
  <c r="J81" i="32"/>
  <c r="J91" i="32" s="1"/>
  <c r="I81" i="32"/>
  <c r="I91" i="32" s="1"/>
  <c r="H81" i="32"/>
  <c r="H90" i="32" s="1"/>
  <c r="G81" i="32"/>
  <c r="G90" i="32" s="1"/>
  <c r="F81" i="32"/>
  <c r="F90" i="32" s="1"/>
  <c r="E81" i="32"/>
  <c r="E90" i="32" s="1"/>
  <c r="D81" i="32"/>
  <c r="D92" i="32" s="1"/>
  <c r="N75" i="32"/>
  <c r="M75" i="32"/>
  <c r="L75" i="32"/>
  <c r="K75" i="32"/>
  <c r="J75" i="32"/>
  <c r="I75" i="32"/>
  <c r="H75" i="32"/>
  <c r="G75" i="32"/>
  <c r="F75" i="32"/>
  <c r="E75" i="32"/>
  <c r="D75" i="32"/>
  <c r="AA173" i="17" l="1"/>
  <c r="Z173" i="17"/>
  <c r="BL184" i="30"/>
  <c r="AS184" i="30"/>
  <c r="W172" i="17"/>
  <c r="Y172" i="17"/>
  <c r="S173" i="17"/>
  <c r="Q173" i="17"/>
  <c r="W173" i="17"/>
  <c r="S172" i="17"/>
  <c r="AC173" i="17"/>
  <c r="X172" i="17"/>
  <c r="U173" i="17"/>
  <c r="X173" i="17"/>
  <c r="AA172" i="17"/>
  <c r="V173" i="17"/>
  <c r="R173" i="17"/>
  <c r="T172" i="17"/>
  <c r="AB172" i="17"/>
  <c r="T173" i="17"/>
  <c r="AC172" i="17"/>
  <c r="U172" i="17"/>
  <c r="R172" i="17"/>
  <c r="Y173" i="17"/>
  <c r="T171" i="17"/>
  <c r="AB173" i="17"/>
  <c r="Z172" i="17"/>
  <c r="T162" i="17"/>
  <c r="E30" i="37"/>
  <c r="F95" i="32"/>
  <c r="G95" i="32"/>
  <c r="E95" i="32"/>
  <c r="H95" i="32"/>
  <c r="I95" i="32"/>
  <c r="J95" i="32"/>
  <c r="K95" i="32"/>
  <c r="L95" i="32"/>
  <c r="D95" i="32"/>
  <c r="M95" i="32"/>
  <c r="K90" i="32"/>
  <c r="AC141" i="17"/>
  <c r="AB141" i="17"/>
  <c r="AC134" i="17"/>
  <c r="AB134" i="17"/>
  <c r="I30" i="37"/>
  <c r="F26" i="37"/>
  <c r="H30" i="37"/>
  <c r="G26" i="37"/>
  <c r="F31" i="37"/>
  <c r="G30" i="37"/>
  <c r="H26" i="37"/>
  <c r="H29" i="37"/>
  <c r="I26" i="37"/>
  <c r="J26" i="37"/>
  <c r="N30" i="37"/>
  <c r="K26" i="37"/>
  <c r="L26" i="37"/>
  <c r="M26" i="37"/>
  <c r="N26" i="37"/>
  <c r="F30" i="37"/>
  <c r="E29" i="37"/>
  <c r="G29" i="37"/>
  <c r="N31" i="37"/>
  <c r="L31" i="37"/>
  <c r="M30" i="37"/>
  <c r="K30" i="37"/>
  <c r="K31" i="37"/>
  <c r="M29" i="37"/>
  <c r="J31" i="37"/>
  <c r="L29" i="37"/>
  <c r="J30" i="37"/>
  <c r="I31" i="37"/>
  <c r="N87" i="32"/>
  <c r="E87" i="32"/>
  <c r="F87" i="32"/>
  <c r="G87" i="32"/>
  <c r="J87" i="32"/>
  <c r="K87" i="32"/>
  <c r="L87" i="32"/>
  <c r="H87" i="32"/>
  <c r="I87" i="32"/>
  <c r="M87" i="32"/>
  <c r="I92" i="32"/>
  <c r="J92" i="32"/>
  <c r="F92" i="32"/>
  <c r="E92" i="32"/>
  <c r="H92" i="32"/>
  <c r="L92" i="32"/>
  <c r="M92" i="32"/>
  <c r="N90" i="32"/>
  <c r="M90" i="32"/>
  <c r="I90" i="32"/>
  <c r="L90" i="32"/>
  <c r="J90" i="32"/>
  <c r="G92" i="32"/>
  <c r="K92" i="32"/>
  <c r="E91" i="32"/>
  <c r="H91" i="32"/>
  <c r="F91" i="32"/>
  <c r="G91" i="32"/>
  <c r="N92" i="32"/>
  <c r="N91" i="32"/>
  <c r="D91" i="32"/>
  <c r="D90" i="32"/>
  <c r="N11" i="32"/>
  <c r="M11" i="32"/>
  <c r="L11" i="32"/>
  <c r="K11" i="32"/>
  <c r="N7" i="32"/>
  <c r="M7" i="32"/>
  <c r="L7" i="32"/>
  <c r="AG20" i="2"/>
  <c r="AG15" i="2"/>
  <c r="AS22" i="2"/>
  <c r="AP22" i="2"/>
  <c r="AO34" i="2"/>
  <c r="BC15" i="2"/>
  <c r="BB15" i="2"/>
  <c r="BC20" i="2"/>
  <c r="BB20" i="2"/>
  <c r="AQ15" i="2"/>
  <c r="AS15" i="2"/>
  <c r="AQ20" i="2"/>
  <c r="AS20" i="2"/>
  <c r="AO20" i="2"/>
  <c r="AO15" i="2"/>
  <c r="AP37" i="2"/>
  <c r="AP32" i="2"/>
  <c r="AP31" i="2"/>
  <c r="AP19" i="2"/>
  <c r="BL19" i="2" s="1"/>
  <c r="AP14" i="2"/>
  <c r="BL14" i="2" s="1"/>
  <c r="AP12" i="2"/>
  <c r="BL12" i="2" s="1"/>
  <c r="AR37" i="2"/>
  <c r="AR32" i="2"/>
  <c r="AR31" i="2"/>
  <c r="AR34" i="2"/>
  <c r="BM34" i="2" s="1"/>
  <c r="AR19" i="2"/>
  <c r="BM19" i="2" s="1"/>
  <c r="AR14" i="2"/>
  <c r="BM14" i="2" s="1"/>
  <c r="AR12" i="2"/>
  <c r="BM12" i="2" s="1"/>
  <c r="AS39" i="2"/>
  <c r="AQ39" i="2"/>
  <c r="BC22" i="2"/>
  <c r="BB39" i="2"/>
  <c r="BA39" i="2"/>
  <c r="BC39" i="2"/>
  <c r="AP11" i="2"/>
  <c r="AQ11" i="2" s="1"/>
  <c r="AR11" i="2" s="1"/>
  <c r="AS11" i="2" s="1"/>
  <c r="AR22" i="2" l="1"/>
  <c r="K12" i="47"/>
  <c r="AG17" i="2"/>
  <c r="AR35" i="2"/>
  <c r="BL20" i="2"/>
  <c r="AP34" i="2"/>
  <c r="BL34" i="2" s="1"/>
  <c r="AO35" i="2"/>
  <c r="BL15" i="2"/>
  <c r="BM20" i="2"/>
  <c r="BM15" i="2"/>
  <c r="T28" i="22"/>
  <c r="BM27" i="2"/>
  <c r="S28" i="22"/>
  <c r="BL27" i="2"/>
  <c r="AP15" i="2"/>
  <c r="AP20" i="2"/>
  <c r="AP39" i="2"/>
  <c r="AR39" i="2"/>
  <c r="AR15" i="2"/>
  <c r="AR20" i="2"/>
  <c r="AP35" i="2" l="1"/>
  <c r="AE29" i="4"/>
  <c r="AE54" i="4" s="1"/>
  <c r="AE53" i="4"/>
  <c r="AE96" i="4" s="1"/>
  <c r="AE55" i="4" l="1"/>
  <c r="AE104" i="4" s="1"/>
  <c r="AE103" i="4"/>
  <c r="AH70" i="27"/>
  <c r="C29" i="33"/>
  <c r="D29" i="33"/>
  <c r="E29" i="33"/>
  <c r="F29" i="33"/>
  <c r="G29" i="33"/>
  <c r="H29" i="33"/>
  <c r="I29" i="33"/>
  <c r="J29" i="33"/>
  <c r="K29" i="33"/>
  <c r="L29" i="33"/>
  <c r="M29" i="33"/>
  <c r="N29" i="33"/>
  <c r="O29" i="33"/>
  <c r="P29" i="33"/>
  <c r="Q29" i="33"/>
  <c r="R29" i="33"/>
  <c r="S29" i="33"/>
  <c r="T29" i="33"/>
  <c r="U29" i="33"/>
  <c r="V29" i="33"/>
  <c r="C32" i="33"/>
  <c r="D32" i="33"/>
  <c r="E32" i="33"/>
  <c r="F32" i="33"/>
  <c r="G32" i="33"/>
  <c r="H32" i="33"/>
  <c r="I32" i="33"/>
  <c r="J32" i="33"/>
  <c r="K32" i="33"/>
  <c r="L32" i="33"/>
  <c r="M32" i="33"/>
  <c r="N32" i="33"/>
  <c r="O32" i="33"/>
  <c r="P32" i="33"/>
  <c r="Q32" i="33"/>
  <c r="R32" i="33"/>
  <c r="S32" i="33"/>
  <c r="T32" i="33"/>
  <c r="U32" i="33"/>
  <c r="V32" i="33"/>
  <c r="H34" i="33"/>
  <c r="I34" i="33"/>
  <c r="J34" i="33"/>
  <c r="K34" i="33"/>
  <c r="L34" i="33"/>
  <c r="M34" i="33"/>
  <c r="N34" i="33"/>
  <c r="O34" i="33"/>
  <c r="P34" i="33"/>
  <c r="Q34" i="33"/>
  <c r="R34" i="33"/>
  <c r="S34" i="33"/>
  <c r="T34" i="33"/>
  <c r="U34" i="33"/>
  <c r="V34" i="33"/>
  <c r="W34" i="33"/>
  <c r="X34" i="33"/>
  <c r="Y34" i="33"/>
  <c r="Z34" i="33"/>
  <c r="AA34" i="33"/>
  <c r="AB34" i="33"/>
  <c r="AD93" i="4"/>
  <c r="AD51" i="4"/>
  <c r="AD94" i="4" s="1"/>
  <c r="AD53" i="4"/>
  <c r="AD54" i="4"/>
  <c r="AD103" i="4" s="1"/>
  <c r="AD52" i="4" l="1"/>
  <c r="AD95" i="4" s="1"/>
  <c r="AD55" i="4"/>
  <c r="AD104" i="4" s="1"/>
  <c r="AD96" i="4"/>
  <c r="AK16" i="27" l="1"/>
  <c r="AI19" i="27"/>
  <c r="AF40" i="15" l="1"/>
  <c r="AG40" i="15"/>
  <c r="AF41" i="15"/>
  <c r="AG41" i="15"/>
  <c r="AF42" i="15"/>
  <c r="AG42" i="15"/>
  <c r="AF43" i="15"/>
  <c r="AG43" i="15"/>
  <c r="AF44" i="15"/>
  <c r="AG44" i="15"/>
  <c r="AF45" i="15"/>
  <c r="AG45" i="15"/>
  <c r="AF47" i="15"/>
  <c r="AG47" i="15"/>
  <c r="AF48" i="15"/>
  <c r="AG48" i="15"/>
  <c r="AF49" i="15"/>
  <c r="AG49" i="15"/>
  <c r="AF50" i="15"/>
  <c r="AG50" i="15"/>
  <c r="AF54" i="15"/>
  <c r="AG54" i="15"/>
  <c r="AF55" i="15"/>
  <c r="AG55" i="15"/>
  <c r="AF56" i="15"/>
  <c r="AG56" i="15"/>
  <c r="AF57" i="15"/>
  <c r="AG57" i="15"/>
  <c r="AF58" i="15"/>
  <c r="AG58" i="15"/>
  <c r="AF62" i="15"/>
  <c r="AG62" i="15"/>
  <c r="AF63" i="15"/>
  <c r="AG63" i="15"/>
  <c r="AF64" i="15"/>
  <c r="AG64" i="15"/>
  <c r="AF65" i="15"/>
  <c r="AG65" i="15"/>
  <c r="AF66" i="15"/>
  <c r="AG66" i="15"/>
  <c r="AF67" i="15"/>
  <c r="AG67" i="15"/>
  <c r="AF71" i="15"/>
  <c r="AG71" i="15"/>
  <c r="AF72" i="15"/>
  <c r="AG72" i="15"/>
  <c r="AF73" i="15"/>
  <c r="AG73" i="15"/>
  <c r="AF74" i="15"/>
  <c r="AG74" i="15"/>
  <c r="AF75" i="15"/>
  <c r="AG75" i="15"/>
  <c r="AF76" i="15"/>
  <c r="AG76" i="15"/>
  <c r="AF16" i="15"/>
  <c r="AG16" i="15"/>
  <c r="AB16" i="15"/>
  <c r="AC16" i="15"/>
  <c r="AD16" i="15"/>
  <c r="AE16" i="15"/>
  <c r="AA16" i="15"/>
  <c r="AC97" i="17"/>
  <c r="AC90" i="17"/>
  <c r="AC93" i="17" s="1"/>
  <c r="AC94" i="17" s="1"/>
  <c r="AC81" i="17"/>
  <c r="T115" i="17"/>
  <c r="AC116" i="17"/>
  <c r="AB116" i="17"/>
  <c r="AA116" i="17"/>
  <c r="Z116" i="17"/>
  <c r="Y116" i="17"/>
  <c r="X116" i="17"/>
  <c r="W116" i="17"/>
  <c r="V116" i="17"/>
  <c r="U116" i="17"/>
  <c r="T116" i="17"/>
  <c r="S116" i="17"/>
  <c r="R116" i="17"/>
  <c r="Q116" i="17"/>
  <c r="P116" i="17"/>
  <c r="O116" i="17"/>
  <c r="AC115" i="17"/>
  <c r="AB115" i="17"/>
  <c r="AA115" i="17"/>
  <c r="Z115" i="17"/>
  <c r="Y115" i="17"/>
  <c r="X115" i="17"/>
  <c r="W115" i="17"/>
  <c r="V115" i="17"/>
  <c r="U115" i="17"/>
  <c r="S115" i="17"/>
  <c r="R115" i="17"/>
  <c r="Q115" i="17"/>
  <c r="P115" i="17"/>
  <c r="O115" i="17"/>
  <c r="N115" i="17"/>
  <c r="M115" i="17"/>
  <c r="AA104" i="17"/>
  <c r="Y104" i="17"/>
  <c r="X104" i="17"/>
  <c r="W104" i="17"/>
  <c r="R104" i="17"/>
  <c r="S104" i="17"/>
  <c r="T104" i="17"/>
  <c r="Q104" i="17"/>
  <c r="AB105" i="17"/>
  <c r="AC105" i="17"/>
  <c r="O106" i="17"/>
  <c r="P106" i="17"/>
  <c r="Q106" i="17"/>
  <c r="R106" i="17"/>
  <c r="S106" i="17"/>
  <c r="T106" i="17"/>
  <c r="U106" i="17"/>
  <c r="V106" i="17"/>
  <c r="W106" i="17"/>
  <c r="X106" i="17"/>
  <c r="Y106" i="17"/>
  <c r="Z106" i="17"/>
  <c r="AA106" i="17"/>
  <c r="AB106" i="17"/>
  <c r="AC106" i="17"/>
  <c r="N105" i="17"/>
  <c r="O105" i="17"/>
  <c r="P105" i="17"/>
  <c r="Q105" i="17"/>
  <c r="R105" i="17"/>
  <c r="S105" i="17"/>
  <c r="T105" i="17"/>
  <c r="U105" i="17"/>
  <c r="V105" i="17"/>
  <c r="W105" i="17"/>
  <c r="X105" i="17"/>
  <c r="Y105" i="17"/>
  <c r="Z105" i="17"/>
  <c r="AA105" i="17"/>
  <c r="M105" i="17"/>
  <c r="AB97" i="17"/>
  <c r="AB90" i="17"/>
  <c r="AB98" i="17" s="1"/>
  <c r="AB81" i="17"/>
  <c r="AB66" i="17"/>
  <c r="AC66" i="17"/>
  <c r="AB67" i="17"/>
  <c r="AC67" i="17"/>
  <c r="AC47" i="17"/>
  <c r="AC46" i="17" s="1"/>
  <c r="AC52" i="17"/>
  <c r="AB47" i="17"/>
  <c r="AB46" i="17" s="1"/>
  <c r="AB52" i="17"/>
  <c r="AH71" i="27"/>
  <c r="AG71" i="27"/>
  <c r="AF71" i="27"/>
  <c r="AE71" i="27"/>
  <c r="AD71" i="27"/>
  <c r="AC71" i="27"/>
  <c r="AB71" i="27"/>
  <c r="AA71" i="27"/>
  <c r="Z71" i="27"/>
  <c r="Y71" i="27"/>
  <c r="X71" i="27"/>
  <c r="W71" i="27"/>
  <c r="V71" i="27"/>
  <c r="U71" i="27"/>
  <c r="T71" i="27"/>
  <c r="S71" i="27"/>
  <c r="AG70" i="27"/>
  <c r="AF70" i="27"/>
  <c r="AE70" i="27"/>
  <c r="AD70" i="27"/>
  <c r="AC70" i="27"/>
  <c r="AB70" i="27"/>
  <c r="AA70" i="27"/>
  <c r="Z70" i="27"/>
  <c r="Y70" i="27"/>
  <c r="X70" i="27"/>
  <c r="W70" i="27"/>
  <c r="V70" i="27"/>
  <c r="U70" i="27"/>
  <c r="T70" i="27"/>
  <c r="S70" i="27"/>
  <c r="AH69" i="27"/>
  <c r="AG69" i="27"/>
  <c r="AF69" i="27"/>
  <c r="AE69" i="27"/>
  <c r="AD69" i="27"/>
  <c r="AC69" i="27"/>
  <c r="AB69" i="27"/>
  <c r="AA69" i="27"/>
  <c r="Z69" i="27"/>
  <c r="Y69" i="27"/>
  <c r="X69" i="27"/>
  <c r="W69" i="27"/>
  <c r="V69" i="27"/>
  <c r="U69" i="27"/>
  <c r="T69" i="27"/>
  <c r="S69" i="27"/>
  <c r="AH68" i="27"/>
  <c r="AG68" i="27"/>
  <c r="AF68" i="27"/>
  <c r="AE68" i="27"/>
  <c r="AD68" i="27"/>
  <c r="AC68" i="27"/>
  <c r="AB68" i="27"/>
  <c r="AA68" i="27"/>
  <c r="Z68" i="27"/>
  <c r="Y68" i="27"/>
  <c r="X68" i="27"/>
  <c r="W68" i="27"/>
  <c r="V68" i="27"/>
  <c r="U68" i="27"/>
  <c r="T68" i="27"/>
  <c r="S68" i="27"/>
  <c r="AH37" i="27"/>
  <c r="AH40" i="27"/>
  <c r="AH41" i="27"/>
  <c r="AH45" i="28" s="1"/>
  <c r="AH42" i="27"/>
  <c r="AH33" i="27"/>
  <c r="AH25" i="27"/>
  <c r="AH26" i="27"/>
  <c r="AM70" i="27" l="1"/>
  <c r="AM71" i="27"/>
  <c r="AM68" i="27"/>
  <c r="AM69" i="27"/>
  <c r="T114" i="17"/>
  <c r="AG39" i="15"/>
  <c r="AC114" i="17"/>
  <c r="AC117" i="17" s="1"/>
  <c r="AC121" i="17" s="1"/>
  <c r="AC82" i="17"/>
  <c r="AC130" i="17"/>
  <c r="AB82" i="17"/>
  <c r="AB130" i="17"/>
  <c r="AA114" i="17"/>
  <c r="AC104" i="17"/>
  <c r="AC107" i="17" s="1"/>
  <c r="AC109" i="17" s="1"/>
  <c r="O114" i="17"/>
  <c r="Q114" i="17"/>
  <c r="P114" i="17"/>
  <c r="R114" i="17"/>
  <c r="AB114" i="17"/>
  <c r="AC98" i="17"/>
  <c r="AB104" i="17"/>
  <c r="AB107" i="17" s="1"/>
  <c r="AB111" i="17" s="1"/>
  <c r="Z83" i="27"/>
  <c r="AH83" i="27"/>
  <c r="AC83" i="27"/>
  <c r="AG83" i="27"/>
  <c r="V83" i="27"/>
  <c r="AE83" i="27"/>
  <c r="W83" i="27"/>
  <c r="AA83" i="27"/>
  <c r="AD83" i="27"/>
  <c r="X83" i="27"/>
  <c r="AB83" i="27"/>
  <c r="AF83" i="27"/>
  <c r="S83" i="27"/>
  <c r="T83" i="27"/>
  <c r="U83" i="27"/>
  <c r="Y83" i="27"/>
  <c r="U114" i="17"/>
  <c r="Z114" i="17"/>
  <c r="V114" i="17"/>
  <c r="Y114" i="17"/>
  <c r="S114" i="17"/>
  <c r="W114" i="17"/>
  <c r="AB93" i="17"/>
  <c r="AB94" i="17" s="1"/>
  <c r="X114" i="17"/>
  <c r="AF39" i="15"/>
  <c r="AG53" i="15"/>
  <c r="AF61" i="15"/>
  <c r="AF53" i="15"/>
  <c r="AG61" i="15"/>
  <c r="AG70" i="15"/>
  <c r="AF70" i="15"/>
  <c r="W26" i="27"/>
  <c r="X26" i="27"/>
  <c r="Y26" i="27"/>
  <c r="Z26" i="27"/>
  <c r="AA26" i="27"/>
  <c r="AB26" i="27"/>
  <c r="AC26" i="27"/>
  <c r="AD26" i="27"/>
  <c r="AE26" i="27"/>
  <c r="AF26" i="27"/>
  <c r="AG26" i="27"/>
  <c r="T37" i="27"/>
  <c r="AH45" i="27" s="1"/>
  <c r="U37" i="27"/>
  <c r="V37" i="27"/>
  <c r="W37" i="27"/>
  <c r="X37" i="27"/>
  <c r="Y37" i="27"/>
  <c r="Z37" i="27"/>
  <c r="AA37" i="27"/>
  <c r="AB37" i="27"/>
  <c r="AC37" i="27"/>
  <c r="AD37" i="27"/>
  <c r="AE37" i="27"/>
  <c r="AF37" i="27"/>
  <c r="AG37" i="27"/>
  <c r="S37" i="27"/>
  <c r="T42" i="27"/>
  <c r="U42" i="27"/>
  <c r="V42" i="27"/>
  <c r="W42" i="27"/>
  <c r="X42" i="27"/>
  <c r="Y42" i="27"/>
  <c r="Z42" i="27"/>
  <c r="AA42" i="27"/>
  <c r="AB42" i="27"/>
  <c r="AC42" i="27"/>
  <c r="AD42" i="27"/>
  <c r="AE42" i="27"/>
  <c r="AF42" i="27"/>
  <c r="AG42" i="27"/>
  <c r="S42" i="27"/>
  <c r="T41" i="27"/>
  <c r="T45" i="28" s="1"/>
  <c r="U41" i="27"/>
  <c r="U45" i="28" s="1"/>
  <c r="V41" i="27"/>
  <c r="V45" i="28" s="1"/>
  <c r="W41" i="27"/>
  <c r="W45" i="28" s="1"/>
  <c r="X41" i="27"/>
  <c r="X45" i="28" s="1"/>
  <c r="Y41" i="27"/>
  <c r="Y45" i="28" s="1"/>
  <c r="Z41" i="27"/>
  <c r="Z45" i="28" s="1"/>
  <c r="AA41" i="27"/>
  <c r="AA45" i="28" s="1"/>
  <c r="AB41" i="27"/>
  <c r="AB45" i="28" s="1"/>
  <c r="AC41" i="27"/>
  <c r="AC45" i="28" s="1"/>
  <c r="AD41" i="27"/>
  <c r="AD45" i="28" s="1"/>
  <c r="AE41" i="27"/>
  <c r="AE45" i="28" s="1"/>
  <c r="AF41" i="27"/>
  <c r="AF45" i="28" s="1"/>
  <c r="AG41" i="27"/>
  <c r="AG45" i="28" s="1"/>
  <c r="S41" i="27"/>
  <c r="S45" i="28" s="1"/>
  <c r="T40" i="27"/>
  <c r="U40" i="27"/>
  <c r="V40" i="27"/>
  <c r="W40" i="27"/>
  <c r="X40" i="27"/>
  <c r="Y40" i="27"/>
  <c r="Z40" i="27"/>
  <c r="AA40" i="27"/>
  <c r="AB40" i="27"/>
  <c r="AC40" i="27"/>
  <c r="AD40" i="27"/>
  <c r="AE40" i="27"/>
  <c r="AF40" i="27"/>
  <c r="AG40" i="27"/>
  <c r="S40" i="27"/>
  <c r="AC120" i="17" l="1"/>
  <c r="AC119" i="17"/>
  <c r="AB142" i="17"/>
  <c r="AB128" i="17"/>
  <c r="AB140" i="17" s="1"/>
  <c r="AC142" i="17"/>
  <c r="AC128" i="17"/>
  <c r="AC140" i="17" s="1"/>
  <c r="AB117" i="17"/>
  <c r="AB119" i="17" s="1"/>
  <c r="AB109" i="17"/>
  <c r="AB110" i="17"/>
  <c r="AC111" i="17"/>
  <c r="AC110" i="17"/>
  <c r="AG45" i="27"/>
  <c r="AE18" i="6"/>
  <c r="AE15" i="6"/>
  <c r="AF16" i="28"/>
  <c r="AG16" i="28"/>
  <c r="AF17" i="28"/>
  <c r="AG17" i="28"/>
  <c r="AF18" i="28"/>
  <c r="AG18" i="28"/>
  <c r="AF21" i="28"/>
  <c r="AG21" i="28"/>
  <c r="AF22" i="28"/>
  <c r="AG22" i="28"/>
  <c r="AF23" i="28"/>
  <c r="AG23" i="28"/>
  <c r="AF26" i="28"/>
  <c r="AG26" i="28"/>
  <c r="AF27" i="28"/>
  <c r="AG27" i="28"/>
  <c r="AF28" i="28"/>
  <c r="AG28" i="28"/>
  <c r="AF31" i="28"/>
  <c r="AG31" i="28"/>
  <c r="AF32" i="28"/>
  <c r="AG32" i="28"/>
  <c r="AE20" i="2"/>
  <c r="AF20" i="2"/>
  <c r="AE15" i="2"/>
  <c r="AF15" i="2"/>
  <c r="AE17" i="2" l="1"/>
  <c r="AF17" i="2"/>
  <c r="AB120" i="17"/>
  <c r="AB121" i="17"/>
  <c r="AG36" i="28"/>
  <c r="AF36" i="28"/>
  <c r="AG38" i="28"/>
  <c r="AG43" i="28"/>
  <c r="AG41" i="28"/>
  <c r="AF43" i="28"/>
  <c r="AF41" i="28"/>
  <c r="AG37" i="28"/>
  <c r="AF37" i="28"/>
  <c r="AG42" i="28"/>
  <c r="AF38" i="28"/>
  <c r="AF42" i="28"/>
  <c r="AF56" i="27"/>
  <c r="AG56" i="27"/>
  <c r="AH56" i="27"/>
  <c r="AH15" i="28" s="1"/>
  <c r="AF59" i="27"/>
  <c r="AG59" i="27"/>
  <c r="AH59" i="27"/>
  <c r="AH25" i="28" s="1"/>
  <c r="AH40" i="28" s="1"/>
  <c r="AF64" i="27"/>
  <c r="AG64" i="27"/>
  <c r="AH64" i="27"/>
  <c r="T25" i="27"/>
  <c r="U25" i="27"/>
  <c r="V25" i="27"/>
  <c r="W25" i="27"/>
  <c r="X25" i="27"/>
  <c r="Y25" i="27"/>
  <c r="Z25" i="27"/>
  <c r="AA25" i="27"/>
  <c r="AB25" i="27"/>
  <c r="AC25" i="27"/>
  <c r="AD25" i="27"/>
  <c r="AE25" i="27"/>
  <c r="AF25" i="27"/>
  <c r="AG25" i="27"/>
  <c r="S25" i="27"/>
  <c r="T33" i="27"/>
  <c r="U33" i="27"/>
  <c r="V33" i="27"/>
  <c r="W33" i="27"/>
  <c r="X33" i="27"/>
  <c r="Y33" i="27"/>
  <c r="Z33" i="27"/>
  <c r="AA33" i="27"/>
  <c r="AB33" i="27"/>
  <c r="AC33" i="27"/>
  <c r="AD33" i="27"/>
  <c r="AE33" i="27"/>
  <c r="AF33" i="27"/>
  <c r="AG33" i="27"/>
  <c r="S33" i="27"/>
  <c r="T64" i="27"/>
  <c r="U64" i="27"/>
  <c r="V64" i="27"/>
  <c r="W64" i="27"/>
  <c r="X64" i="27"/>
  <c r="Y64" i="27"/>
  <c r="Z64" i="27"/>
  <c r="AA64" i="27"/>
  <c r="AB64" i="27"/>
  <c r="AC64" i="27"/>
  <c r="AD64" i="27"/>
  <c r="AE64" i="27"/>
  <c r="S64" i="27"/>
  <c r="AE59" i="27"/>
  <c r="AD59" i="27"/>
  <c r="AC59" i="27"/>
  <c r="AM59" i="27" s="1"/>
  <c r="AB59" i="27"/>
  <c r="AA59" i="27"/>
  <c r="Z59" i="27"/>
  <c r="Y59" i="27"/>
  <c r="X59" i="27"/>
  <c r="W59" i="27"/>
  <c r="V59" i="27"/>
  <c r="U59" i="27"/>
  <c r="T59" i="27"/>
  <c r="S59" i="27"/>
  <c r="AE56" i="27"/>
  <c r="AD56" i="27"/>
  <c r="AC56" i="27"/>
  <c r="AB56" i="27"/>
  <c r="AA56" i="27"/>
  <c r="Z56" i="27"/>
  <c r="Y56" i="27"/>
  <c r="X56" i="27"/>
  <c r="W56" i="27"/>
  <c r="V56" i="27"/>
  <c r="U56" i="27"/>
  <c r="T56" i="27"/>
  <c r="S56" i="27"/>
  <c r="AM56" i="27" l="1"/>
  <c r="AM64" i="27"/>
  <c r="AC79" i="27"/>
  <c r="AC78" i="27"/>
  <c r="AC80" i="27"/>
  <c r="AC81" i="27"/>
  <c r="AG81" i="27"/>
  <c r="AG78" i="27"/>
  <c r="AG79" i="27"/>
  <c r="AG80" i="27"/>
  <c r="AD78" i="27"/>
  <c r="AD81" i="27"/>
  <c r="AD80" i="27"/>
  <c r="AD79" i="27"/>
  <c r="AE78" i="27"/>
  <c r="AE81" i="27"/>
  <c r="AE80" i="27"/>
  <c r="AE79" i="27"/>
  <c r="AF80" i="27"/>
  <c r="AF79" i="27"/>
  <c r="AF81" i="27"/>
  <c r="AF78" i="27"/>
  <c r="T81" i="27"/>
  <c r="T78" i="27"/>
  <c r="T79" i="27"/>
  <c r="T80" i="27"/>
  <c r="V78" i="27"/>
  <c r="V79" i="27"/>
  <c r="V80" i="27"/>
  <c r="V81" i="27"/>
  <c r="W79" i="27"/>
  <c r="W78" i="27"/>
  <c r="W80" i="27"/>
  <c r="W81" i="27"/>
  <c r="Z81" i="27"/>
  <c r="Z79" i="27"/>
  <c r="Z78" i="27"/>
  <c r="Z80" i="27"/>
  <c r="S79" i="27"/>
  <c r="S80" i="27"/>
  <c r="S81" i="27"/>
  <c r="S78" i="27"/>
  <c r="X78" i="27"/>
  <c r="X79" i="27"/>
  <c r="X80" i="27"/>
  <c r="X81" i="27"/>
  <c r="Y81" i="27"/>
  <c r="Y78" i="27"/>
  <c r="Y79" i="27"/>
  <c r="Y80" i="27"/>
  <c r="AA80" i="27"/>
  <c r="AA81" i="27"/>
  <c r="AA78" i="27"/>
  <c r="AA79" i="27"/>
  <c r="AH80" i="27"/>
  <c r="AH81" i="27"/>
  <c r="AH78" i="27"/>
  <c r="AH79" i="27"/>
  <c r="U79" i="27"/>
  <c r="U80" i="27"/>
  <c r="U81" i="27"/>
  <c r="U78" i="27"/>
  <c r="AB81" i="27"/>
  <c r="AB80" i="27"/>
  <c r="AB78" i="27"/>
  <c r="AB79" i="27"/>
  <c r="AH75" i="27"/>
  <c r="AH74" i="27"/>
  <c r="AH76" i="27"/>
  <c r="AH73" i="27"/>
  <c r="AE76" i="27"/>
  <c r="AE74" i="27"/>
  <c r="AE73" i="27"/>
  <c r="AE75" i="27"/>
  <c r="AD73" i="27"/>
  <c r="AD75" i="27"/>
  <c r="AD76" i="27"/>
  <c r="AD74" i="27"/>
  <c r="U76" i="27"/>
  <c r="U74" i="27"/>
  <c r="U73" i="27"/>
  <c r="U75" i="27"/>
  <c r="V76" i="27"/>
  <c r="V74" i="27"/>
  <c r="V75" i="27"/>
  <c r="V73" i="27"/>
  <c r="X73" i="27"/>
  <c r="X74" i="27"/>
  <c r="X75" i="27"/>
  <c r="X76" i="27"/>
  <c r="Y75" i="27"/>
  <c r="Y73" i="27"/>
  <c r="Y76" i="27"/>
  <c r="Y74" i="27"/>
  <c r="AG74" i="27"/>
  <c r="AG76" i="27"/>
  <c r="AG73" i="27"/>
  <c r="AG75" i="27"/>
  <c r="AF76" i="27"/>
  <c r="AF73" i="27"/>
  <c r="AF74" i="27"/>
  <c r="AF75" i="27"/>
  <c r="S74" i="27"/>
  <c r="S75" i="27"/>
  <c r="S73" i="27"/>
  <c r="S76" i="27"/>
  <c r="T73" i="27"/>
  <c r="T74" i="27"/>
  <c r="T76" i="27"/>
  <c r="T75" i="27"/>
  <c r="Z76" i="27"/>
  <c r="Z75" i="27"/>
  <c r="Z73" i="27"/>
  <c r="Z74" i="27"/>
  <c r="AA76" i="27"/>
  <c r="AA73" i="27"/>
  <c r="AA74" i="27"/>
  <c r="AA75" i="27"/>
  <c r="AB74" i="27"/>
  <c r="AB73" i="27"/>
  <c r="AB75" i="27"/>
  <c r="AB76" i="27"/>
  <c r="W75" i="27"/>
  <c r="W76" i="27"/>
  <c r="W73" i="27"/>
  <c r="W74" i="27"/>
  <c r="AC76" i="27"/>
  <c r="AC73" i="27"/>
  <c r="AC75" i="27"/>
  <c r="AC74" i="27"/>
  <c r="AJ59" i="27"/>
  <c r="AF15" i="28"/>
  <c r="AJ56" i="27"/>
  <c r="AG15" i="28"/>
  <c r="AH60" i="27"/>
  <c r="AG60" i="27"/>
  <c r="AG25" i="28"/>
  <c r="AF60" i="27"/>
  <c r="AF25" i="28"/>
  <c r="L43" i="29"/>
  <c r="M43" i="29"/>
  <c r="N43" i="29"/>
  <c r="K43" i="29"/>
  <c r="T34" i="1"/>
  <c r="AF40" i="28" l="1"/>
  <c r="AG40" i="28"/>
  <c r="S28" i="30" l="1"/>
  <c r="S27" i="30"/>
  <c r="S26" i="30"/>
  <c r="S25" i="30"/>
  <c r="S24" i="30"/>
  <c r="S23" i="30"/>
  <c r="S22" i="30"/>
  <c r="S21" i="30"/>
  <c r="S20" i="30"/>
  <c r="S19" i="30"/>
  <c r="S18" i="30"/>
  <c r="S17" i="30"/>
  <c r="S16" i="30"/>
  <c r="S15" i="30"/>
  <c r="S14" i="30"/>
  <c r="S13" i="30"/>
  <c r="S12" i="30"/>
  <c r="S11" i="30"/>
  <c r="S10" i="30"/>
  <c r="S9" i="30"/>
  <c r="S8" i="30"/>
  <c r="S7" i="30"/>
  <c r="S6" i="30"/>
  <c r="S5" i="30"/>
  <c r="S4" i="30"/>
  <c r="S3" i="30"/>
  <c r="T4" i="30"/>
  <c r="U4" i="30"/>
  <c r="V4" i="30"/>
  <c r="T5" i="30"/>
  <c r="U5" i="30"/>
  <c r="V5" i="30"/>
  <c r="T6" i="30"/>
  <c r="U6" i="30"/>
  <c r="V6" i="30"/>
  <c r="T7" i="30"/>
  <c r="U7" i="30"/>
  <c r="V7" i="30"/>
  <c r="T8" i="30"/>
  <c r="U8" i="30"/>
  <c r="V8" i="30"/>
  <c r="T9" i="30"/>
  <c r="U9" i="30"/>
  <c r="V9" i="30"/>
  <c r="T10" i="30"/>
  <c r="U10" i="30"/>
  <c r="V10" i="30"/>
  <c r="T11" i="30"/>
  <c r="U11" i="30"/>
  <c r="V11" i="30"/>
  <c r="T12" i="30"/>
  <c r="U12" i="30"/>
  <c r="V12" i="30"/>
  <c r="T13" i="30"/>
  <c r="U13" i="30"/>
  <c r="V13" i="30"/>
  <c r="T14" i="30"/>
  <c r="U14" i="30"/>
  <c r="V14" i="30"/>
  <c r="T15" i="30"/>
  <c r="U15" i="30"/>
  <c r="V15" i="30"/>
  <c r="T16" i="30"/>
  <c r="U16" i="30"/>
  <c r="V16" i="30"/>
  <c r="T17" i="30"/>
  <c r="U17" i="30"/>
  <c r="V17" i="30"/>
  <c r="T18" i="30"/>
  <c r="U18" i="30"/>
  <c r="V18" i="30"/>
  <c r="T19" i="30"/>
  <c r="U19" i="30"/>
  <c r="V19" i="30"/>
  <c r="T20" i="30"/>
  <c r="U20" i="30"/>
  <c r="V20" i="30"/>
  <c r="T21" i="30"/>
  <c r="U21" i="30"/>
  <c r="V21" i="30"/>
  <c r="T22" i="30"/>
  <c r="U22" i="30"/>
  <c r="V22" i="30"/>
  <c r="T23" i="30"/>
  <c r="U23" i="30"/>
  <c r="V23" i="30"/>
  <c r="T24" i="30"/>
  <c r="U24" i="30"/>
  <c r="V24" i="30"/>
  <c r="T25" i="30"/>
  <c r="U25" i="30"/>
  <c r="V25" i="30"/>
  <c r="T26" i="30"/>
  <c r="U26" i="30"/>
  <c r="V26" i="30"/>
  <c r="T27" i="30"/>
  <c r="U27" i="30"/>
  <c r="V27" i="30"/>
  <c r="T28" i="30"/>
  <c r="U28" i="30"/>
  <c r="V28" i="30"/>
  <c r="U3" i="30"/>
  <c r="V3" i="30"/>
  <c r="T3" i="30"/>
  <c r="Y79" i="30"/>
  <c r="Y101" i="30"/>
  <c r="Y78" i="30"/>
  <c r="Y80" i="30"/>
  <c r="Y81" i="30"/>
  <c r="Y82" i="30"/>
  <c r="Y83" i="30"/>
  <c r="Y84" i="30"/>
  <c r="Y85" i="30"/>
  <c r="Y86" i="30"/>
  <c r="Y87" i="30"/>
  <c r="Y88" i="30"/>
  <c r="Y89" i="30"/>
  <c r="Y90" i="30"/>
  <c r="Y91" i="30"/>
  <c r="Y92" i="30"/>
  <c r="Y93" i="30"/>
  <c r="Y94" i="30"/>
  <c r="Y95" i="30"/>
  <c r="Y96" i="30"/>
  <c r="Y97" i="30"/>
  <c r="Y98" i="30"/>
  <c r="Y99" i="30"/>
  <c r="Y100" i="30"/>
  <c r="Y77" i="30"/>
  <c r="G115" i="30"/>
  <c r="H115" i="30"/>
  <c r="I115" i="30"/>
  <c r="J115" i="30"/>
  <c r="K115" i="30"/>
  <c r="L115" i="30"/>
  <c r="M115" i="30"/>
  <c r="F115" i="30"/>
  <c r="L114" i="30"/>
  <c r="K114" i="30"/>
  <c r="J114" i="30"/>
  <c r="I114" i="30"/>
  <c r="H114" i="30"/>
  <c r="G114" i="30"/>
  <c r="F114" i="30"/>
  <c r="M114" i="30"/>
  <c r="BB34" i="26" l="1"/>
  <c r="I37" i="31" l="1"/>
  <c r="D8" i="31"/>
  <c r="F10" i="31" s="1"/>
  <c r="E23" i="31"/>
  <c r="E17" i="31"/>
  <c r="E18" i="31"/>
  <c r="E20" i="31"/>
  <c r="E21" i="31"/>
  <c r="E22" i="31"/>
  <c r="E24" i="31"/>
  <c r="E16" i="31"/>
  <c r="H21" i="31"/>
  <c r="G21" i="31"/>
  <c r="I56" i="31"/>
  <c r="H56" i="31"/>
  <c r="G56" i="31"/>
  <c r="F56" i="31"/>
  <c r="I55" i="31"/>
  <c r="H55" i="31"/>
  <c r="G55" i="31"/>
  <c r="F55" i="31"/>
  <c r="I54" i="31"/>
  <c r="H54" i="31"/>
  <c r="G54" i="31"/>
  <c r="F54" i="31"/>
  <c r="H22" i="31"/>
  <c r="G22" i="31"/>
  <c r="I39" i="31"/>
  <c r="I40" i="31"/>
  <c r="I41" i="31"/>
  <c r="I42" i="31"/>
  <c r="H39" i="31"/>
  <c r="H40" i="31"/>
  <c r="H41" i="31"/>
  <c r="H42" i="31"/>
  <c r="G40" i="31"/>
  <c r="G41" i="31"/>
  <c r="G42" i="31"/>
  <c r="G39" i="31"/>
  <c r="E6" i="31"/>
  <c r="J33" i="31"/>
  <c r="J32" i="31"/>
  <c r="K17" i="31" s="1"/>
  <c r="E12" i="31"/>
  <c r="K6" i="31" s="1"/>
  <c r="J31" i="31"/>
  <c r="J30" i="31"/>
  <c r="J29" i="31"/>
  <c r="J28" i="31"/>
  <c r="J27" i="31"/>
  <c r="D78" i="30"/>
  <c r="D79" i="30" s="1"/>
  <c r="D80" i="30" s="1"/>
  <c r="D81" i="30" s="1"/>
  <c r="D82" i="30" s="1"/>
  <c r="D83" i="30" s="1"/>
  <c r="D84" i="30" s="1"/>
  <c r="D85" i="30" s="1"/>
  <c r="D86" i="30" s="1"/>
  <c r="D87" i="30" s="1"/>
  <c r="D88" i="30" s="1"/>
  <c r="D89" i="30" s="1"/>
  <c r="D90" i="30" s="1"/>
  <c r="D91" i="30" s="1"/>
  <c r="D92" i="30" s="1"/>
  <c r="D93" i="30" s="1"/>
  <c r="D94" i="30" s="1"/>
  <c r="D95" i="30" s="1"/>
  <c r="D96" i="30" s="1"/>
  <c r="D97" i="30" s="1"/>
  <c r="D98" i="30" s="1"/>
  <c r="D99" i="30" s="1"/>
  <c r="D100" i="30" s="1"/>
  <c r="D101" i="30" s="1"/>
  <c r="D102" i="30" s="1"/>
  <c r="D103" i="30" s="1"/>
  <c r="D104" i="30" s="1"/>
  <c r="D105" i="30" s="1"/>
  <c r="D41" i="30"/>
  <c r="D42" i="30" s="1"/>
  <c r="D43" i="30" s="1"/>
  <c r="D44" i="30" s="1"/>
  <c r="D45" i="30" s="1"/>
  <c r="D46" i="30" s="1"/>
  <c r="D47" i="30" s="1"/>
  <c r="D48" i="30" s="1"/>
  <c r="D49" i="30" s="1"/>
  <c r="D50" i="30" s="1"/>
  <c r="D51" i="30" s="1"/>
  <c r="D52" i="30" s="1"/>
  <c r="D53" i="30" s="1"/>
  <c r="D54" i="30" s="1"/>
  <c r="D55" i="30" s="1"/>
  <c r="D56" i="30" s="1"/>
  <c r="D57" i="30" s="1"/>
  <c r="D58" i="30" s="1"/>
  <c r="D59" i="30" s="1"/>
  <c r="D60" i="30" s="1"/>
  <c r="D61" i="30" s="1"/>
  <c r="D62" i="30" s="1"/>
  <c r="D63" i="30" s="1"/>
  <c r="D64" i="30" s="1"/>
  <c r="D65" i="30" s="1"/>
  <c r="D66" i="30" s="1"/>
  <c r="D67" i="30" s="1"/>
  <c r="D68" i="30" s="1"/>
  <c r="D4" i="30"/>
  <c r="D5" i="30" s="1"/>
  <c r="D6" i="30" s="1"/>
  <c r="D7" i="30" s="1"/>
  <c r="D8" i="30" s="1"/>
  <c r="D9" i="30" s="1"/>
  <c r="D10" i="30" s="1"/>
  <c r="D11" i="30" s="1"/>
  <c r="D12" i="30" s="1"/>
  <c r="D13" i="30" s="1"/>
  <c r="D14" i="30" s="1"/>
  <c r="D15" i="30" s="1"/>
  <c r="D16" i="30" s="1"/>
  <c r="D17" i="30" s="1"/>
  <c r="D18" i="30" s="1"/>
  <c r="D19" i="30" s="1"/>
  <c r="D20" i="30" s="1"/>
  <c r="D21" i="30" s="1"/>
  <c r="D22" i="30" s="1"/>
  <c r="D23" i="30" s="1"/>
  <c r="D24" i="30" s="1"/>
  <c r="D25" i="30" s="1"/>
  <c r="D26" i="30" s="1"/>
  <c r="D27" i="30" s="1"/>
  <c r="D28" i="30" s="1"/>
  <c r="D29" i="30" s="1"/>
  <c r="D30" i="30" s="1"/>
  <c r="D31" i="30" s="1"/>
  <c r="F11" i="31" l="1"/>
  <c r="E19" i="31"/>
  <c r="M27" i="31"/>
  <c r="M32" i="31"/>
  <c r="M30" i="31"/>
  <c r="M31" i="31"/>
  <c r="M28" i="31"/>
  <c r="K19" i="31"/>
  <c r="M29" i="31"/>
  <c r="N27" i="31"/>
  <c r="K16" i="31"/>
  <c r="K23" i="31"/>
  <c r="K22" i="31"/>
  <c r="K20" i="31"/>
  <c r="K18" i="31"/>
  <c r="K21" i="31"/>
  <c r="K12" i="31"/>
  <c r="K9" i="31"/>
  <c r="K8" i="31"/>
  <c r="K11" i="31"/>
  <c r="K7" i="31"/>
  <c r="K5" i="31"/>
  <c r="K10" i="31"/>
  <c r="P102" i="30"/>
  <c r="P101" i="30"/>
  <c r="P100" i="30"/>
  <c r="P99" i="30"/>
  <c r="P98" i="30"/>
  <c r="P97" i="30"/>
  <c r="P96" i="30"/>
  <c r="P95" i="30"/>
  <c r="P94" i="30"/>
  <c r="P93" i="30"/>
  <c r="P92" i="30"/>
  <c r="P91" i="30"/>
  <c r="P90" i="30"/>
  <c r="P89" i="30"/>
  <c r="P88" i="30"/>
  <c r="P87" i="30"/>
  <c r="P86" i="30"/>
  <c r="P85" i="30"/>
  <c r="P84" i="30"/>
  <c r="P83" i="30"/>
  <c r="P82" i="30"/>
  <c r="P81" i="30"/>
  <c r="P80" i="30"/>
  <c r="P79" i="30"/>
  <c r="P78" i="30"/>
  <c r="P77" i="30"/>
  <c r="Q78" i="30"/>
  <c r="Q79" i="30"/>
  <c r="Q80" i="30"/>
  <c r="Q81" i="30"/>
  <c r="Q82" i="30"/>
  <c r="Q83" i="30"/>
  <c r="Q84" i="30"/>
  <c r="Q85" i="30"/>
  <c r="Q86" i="30"/>
  <c r="Q87" i="30"/>
  <c r="Q88" i="30"/>
  <c r="Q89" i="30"/>
  <c r="Q90" i="30"/>
  <c r="Q91" i="30"/>
  <c r="Q92" i="30"/>
  <c r="Q93" i="30"/>
  <c r="Q94" i="30"/>
  <c r="Q95" i="30"/>
  <c r="Q96" i="30"/>
  <c r="Q97" i="30"/>
  <c r="Q98" i="30"/>
  <c r="Q99" i="30"/>
  <c r="Q100" i="30"/>
  <c r="Q101" i="30"/>
  <c r="Q102" i="30"/>
  <c r="Q77" i="30"/>
  <c r="P4" i="30"/>
  <c r="P5" i="30"/>
  <c r="P6" i="30"/>
  <c r="P7" i="30"/>
  <c r="P8" i="30"/>
  <c r="P9" i="30"/>
  <c r="P10" i="30"/>
  <c r="P11" i="30"/>
  <c r="P12" i="30"/>
  <c r="P13" i="30"/>
  <c r="P14" i="30"/>
  <c r="P15" i="30"/>
  <c r="P16" i="30"/>
  <c r="P17" i="30"/>
  <c r="P18" i="30"/>
  <c r="P19" i="30"/>
  <c r="P20" i="30"/>
  <c r="P21" i="30"/>
  <c r="P22" i="30"/>
  <c r="P23" i="30"/>
  <c r="P24" i="30"/>
  <c r="P25" i="30"/>
  <c r="P26" i="30"/>
  <c r="P27" i="30"/>
  <c r="P28" i="30"/>
  <c r="P3" i="30"/>
  <c r="O28" i="30"/>
  <c r="O27" i="30"/>
  <c r="O26" i="30"/>
  <c r="O25" i="30"/>
  <c r="O24" i="30"/>
  <c r="O23" i="30"/>
  <c r="O22" i="30"/>
  <c r="O21" i="30"/>
  <c r="O20" i="30"/>
  <c r="O19" i="30"/>
  <c r="O18" i="30"/>
  <c r="O17" i="30"/>
  <c r="O16" i="30"/>
  <c r="O15" i="30"/>
  <c r="O14" i="30"/>
  <c r="O13" i="30"/>
  <c r="O12" i="30"/>
  <c r="O11" i="30"/>
  <c r="O10" i="30"/>
  <c r="O9" i="30"/>
  <c r="O8" i="30"/>
  <c r="O7" i="30"/>
  <c r="O6" i="30"/>
  <c r="O5" i="30"/>
  <c r="O4" i="30"/>
  <c r="O3" i="30"/>
  <c r="L112" i="30" l="1"/>
  <c r="V102" i="30"/>
  <c r="U102" i="30"/>
  <c r="T102" i="30"/>
  <c r="V101" i="30"/>
  <c r="U101" i="30"/>
  <c r="T101" i="30"/>
  <c r="V100" i="30"/>
  <c r="U100" i="30"/>
  <c r="T100" i="30"/>
  <c r="V99" i="30"/>
  <c r="U99" i="30"/>
  <c r="T99" i="30"/>
  <c r="V98" i="30"/>
  <c r="U98" i="30"/>
  <c r="T98" i="30"/>
  <c r="V97" i="30"/>
  <c r="U97" i="30"/>
  <c r="T97" i="30"/>
  <c r="V96" i="30"/>
  <c r="U96" i="30"/>
  <c r="T96" i="30"/>
  <c r="V95" i="30"/>
  <c r="U95" i="30"/>
  <c r="T95" i="30"/>
  <c r="V94" i="30"/>
  <c r="U94" i="30"/>
  <c r="T94" i="30"/>
  <c r="V93" i="30"/>
  <c r="U93" i="30"/>
  <c r="T93" i="30"/>
  <c r="V92" i="30"/>
  <c r="U92" i="30"/>
  <c r="T92" i="30"/>
  <c r="V91" i="30"/>
  <c r="U91" i="30"/>
  <c r="T91" i="30"/>
  <c r="V90" i="30"/>
  <c r="U90" i="30"/>
  <c r="T90" i="30"/>
  <c r="V89" i="30"/>
  <c r="U89" i="30"/>
  <c r="T89" i="30"/>
  <c r="V88" i="30"/>
  <c r="U88" i="30"/>
  <c r="T88" i="30"/>
  <c r="V87" i="30"/>
  <c r="U87" i="30"/>
  <c r="T87" i="30"/>
  <c r="V86" i="30"/>
  <c r="U86" i="30"/>
  <c r="T86" i="30"/>
  <c r="V85" i="30"/>
  <c r="U85" i="30"/>
  <c r="T85" i="30"/>
  <c r="V84" i="30"/>
  <c r="U84" i="30"/>
  <c r="T84" i="30"/>
  <c r="V83" i="30"/>
  <c r="U83" i="30"/>
  <c r="T83" i="30"/>
  <c r="V82" i="30"/>
  <c r="U82" i="30"/>
  <c r="T82" i="30"/>
  <c r="V81" i="30"/>
  <c r="U81" i="30"/>
  <c r="T81" i="30"/>
  <c r="V80" i="30"/>
  <c r="U80" i="30"/>
  <c r="T80" i="30"/>
  <c r="V79" i="30"/>
  <c r="U79" i="30"/>
  <c r="T79" i="30"/>
  <c r="V78" i="30"/>
  <c r="U78" i="30"/>
  <c r="T78" i="30"/>
  <c r="V77" i="30"/>
  <c r="U77" i="30"/>
  <c r="T77" i="30"/>
  <c r="W78" i="30"/>
  <c r="W79" i="30"/>
  <c r="W80" i="30"/>
  <c r="W81" i="30"/>
  <c r="W82" i="30"/>
  <c r="W83" i="30"/>
  <c r="W84" i="30"/>
  <c r="W85" i="30"/>
  <c r="W86" i="30"/>
  <c r="W87" i="30"/>
  <c r="W88" i="30"/>
  <c r="W89" i="30"/>
  <c r="W90" i="30"/>
  <c r="W91" i="30"/>
  <c r="W92" i="30"/>
  <c r="W93" i="30"/>
  <c r="W94" i="30"/>
  <c r="W95" i="30"/>
  <c r="W96" i="30"/>
  <c r="W97" i="30"/>
  <c r="W98" i="30"/>
  <c r="W99" i="30"/>
  <c r="W100" i="30"/>
  <c r="W101" i="30"/>
  <c r="W102" i="30"/>
  <c r="W77" i="30"/>
  <c r="O78" i="30"/>
  <c r="O79" i="30"/>
  <c r="O80" i="30"/>
  <c r="O81" i="30"/>
  <c r="O82" i="30"/>
  <c r="O83" i="30"/>
  <c r="O84" i="30"/>
  <c r="O85" i="30"/>
  <c r="O86" i="30"/>
  <c r="O87" i="30"/>
  <c r="O88" i="30"/>
  <c r="O89" i="30"/>
  <c r="O90" i="30"/>
  <c r="O91" i="30"/>
  <c r="O92" i="30"/>
  <c r="O93" i="30"/>
  <c r="O94" i="30"/>
  <c r="O95" i="30"/>
  <c r="O96" i="30"/>
  <c r="O97" i="30"/>
  <c r="O98" i="30"/>
  <c r="O99" i="30"/>
  <c r="O100" i="30"/>
  <c r="O101" i="30"/>
  <c r="O102" i="30"/>
  <c r="O77" i="30"/>
  <c r="AD42" i="6"/>
  <c r="AD57" i="6"/>
  <c r="AD56" i="6"/>
  <c r="P57" i="28"/>
  <c r="O58" i="28"/>
  <c r="O59" i="28" s="1"/>
  <c r="O60" i="28" s="1"/>
  <c r="Z32" i="28"/>
  <c r="Y32" i="28"/>
  <c r="X32" i="28"/>
  <c r="W32" i="28"/>
  <c r="V32" i="28"/>
  <c r="U32" i="28"/>
  <c r="T32" i="28"/>
  <c r="S32" i="28"/>
  <c r="R32" i="28"/>
  <c r="Q32" i="28"/>
  <c r="P32" i="28"/>
  <c r="O32" i="28"/>
  <c r="Z31" i="28"/>
  <c r="Y31" i="28"/>
  <c r="X31" i="28"/>
  <c r="W31" i="28"/>
  <c r="V31" i="28"/>
  <c r="U31" i="28"/>
  <c r="T31" i="28"/>
  <c r="S31" i="28"/>
  <c r="R31" i="28"/>
  <c r="Q31" i="28"/>
  <c r="P31" i="28"/>
  <c r="O31" i="28"/>
  <c r="Z27" i="28"/>
  <c r="Y27" i="28"/>
  <c r="X27" i="28"/>
  <c r="W27" i="28"/>
  <c r="V27" i="28"/>
  <c r="U27" i="28"/>
  <c r="T27" i="28"/>
  <c r="S27" i="28"/>
  <c r="R27" i="28"/>
  <c r="Q27" i="28"/>
  <c r="Z26" i="28"/>
  <c r="Y26" i="28"/>
  <c r="X26" i="28"/>
  <c r="W26" i="28"/>
  <c r="V26" i="28"/>
  <c r="U26" i="28"/>
  <c r="T26" i="28"/>
  <c r="S26" i="28"/>
  <c r="R26" i="28"/>
  <c r="Q26" i="28"/>
  <c r="P26" i="28"/>
  <c r="O26" i="28"/>
  <c r="AH52" i="28" s="1"/>
  <c r="Z22" i="28"/>
  <c r="Y22" i="28"/>
  <c r="X22" i="28"/>
  <c r="W22" i="28"/>
  <c r="V22" i="28"/>
  <c r="U22" i="28"/>
  <c r="T22" i="28"/>
  <c r="S22" i="28"/>
  <c r="R22" i="28"/>
  <c r="Q22" i="28"/>
  <c r="Z21" i="28"/>
  <c r="Y21" i="28"/>
  <c r="X21" i="28"/>
  <c r="W21" i="28"/>
  <c r="V21" i="28"/>
  <c r="U21" i="28"/>
  <c r="T21" i="28"/>
  <c r="S21" i="28"/>
  <c r="R21" i="28"/>
  <c r="Q21" i="28"/>
  <c r="P21" i="28"/>
  <c r="O21" i="28"/>
  <c r="Z17" i="28"/>
  <c r="Y17" i="28"/>
  <c r="X17" i="28"/>
  <c r="W17" i="28"/>
  <c r="V17" i="28"/>
  <c r="U17" i="28"/>
  <c r="T17" i="28"/>
  <c r="S17" i="28"/>
  <c r="R17" i="28"/>
  <c r="Q17" i="28"/>
  <c r="Z16" i="28"/>
  <c r="Z51" i="28" s="1"/>
  <c r="Y16" i="28"/>
  <c r="X16" i="28"/>
  <c r="W16" i="28"/>
  <c r="V16" i="28"/>
  <c r="U16" i="28"/>
  <c r="T16" i="28"/>
  <c r="S16" i="28"/>
  <c r="R16" i="28"/>
  <c r="Q16" i="28"/>
  <c r="P16" i="28"/>
  <c r="O16" i="28"/>
  <c r="AH51" i="28" s="1"/>
  <c r="AB31" i="28"/>
  <c r="AC31" i="28"/>
  <c r="AD31" i="28"/>
  <c r="AE31" i="28"/>
  <c r="AB32" i="28"/>
  <c r="AC32" i="28"/>
  <c r="AD32" i="28"/>
  <c r="AE32" i="28"/>
  <c r="AB26" i="28"/>
  <c r="AC26" i="28"/>
  <c r="AD26" i="28"/>
  <c r="AE26" i="28"/>
  <c r="AB27" i="28"/>
  <c r="AC27" i="28"/>
  <c r="AD27" i="28"/>
  <c r="AE27" i="28"/>
  <c r="AB21" i="28"/>
  <c r="AC21" i="28"/>
  <c r="AD21" i="28"/>
  <c r="AE21" i="28"/>
  <c r="AB22" i="28"/>
  <c r="AC22" i="28"/>
  <c r="AD22" i="28"/>
  <c r="AE22" i="28"/>
  <c r="AE23" i="28"/>
  <c r="AB16" i="28"/>
  <c r="AC16" i="28"/>
  <c r="AB17" i="28"/>
  <c r="AC17" i="28"/>
  <c r="E11" i="28"/>
  <c r="F11" i="28" s="1"/>
  <c r="D7" i="28"/>
  <c r="D4" i="28"/>
  <c r="D6" i="28" s="1"/>
  <c r="D3" i="28"/>
  <c r="D5" i="28" s="1"/>
  <c r="AA32" i="28"/>
  <c r="AA31" i="28"/>
  <c r="AE28" i="28"/>
  <c r="AA28" i="28"/>
  <c r="AA27" i="28"/>
  <c r="AA26" i="28"/>
  <c r="AA23" i="28"/>
  <c r="AA22" i="28"/>
  <c r="AA21" i="28"/>
  <c r="AE18" i="28"/>
  <c r="AA18" i="28"/>
  <c r="AE17" i="28"/>
  <c r="AD17" i="28"/>
  <c r="AA17" i="28"/>
  <c r="AE16" i="28"/>
  <c r="AE51" i="28" s="1"/>
  <c r="AD16" i="28"/>
  <c r="AD51" i="28" s="1"/>
  <c r="AA16" i="28"/>
  <c r="AA51" i="28" s="1"/>
  <c r="AE25" i="28"/>
  <c r="Q56" i="27"/>
  <c r="Q15" i="28" s="1"/>
  <c r="S15" i="28"/>
  <c r="U15" i="28"/>
  <c r="Q59" i="27"/>
  <c r="Q25" i="28" s="1"/>
  <c r="S25" i="28"/>
  <c r="U25" i="28"/>
  <c r="W25" i="28"/>
  <c r="Y25" i="28"/>
  <c r="Z25" i="28"/>
  <c r="AA25" i="28"/>
  <c r="AC25" i="28"/>
  <c r="AD25" i="28"/>
  <c r="O59" i="27"/>
  <c r="O25" i="28" s="1"/>
  <c r="AH49" i="28" s="1"/>
  <c r="O56" i="27"/>
  <c r="V51" i="28" l="1"/>
  <c r="W51" i="28"/>
  <c r="X51" i="28"/>
  <c r="Y51" i="28"/>
  <c r="U49" i="28"/>
  <c r="S49" i="28"/>
  <c r="Q49" i="28"/>
  <c r="X77" i="30"/>
  <c r="X105" i="30"/>
  <c r="X103" i="30"/>
  <c r="X104" i="30"/>
  <c r="AE49" i="28"/>
  <c r="Z52" i="28"/>
  <c r="AA52" i="28"/>
  <c r="AB52" i="28"/>
  <c r="O15" i="28"/>
  <c r="T52" i="28"/>
  <c r="O52" i="28"/>
  <c r="AG52" i="28"/>
  <c r="AF52" i="28"/>
  <c r="R52" i="28"/>
  <c r="O51" i="28"/>
  <c r="AG51" i="28"/>
  <c r="AF51" i="28"/>
  <c r="P52" i="28"/>
  <c r="Q52" i="28"/>
  <c r="Q51" i="28"/>
  <c r="U52" i="28"/>
  <c r="AB42" i="28"/>
  <c r="R51" i="28"/>
  <c r="V52" i="28"/>
  <c r="AE52" i="28"/>
  <c r="S51" i="28"/>
  <c r="W52" i="28"/>
  <c r="AC51" i="28"/>
  <c r="AD52" i="28"/>
  <c r="T51" i="28"/>
  <c r="X52" i="28"/>
  <c r="S52" i="28"/>
  <c r="P51" i="28"/>
  <c r="AB51" i="28"/>
  <c r="AC52" i="28"/>
  <c r="U51" i="28"/>
  <c r="Y52" i="28"/>
  <c r="Q57" i="28"/>
  <c r="O49" i="28"/>
  <c r="AF49" i="28"/>
  <c r="AG49" i="28"/>
  <c r="AD49" i="28"/>
  <c r="AA49" i="28"/>
  <c r="Z49" i="28"/>
  <c r="Y49" i="28"/>
  <c r="AC49" i="28"/>
  <c r="W49" i="28"/>
  <c r="AA43" i="28"/>
  <c r="AE43" i="28"/>
  <c r="X89" i="30"/>
  <c r="X93" i="30"/>
  <c r="X92" i="30"/>
  <c r="X91" i="30"/>
  <c r="X90" i="30"/>
  <c r="X88" i="30"/>
  <c r="X87" i="30"/>
  <c r="X101" i="30"/>
  <c r="X83" i="30"/>
  <c r="X86" i="30"/>
  <c r="X85" i="30"/>
  <c r="X100" i="30"/>
  <c r="X84" i="30"/>
  <c r="X99" i="30"/>
  <c r="X98" i="30"/>
  <c r="X82" i="30"/>
  <c r="X97" i="30"/>
  <c r="X95" i="30"/>
  <c r="X102" i="30"/>
  <c r="X81" i="30"/>
  <c r="X96" i="30"/>
  <c r="X80" i="30"/>
  <c r="X79" i="30"/>
  <c r="X94" i="30"/>
  <c r="X78" i="30"/>
  <c r="AE36" i="28"/>
  <c r="AE37" i="28"/>
  <c r="AD42" i="28"/>
  <c r="Z36" i="28"/>
  <c r="Y41" i="28"/>
  <c r="Z41" i="28"/>
  <c r="O60" i="27"/>
  <c r="X41" i="28"/>
  <c r="AE41" i="28"/>
  <c r="U37" i="28"/>
  <c r="V37" i="28"/>
  <c r="AQ25" i="28"/>
  <c r="W36" i="28"/>
  <c r="AB36" i="28"/>
  <c r="X36" i="28"/>
  <c r="V41" i="28"/>
  <c r="U41" i="28"/>
  <c r="AE42" i="28"/>
  <c r="U42" i="28"/>
  <c r="Y36" i="28"/>
  <c r="S40" i="28"/>
  <c r="W41" i="28"/>
  <c r="AA38" i="28"/>
  <c r="U40" i="28"/>
  <c r="S36" i="28"/>
  <c r="AC41" i="28"/>
  <c r="AB41" i="28"/>
  <c r="U36" i="28"/>
  <c r="Y42" i="28"/>
  <c r="Y37" i="28"/>
  <c r="T36" i="28"/>
  <c r="V36" i="28"/>
  <c r="T41" i="28"/>
  <c r="Z42" i="28"/>
  <c r="AC42" i="28"/>
  <c r="AD41" i="28"/>
  <c r="Q37" i="28"/>
  <c r="P60" i="28"/>
  <c r="R37" i="28"/>
  <c r="P59" i="28"/>
  <c r="AE38" i="28"/>
  <c r="S41" i="28"/>
  <c r="S37" i="28"/>
  <c r="Q42" i="28"/>
  <c r="P58" i="28"/>
  <c r="T37" i="28"/>
  <c r="R42" i="28"/>
  <c r="AD37" i="28"/>
  <c r="Q40" i="28"/>
  <c r="O36" i="28"/>
  <c r="S42" i="28"/>
  <c r="AC37" i="28"/>
  <c r="P36" i="28"/>
  <c r="T42" i="28"/>
  <c r="AB37" i="28"/>
  <c r="Q36" i="28"/>
  <c r="W37" i="28"/>
  <c r="O41" i="28"/>
  <c r="R36" i="28"/>
  <c r="X37" i="28"/>
  <c r="P41" i="28"/>
  <c r="V42" i="28"/>
  <c r="AD36" i="28"/>
  <c r="Q41" i="28"/>
  <c r="W42" i="28"/>
  <c r="AC36" i="28"/>
  <c r="Z37" i="28"/>
  <c r="R41" i="28"/>
  <c r="X42" i="28"/>
  <c r="AP25" i="28"/>
  <c r="AP23" i="28"/>
  <c r="AA37" i="28"/>
  <c r="AP28" i="28"/>
  <c r="AP18" i="28"/>
  <c r="AQ21" i="28"/>
  <c r="AQ31" i="28"/>
  <c r="AQ22" i="28"/>
  <c r="AQ32" i="28"/>
  <c r="E3" i="28"/>
  <c r="E5" i="28" s="1"/>
  <c r="G11" i="28"/>
  <c r="F4" i="28"/>
  <c r="F6" i="28" s="1"/>
  <c r="F7" i="28"/>
  <c r="F3" i="28"/>
  <c r="F5" i="28" s="1"/>
  <c r="AP16" i="28"/>
  <c r="AQ26" i="28"/>
  <c r="E7" i="28"/>
  <c r="AP17" i="28"/>
  <c r="E4" i="28"/>
  <c r="E6" i="28" s="1"/>
  <c r="AQ16" i="28"/>
  <c r="AA41" i="28"/>
  <c r="AA42" i="28"/>
  <c r="AA36" i="28"/>
  <c r="AQ27" i="28"/>
  <c r="AP22" i="28"/>
  <c r="AQ17" i="28"/>
  <c r="AP31" i="28"/>
  <c r="AP26" i="28"/>
  <c r="AP32" i="28"/>
  <c r="AP21" i="28"/>
  <c r="AP27" i="28"/>
  <c r="U60" i="27"/>
  <c r="Q60" i="27"/>
  <c r="S60" i="27"/>
  <c r="S48" i="28" l="1"/>
  <c r="AH48" i="28"/>
  <c r="AF48" i="28"/>
  <c r="O48" i="28"/>
  <c r="O40" i="28"/>
  <c r="Q48" i="28"/>
  <c r="AG48" i="28"/>
  <c r="U48" i="28"/>
  <c r="AP43" i="28"/>
  <c r="R57" i="28"/>
  <c r="AQ36" i="28"/>
  <c r="AQ37" i="28"/>
  <c r="AQ42" i="28"/>
  <c r="AP42" i="28"/>
  <c r="AP37" i="28"/>
  <c r="AQ41" i="28"/>
  <c r="AP38" i="28"/>
  <c r="Q59" i="28"/>
  <c r="Q60" i="28"/>
  <c r="Q58" i="28"/>
  <c r="AP36" i="28"/>
  <c r="H11" i="28"/>
  <c r="G4" i="28"/>
  <c r="G6" i="28" s="1"/>
  <c r="G7" i="28"/>
  <c r="G3" i="28"/>
  <c r="G5" i="28" s="1"/>
  <c r="AP41" i="28"/>
  <c r="S57" i="28" l="1"/>
  <c r="R58" i="28"/>
  <c r="R60" i="28"/>
  <c r="R59" i="28"/>
  <c r="H4" i="28"/>
  <c r="H6" i="28" s="1"/>
  <c r="H7" i="28"/>
  <c r="H3" i="28"/>
  <c r="H5" i="28" s="1"/>
  <c r="I11" i="28"/>
  <c r="S60" i="28" l="1"/>
  <c r="S59" i="28"/>
  <c r="S58" i="28"/>
  <c r="I4" i="28"/>
  <c r="I6" i="28" s="1"/>
  <c r="I7" i="28"/>
  <c r="I3" i="28"/>
  <c r="I5" i="28" s="1"/>
  <c r="J11" i="28"/>
  <c r="J4" i="28" l="1"/>
  <c r="J6" i="28" s="1"/>
  <c r="J7" i="28"/>
  <c r="J3" i="28"/>
  <c r="J5" i="28" s="1"/>
  <c r="K11" i="28"/>
  <c r="K4" i="28" l="1"/>
  <c r="K6" i="28" s="1"/>
  <c r="K7" i="28"/>
  <c r="K3" i="28"/>
  <c r="K5" i="28" s="1"/>
  <c r="L11" i="28"/>
  <c r="L7" i="28" l="1"/>
  <c r="L3" i="28"/>
  <c r="L5" i="28" s="1"/>
  <c r="L4" i="28"/>
  <c r="L6" i="28" s="1"/>
  <c r="M11" i="28"/>
  <c r="M3" i="28" l="1"/>
  <c r="M5" i="28" s="1"/>
  <c r="M7" i="28"/>
  <c r="N11" i="28"/>
  <c r="M4" i="28"/>
  <c r="M6" i="28" s="1"/>
  <c r="N3" i="28" l="1"/>
  <c r="N5" i="28" s="1"/>
  <c r="N4" i="28"/>
  <c r="N6" i="28" s="1"/>
  <c r="O11" i="28"/>
  <c r="N7" i="28"/>
  <c r="O105" i="28" l="1"/>
  <c r="O99" i="28"/>
  <c r="O93" i="28"/>
  <c r="O63" i="28"/>
  <c r="O69" i="28"/>
  <c r="O75" i="28"/>
  <c r="O3" i="28"/>
  <c r="O5" i="28" s="1"/>
  <c r="P11" i="28"/>
  <c r="O4" i="28"/>
  <c r="O6" i="28" s="1"/>
  <c r="O7" i="28"/>
  <c r="O100" i="28" l="1"/>
  <c r="O94" i="28"/>
  <c r="O106" i="28"/>
  <c r="P3" i="28"/>
  <c r="P5" i="28" s="1"/>
  <c r="Q11" i="28"/>
  <c r="P4" i="28"/>
  <c r="P6" i="28" s="1"/>
  <c r="P7" i="28"/>
  <c r="O101" i="28" l="1"/>
  <c r="O107" i="28"/>
  <c r="O95" i="28"/>
  <c r="O65" i="28"/>
  <c r="O71" i="28"/>
  <c r="O77" i="28"/>
  <c r="R11" i="28"/>
  <c r="Q3" i="28"/>
  <c r="Q5" i="28" s="1"/>
  <c r="Q4" i="28"/>
  <c r="Q6" i="28" s="1"/>
  <c r="Q7" i="28"/>
  <c r="O96" i="28" l="1"/>
  <c r="O102" i="28"/>
  <c r="O108" i="28"/>
  <c r="S11" i="28"/>
  <c r="R4" i="28"/>
  <c r="R6" i="28" s="1"/>
  <c r="R7" i="28"/>
  <c r="R3" i="28"/>
  <c r="R5" i="28" s="1"/>
  <c r="P63" i="28" l="1"/>
  <c r="P105" i="28"/>
  <c r="P69" i="28"/>
  <c r="P75" i="28"/>
  <c r="T11" i="28"/>
  <c r="P94" i="28" s="1"/>
  <c r="S4" i="28"/>
  <c r="S6" i="28" s="1"/>
  <c r="S7" i="28"/>
  <c r="S3" i="28"/>
  <c r="S5" i="28" s="1"/>
  <c r="U11" i="28" l="1"/>
  <c r="T4" i="28"/>
  <c r="T6" i="28" s="1"/>
  <c r="T7" i="28"/>
  <c r="T3" i="28"/>
  <c r="T5" i="28" s="1"/>
  <c r="V11" i="28" l="1"/>
  <c r="U4" i="28"/>
  <c r="U6" i="28" s="1"/>
  <c r="U7" i="28"/>
  <c r="U3" i="28"/>
  <c r="U5" i="28" s="1"/>
  <c r="W11" i="28" l="1"/>
  <c r="V4" i="28"/>
  <c r="V6" i="28" s="1"/>
  <c r="V7" i="28"/>
  <c r="V3" i="28"/>
  <c r="V5" i="28" s="1"/>
  <c r="X11" i="28" l="1"/>
  <c r="W4" i="28"/>
  <c r="W6" i="28" s="1"/>
  <c r="W7" i="28"/>
  <c r="W3" i="28"/>
  <c r="W5" i="28" s="1"/>
  <c r="X4" i="28" l="1"/>
  <c r="X6" i="28" s="1"/>
  <c r="X7" i="28"/>
  <c r="X3" i="28"/>
  <c r="X5" i="28" s="1"/>
  <c r="Y11" i="28"/>
  <c r="Y4" i="28" l="1"/>
  <c r="Y6" i="28" s="1"/>
  <c r="Y7" i="28"/>
  <c r="Y3" i="28"/>
  <c r="Y5" i="28" s="1"/>
  <c r="Z11" i="28"/>
  <c r="Z4" i="28" l="1"/>
  <c r="Z6" i="28" s="1"/>
  <c r="Z7" i="28"/>
  <c r="Z3" i="28"/>
  <c r="Z5" i="28" s="1"/>
  <c r="AA11" i="28"/>
  <c r="AA4" i="28" l="1"/>
  <c r="AA6" i="28" s="1"/>
  <c r="AA7" i="28"/>
  <c r="AA3" i="28"/>
  <c r="AA5" i="28" s="1"/>
  <c r="AB11" i="28"/>
  <c r="AB7" i="28" l="1"/>
  <c r="AB3" i="28"/>
  <c r="AB5" i="28" s="1"/>
  <c r="AC11" i="28"/>
  <c r="AB4" i="28"/>
  <c r="AB6" i="28" s="1"/>
  <c r="AC3" i="28" l="1"/>
  <c r="AC5" i="28" s="1"/>
  <c r="AD11" i="28"/>
  <c r="AC4" i="28"/>
  <c r="AC6" i="28" s="1"/>
  <c r="AC7" i="28"/>
  <c r="AD4" i="28" l="1"/>
  <c r="AD6" i="28" s="1"/>
  <c r="AD3" i="28"/>
  <c r="AD5" i="28" s="1"/>
  <c r="AE11" i="28"/>
  <c r="AD7" i="28"/>
  <c r="AE3" i="28" l="1"/>
  <c r="AE5" i="28" s="1"/>
  <c r="AF11" i="28"/>
  <c r="AE4" i="28"/>
  <c r="AE6" i="28" s="1"/>
  <c r="AE7" i="28"/>
  <c r="AF3" i="28" l="1"/>
  <c r="AF5" i="28" s="1"/>
  <c r="AG11" i="28"/>
  <c r="AF4" i="28"/>
  <c r="AF6" i="28" s="1"/>
  <c r="AF7" i="28"/>
  <c r="AH11" i="28" l="1"/>
  <c r="AG3" i="28"/>
  <c r="AG5" i="28" s="1"/>
  <c r="AG4" i="28"/>
  <c r="AG6" i="28" s="1"/>
  <c r="AG7" i="28"/>
  <c r="AI11" i="28" l="1"/>
  <c r="AH4" i="28"/>
  <c r="AH6" i="28" s="1"/>
  <c r="AH7" i="28"/>
  <c r="AH3" i="28"/>
  <c r="AH5" i="28" s="1"/>
  <c r="AJ11" i="28" l="1"/>
  <c r="AI3" i="28"/>
  <c r="AI5" i="28" s="1"/>
  <c r="AI4" i="28"/>
  <c r="AI6" i="28" s="1"/>
  <c r="AI7" i="28"/>
  <c r="AK11" i="28" l="1"/>
  <c r="AJ4" i="28"/>
  <c r="AJ6" i="28" s="1"/>
  <c r="AJ7" i="28"/>
  <c r="AJ3" i="28"/>
  <c r="AJ5" i="28" s="1"/>
  <c r="AL11" i="28" l="1"/>
  <c r="AK4" i="28"/>
  <c r="AK6" i="28" s="1"/>
  <c r="AK7" i="28"/>
  <c r="AK3" i="28"/>
  <c r="AK5" i="28" s="1"/>
  <c r="AM11" i="28" l="1"/>
  <c r="AL4" i="28"/>
  <c r="AL6" i="28" s="1"/>
  <c r="AL7" i="28"/>
  <c r="AL3" i="28"/>
  <c r="AL5" i="28" s="1"/>
  <c r="AN11" i="28" l="1"/>
  <c r="AM4" i="28"/>
  <c r="AM6" i="28" s="1"/>
  <c r="AM7" i="28"/>
  <c r="AM3" i="28"/>
  <c r="AM5" i="28" s="1"/>
  <c r="P81" i="28" l="1"/>
  <c r="P82" i="28"/>
  <c r="Q83" i="28"/>
  <c r="P83" i="28"/>
  <c r="Q84" i="28"/>
  <c r="S81" i="28"/>
  <c r="R83" i="28"/>
  <c r="Q82" i="28"/>
  <c r="S82" i="28"/>
  <c r="S83" i="28"/>
  <c r="R84" i="28"/>
  <c r="R82" i="28"/>
  <c r="R81" i="28"/>
  <c r="P84" i="28"/>
  <c r="Q81" i="28"/>
  <c r="S106" i="28"/>
  <c r="S64" i="28"/>
  <c r="S94" i="28"/>
  <c r="S101" i="28"/>
  <c r="S76" i="28"/>
  <c r="S95" i="28"/>
  <c r="S107" i="28"/>
  <c r="S100" i="28"/>
  <c r="S77" i="28"/>
  <c r="S70" i="28"/>
  <c r="S65" i="28"/>
  <c r="S71" i="28"/>
  <c r="S93" i="28"/>
  <c r="Q100" i="28"/>
  <c r="P108" i="28"/>
  <c r="P93" i="28"/>
  <c r="Q93" i="28"/>
  <c r="R96" i="28"/>
  <c r="R105" i="28"/>
  <c r="P101" i="28"/>
  <c r="P95" i="28"/>
  <c r="Q106" i="28"/>
  <c r="R106" i="28"/>
  <c r="Q95" i="28"/>
  <c r="Q105" i="28"/>
  <c r="S105" i="28"/>
  <c r="R95" i="28"/>
  <c r="P100" i="28"/>
  <c r="Q107" i="28"/>
  <c r="R102" i="28"/>
  <c r="Q101" i="28"/>
  <c r="R107" i="28"/>
  <c r="P99" i="28"/>
  <c r="Q96" i="28"/>
  <c r="P106" i="28"/>
  <c r="P107" i="28"/>
  <c r="P96" i="28"/>
  <c r="R100" i="28"/>
  <c r="S99" i="28"/>
  <c r="P102" i="28"/>
  <c r="Q102" i="28"/>
  <c r="R94" i="28"/>
  <c r="R101" i="28"/>
  <c r="R99" i="28"/>
  <c r="Q94" i="28"/>
  <c r="Q99" i="28"/>
  <c r="Q108" i="28"/>
  <c r="R93" i="28"/>
  <c r="R108" i="28"/>
  <c r="P65" i="28"/>
  <c r="R71" i="28"/>
  <c r="R72" i="28"/>
  <c r="Q72" i="28"/>
  <c r="R69" i="28"/>
  <c r="Q71" i="28"/>
  <c r="P71" i="28"/>
  <c r="Q69" i="28"/>
  <c r="S69" i="28"/>
  <c r="P77" i="28"/>
  <c r="AN4" i="28"/>
  <c r="AN6" i="28" s="1"/>
  <c r="AN7" i="28"/>
  <c r="AN3" i="28"/>
  <c r="AN5" i="28" s="1"/>
  <c r="P46" i="27" l="1"/>
  <c r="P48" i="27"/>
  <c r="T46" i="27"/>
  <c r="T48" i="27"/>
  <c r="AC51" i="4"/>
  <c r="AC94" i="4" s="1"/>
  <c r="Y46" i="27"/>
  <c r="W46" i="27"/>
  <c r="X48" i="27"/>
  <c r="X25" i="28" s="1"/>
  <c r="X49" i="28" s="1"/>
  <c r="AB48" i="27"/>
  <c r="AB25" i="28" s="1"/>
  <c r="AB49" i="28" s="1"/>
  <c r="AC46" i="27"/>
  <c r="AA46" i="27"/>
  <c r="E13" i="27"/>
  <c r="E4" i="27" s="1"/>
  <c r="D7" i="27"/>
  <c r="D4" i="27"/>
  <c r="D3" i="27"/>
  <c r="D5" i="27" s="1"/>
  <c r="BB18" i="26"/>
  <c r="BB15" i="26"/>
  <c r="AP11" i="26"/>
  <c r="AQ11" i="26" s="1"/>
  <c r="AO7" i="26"/>
  <c r="AO4" i="26"/>
  <c r="AO6" i="26" s="1"/>
  <c r="AO3" i="26"/>
  <c r="AO5" i="26" s="1"/>
  <c r="AD15" i="26"/>
  <c r="AD18" i="26"/>
  <c r="Z18" i="26"/>
  <c r="Z15" i="26"/>
  <c r="D11" i="26"/>
  <c r="D4" i="26" s="1"/>
  <c r="D6" i="26" s="1"/>
  <c r="C7" i="26"/>
  <c r="C4" i="26"/>
  <c r="C6" i="26" s="1"/>
  <c r="C3" i="26"/>
  <c r="C5" i="26" s="1"/>
  <c r="AB70" i="6"/>
  <c r="AA70" i="6"/>
  <c r="AB69" i="6"/>
  <c r="AA69" i="6"/>
  <c r="AB68" i="6"/>
  <c r="AA68" i="6"/>
  <c r="AB67" i="6"/>
  <c r="AA67" i="6"/>
  <c r="AD68" i="6"/>
  <c r="AD69" i="6"/>
  <c r="AD70" i="6"/>
  <c r="AD67" i="6"/>
  <c r="Q19" i="7"/>
  <c r="Q28" i="7" s="1"/>
  <c r="AC51" i="6"/>
  <c r="AC50" i="6"/>
  <c r="AC49" i="6"/>
  <c r="AC48" i="6"/>
  <c r="AC46" i="6"/>
  <c r="AC45" i="6"/>
  <c r="AC44" i="6"/>
  <c r="AC43" i="6"/>
  <c r="AC72" i="6" s="1"/>
  <c r="AD59" i="6"/>
  <c r="AD58" i="6"/>
  <c r="AD18" i="6"/>
  <c r="AD15" i="6"/>
  <c r="AD20" i="2"/>
  <c r="AD15" i="2"/>
  <c r="Q18" i="4"/>
  <c r="P55" i="1"/>
  <c r="P56" i="1"/>
  <c r="P64" i="1"/>
  <c r="P65" i="1"/>
  <c r="AB53" i="4"/>
  <c r="N69" i="22"/>
  <c r="O69" i="22"/>
  <c r="P69" i="22"/>
  <c r="Q69" i="22"/>
  <c r="M69" i="22"/>
  <c r="N68" i="22"/>
  <c r="O68" i="22"/>
  <c r="P68" i="22"/>
  <c r="Q68" i="22"/>
  <c r="M68" i="22"/>
  <c r="N86" i="22"/>
  <c r="O86" i="22"/>
  <c r="P86" i="22"/>
  <c r="Q86" i="22"/>
  <c r="M86" i="22"/>
  <c r="M81" i="22"/>
  <c r="N81" i="22"/>
  <c r="O81" i="22"/>
  <c r="P81" i="22"/>
  <c r="Q81" i="22"/>
  <c r="N80" i="22"/>
  <c r="O80" i="22"/>
  <c r="P80" i="22"/>
  <c r="Q80" i="22"/>
  <c r="M80" i="22"/>
  <c r="Q78" i="22"/>
  <c r="P78" i="22"/>
  <c r="O78" i="22"/>
  <c r="N78" i="22"/>
  <c r="M78" i="22"/>
  <c r="N74" i="22"/>
  <c r="O74" i="22"/>
  <c r="P74" i="22"/>
  <c r="Q74" i="22"/>
  <c r="M74" i="22"/>
  <c r="AC26" i="7"/>
  <c r="R24" i="22"/>
  <c r="V24" i="22" s="1"/>
  <c r="AC93" i="4"/>
  <c r="AB93" i="4"/>
  <c r="AA93" i="4"/>
  <c r="Z93" i="4"/>
  <c r="J93" i="4"/>
  <c r="L93" i="4"/>
  <c r="N93" i="4"/>
  <c r="P93" i="4"/>
  <c r="AB90" i="4"/>
  <c r="AB106" i="4" s="1"/>
  <c r="AA90" i="4"/>
  <c r="AA106" i="4" s="1"/>
  <c r="Z90" i="4"/>
  <c r="Z106" i="4" s="1"/>
  <c r="Y90" i="4"/>
  <c r="Y106" i="4" s="1"/>
  <c r="X90" i="4"/>
  <c r="X106" i="4" s="1"/>
  <c r="W90" i="4"/>
  <c r="W106" i="4" s="1"/>
  <c r="AB89" i="4"/>
  <c r="AB105" i="4" s="1"/>
  <c r="AA89" i="4"/>
  <c r="AA105" i="4" s="1"/>
  <c r="Z89" i="4"/>
  <c r="Z105" i="4" s="1"/>
  <c r="Y89" i="4"/>
  <c r="Y105" i="4" s="1"/>
  <c r="X89" i="4"/>
  <c r="X105" i="4" s="1"/>
  <c r="W89" i="4"/>
  <c r="W105" i="4" s="1"/>
  <c r="AB87" i="4"/>
  <c r="AB103" i="4" s="1"/>
  <c r="AB80" i="4"/>
  <c r="AB96" i="4" s="1"/>
  <c r="AA87" i="4"/>
  <c r="AA80" i="4"/>
  <c r="AA96" i="4" s="1"/>
  <c r="Z87" i="4"/>
  <c r="Z103" i="4" s="1"/>
  <c r="Z80" i="4"/>
  <c r="Y87" i="4"/>
  <c r="Y103" i="4" s="1"/>
  <c r="Y80" i="4"/>
  <c r="Y96" i="4" s="1"/>
  <c r="X87" i="4"/>
  <c r="X103" i="4" s="1"/>
  <c r="X80" i="4"/>
  <c r="X96" i="4" s="1"/>
  <c r="W87" i="4"/>
  <c r="W80" i="4"/>
  <c r="W96" i="4" s="1"/>
  <c r="AB86" i="4"/>
  <c r="AB102" i="4" s="1"/>
  <c r="AA86" i="4"/>
  <c r="AA102" i="4" s="1"/>
  <c r="Z86" i="4"/>
  <c r="Z102" i="4" s="1"/>
  <c r="Y86" i="4"/>
  <c r="Y102" i="4" s="1"/>
  <c r="X86" i="4"/>
  <c r="X102" i="4" s="1"/>
  <c r="W39" i="4"/>
  <c r="W85" i="4" s="1"/>
  <c r="W101" i="4" s="1"/>
  <c r="AB85" i="4"/>
  <c r="AB101" i="4" s="1"/>
  <c r="AA85" i="4"/>
  <c r="AA101" i="4" s="1"/>
  <c r="Z85" i="4"/>
  <c r="Z101" i="4" s="1"/>
  <c r="Y85" i="4"/>
  <c r="Y101" i="4" s="1"/>
  <c r="X85" i="4"/>
  <c r="X101" i="4" s="1"/>
  <c r="AB84" i="4"/>
  <c r="AB100" i="4" s="1"/>
  <c r="AB121" i="4" s="1"/>
  <c r="AA84" i="4"/>
  <c r="AA100" i="4" s="1"/>
  <c r="AA121" i="4" s="1"/>
  <c r="Z84" i="4"/>
  <c r="Z100" i="4" s="1"/>
  <c r="Z121" i="4" s="1"/>
  <c r="Y84" i="4"/>
  <c r="Y100" i="4" s="1"/>
  <c r="Y121" i="4" s="1"/>
  <c r="X84" i="4"/>
  <c r="X100" i="4" s="1"/>
  <c r="X121" i="4" s="1"/>
  <c r="W100" i="4"/>
  <c r="AB83" i="4"/>
  <c r="AB99" i="4" s="1"/>
  <c r="AA83" i="4"/>
  <c r="AA99" i="4" s="1"/>
  <c r="Z83" i="4"/>
  <c r="Z99" i="4" s="1"/>
  <c r="Y83" i="4"/>
  <c r="Y99" i="4" s="1"/>
  <c r="X83" i="4"/>
  <c r="X99" i="4" s="1"/>
  <c r="W83" i="4"/>
  <c r="W99" i="4" s="1"/>
  <c r="AB81" i="4"/>
  <c r="AB97" i="4" s="1"/>
  <c r="AA81" i="4"/>
  <c r="AA97" i="4" s="1"/>
  <c r="Z81" i="4"/>
  <c r="Z97" i="4" s="1"/>
  <c r="Y81" i="4"/>
  <c r="Y97" i="4" s="1"/>
  <c r="X81" i="4"/>
  <c r="X97" i="4" s="1"/>
  <c r="W81" i="4"/>
  <c r="W97" i="4" s="1"/>
  <c r="AB78" i="4"/>
  <c r="AB94" i="4" s="1"/>
  <c r="AA78" i="4"/>
  <c r="Z78" i="4"/>
  <c r="Z94" i="4" s="1"/>
  <c r="Y78" i="4"/>
  <c r="Y94" i="4" s="1"/>
  <c r="X78" i="4"/>
  <c r="X94" i="4" s="1"/>
  <c r="W78" i="4"/>
  <c r="W94" i="4" s="1"/>
  <c r="E32" i="4"/>
  <c r="E78" i="4" s="1"/>
  <c r="E94" i="4" s="1"/>
  <c r="F78" i="4"/>
  <c r="F94" i="4" s="1"/>
  <c r="G32" i="4"/>
  <c r="G78" i="4" s="1"/>
  <c r="H78" i="4"/>
  <c r="H94" i="4" s="1"/>
  <c r="I32" i="4"/>
  <c r="I78" i="4" s="1"/>
  <c r="J78" i="4"/>
  <c r="J94" i="4" s="1"/>
  <c r="K32" i="4"/>
  <c r="K78" i="4" s="1"/>
  <c r="K94" i="4" s="1"/>
  <c r="L78" i="4"/>
  <c r="L94" i="4" s="1"/>
  <c r="M32" i="4"/>
  <c r="M78" i="4" s="1"/>
  <c r="M94" i="4" s="1"/>
  <c r="N78" i="4"/>
  <c r="N94" i="4" s="1"/>
  <c r="O32" i="4"/>
  <c r="O78" i="4" s="1"/>
  <c r="P78" i="4"/>
  <c r="P94" i="4" s="1"/>
  <c r="E34" i="4"/>
  <c r="E80" i="4" s="1"/>
  <c r="E96" i="4" s="1"/>
  <c r="F80" i="4"/>
  <c r="G34" i="4"/>
  <c r="G80" i="4" s="1"/>
  <c r="G96" i="4" s="1"/>
  <c r="H80" i="4"/>
  <c r="I34" i="4"/>
  <c r="I80" i="4" s="1"/>
  <c r="I96" i="4" s="1"/>
  <c r="J80" i="4"/>
  <c r="J96" i="4" s="1"/>
  <c r="K34" i="4"/>
  <c r="K80" i="4" s="1"/>
  <c r="L80" i="4"/>
  <c r="L96" i="4" s="1"/>
  <c r="M34" i="4"/>
  <c r="M80" i="4" s="1"/>
  <c r="N80" i="4"/>
  <c r="N96" i="4" s="1"/>
  <c r="O34" i="4"/>
  <c r="O80" i="4" s="1"/>
  <c r="P80" i="4"/>
  <c r="P96" i="4" s="1"/>
  <c r="E35" i="4"/>
  <c r="E81" i="4" s="1"/>
  <c r="F81" i="4"/>
  <c r="F97" i="4" s="1"/>
  <c r="G35" i="4"/>
  <c r="G81" i="4" s="1"/>
  <c r="H81" i="4"/>
  <c r="H97" i="4" s="1"/>
  <c r="I35" i="4"/>
  <c r="I81" i="4" s="1"/>
  <c r="J81" i="4"/>
  <c r="J97" i="4" s="1"/>
  <c r="K35" i="4"/>
  <c r="K81" i="4" s="1"/>
  <c r="K97" i="4" s="1"/>
  <c r="L81" i="4"/>
  <c r="L97" i="4" s="1"/>
  <c r="M35" i="4"/>
  <c r="M81" i="4" s="1"/>
  <c r="M97" i="4" s="1"/>
  <c r="N81" i="4"/>
  <c r="N97" i="4" s="1"/>
  <c r="O35" i="4"/>
  <c r="O81" i="4" s="1"/>
  <c r="O97" i="4" s="1"/>
  <c r="P81" i="4"/>
  <c r="E37" i="4"/>
  <c r="E83" i="4" s="1"/>
  <c r="E99" i="4" s="1"/>
  <c r="F83" i="4"/>
  <c r="F99" i="4" s="1"/>
  <c r="G37" i="4"/>
  <c r="G83" i="4" s="1"/>
  <c r="G99" i="4" s="1"/>
  <c r="H83" i="4"/>
  <c r="H99" i="4" s="1"/>
  <c r="I37" i="4"/>
  <c r="I83" i="4" s="1"/>
  <c r="I99" i="4" s="1"/>
  <c r="J83" i="4"/>
  <c r="J99" i="4" s="1"/>
  <c r="K37" i="4"/>
  <c r="K83" i="4" s="1"/>
  <c r="K99" i="4" s="1"/>
  <c r="L83" i="4"/>
  <c r="L99" i="4" s="1"/>
  <c r="M37" i="4"/>
  <c r="M83" i="4" s="1"/>
  <c r="M99" i="4" s="1"/>
  <c r="N83" i="4"/>
  <c r="N99" i="4" s="1"/>
  <c r="O37" i="4"/>
  <c r="O83" i="4" s="1"/>
  <c r="O99" i="4" s="1"/>
  <c r="P83" i="4"/>
  <c r="P99" i="4" s="1"/>
  <c r="E38" i="4"/>
  <c r="E84" i="4" s="1"/>
  <c r="E100" i="4" s="1"/>
  <c r="F84" i="4"/>
  <c r="F100" i="4" s="1"/>
  <c r="G38" i="4"/>
  <c r="G84" i="4" s="1"/>
  <c r="G100" i="4" s="1"/>
  <c r="H84" i="4"/>
  <c r="H100" i="4" s="1"/>
  <c r="I38" i="4"/>
  <c r="I84" i="4" s="1"/>
  <c r="I100" i="4" s="1"/>
  <c r="J84" i="4"/>
  <c r="J100" i="4" s="1"/>
  <c r="K38" i="4"/>
  <c r="K84" i="4" s="1"/>
  <c r="K100" i="4" s="1"/>
  <c r="L84" i="4"/>
  <c r="L100" i="4" s="1"/>
  <c r="M38" i="4"/>
  <c r="M84" i="4" s="1"/>
  <c r="M100" i="4" s="1"/>
  <c r="N84" i="4"/>
  <c r="N100" i="4" s="1"/>
  <c r="O38" i="4"/>
  <c r="O84" i="4" s="1"/>
  <c r="O100" i="4" s="1"/>
  <c r="P84" i="4"/>
  <c r="P100" i="4" s="1"/>
  <c r="D39" i="4"/>
  <c r="D40" i="4" s="1"/>
  <c r="F39" i="4"/>
  <c r="F40" i="4" s="1"/>
  <c r="H85" i="4"/>
  <c r="H101" i="4" s="1"/>
  <c r="I39" i="4"/>
  <c r="I85" i="4" s="1"/>
  <c r="I101" i="4" s="1"/>
  <c r="J85" i="4"/>
  <c r="J101" i="4" s="1"/>
  <c r="K39" i="4"/>
  <c r="K85" i="4" s="1"/>
  <c r="K101" i="4" s="1"/>
  <c r="L85" i="4"/>
  <c r="L101" i="4" s="1"/>
  <c r="M39" i="4"/>
  <c r="M85" i="4" s="1"/>
  <c r="M101" i="4" s="1"/>
  <c r="N85" i="4"/>
  <c r="N101" i="4" s="1"/>
  <c r="O39" i="4"/>
  <c r="O85" i="4" s="1"/>
  <c r="O101" i="4" s="1"/>
  <c r="P85" i="4"/>
  <c r="P101" i="4" s="1"/>
  <c r="H86" i="4"/>
  <c r="H102" i="4" s="1"/>
  <c r="I40" i="4"/>
  <c r="I86" i="4" s="1"/>
  <c r="I102" i="4" s="1"/>
  <c r="J86" i="4"/>
  <c r="J102" i="4" s="1"/>
  <c r="K40" i="4"/>
  <c r="K86" i="4" s="1"/>
  <c r="K102" i="4" s="1"/>
  <c r="L86" i="4"/>
  <c r="L102" i="4" s="1"/>
  <c r="M40" i="4"/>
  <c r="M86" i="4" s="1"/>
  <c r="M102" i="4" s="1"/>
  <c r="N86" i="4"/>
  <c r="N102" i="4" s="1"/>
  <c r="O40" i="4"/>
  <c r="O86" i="4" s="1"/>
  <c r="O102" i="4" s="1"/>
  <c r="P86" i="4"/>
  <c r="P102" i="4" s="1"/>
  <c r="E41" i="4"/>
  <c r="E87" i="4" s="1"/>
  <c r="E103" i="4" s="1"/>
  <c r="F87" i="4"/>
  <c r="F103" i="4" s="1"/>
  <c r="G41" i="4"/>
  <c r="G87" i="4" s="1"/>
  <c r="H87" i="4"/>
  <c r="H103" i="4" s="1"/>
  <c r="I41" i="4"/>
  <c r="I87" i="4" s="1"/>
  <c r="J87" i="4"/>
  <c r="J103" i="4" s="1"/>
  <c r="K41" i="4"/>
  <c r="K87" i="4" s="1"/>
  <c r="L87" i="4"/>
  <c r="L103" i="4" s="1"/>
  <c r="M41" i="4"/>
  <c r="N87" i="4"/>
  <c r="N103" i="4" s="1"/>
  <c r="O41" i="4"/>
  <c r="P87" i="4"/>
  <c r="P103" i="4" s="1"/>
  <c r="E43" i="4"/>
  <c r="E89" i="4" s="1"/>
  <c r="E105" i="4" s="1"/>
  <c r="F89" i="4"/>
  <c r="F105" i="4" s="1"/>
  <c r="G43" i="4"/>
  <c r="G89" i="4" s="1"/>
  <c r="G105" i="4" s="1"/>
  <c r="H89" i="4"/>
  <c r="H105" i="4" s="1"/>
  <c r="I43" i="4"/>
  <c r="I89" i="4" s="1"/>
  <c r="I105" i="4" s="1"/>
  <c r="J89" i="4"/>
  <c r="J105" i="4" s="1"/>
  <c r="K43" i="4"/>
  <c r="K89" i="4" s="1"/>
  <c r="K105" i="4" s="1"/>
  <c r="L89" i="4"/>
  <c r="L105" i="4" s="1"/>
  <c r="M43" i="4"/>
  <c r="M89" i="4" s="1"/>
  <c r="M105" i="4" s="1"/>
  <c r="N89" i="4"/>
  <c r="N105" i="4" s="1"/>
  <c r="O43" i="4"/>
  <c r="O89" i="4" s="1"/>
  <c r="O105" i="4" s="1"/>
  <c r="P89" i="4"/>
  <c r="P105" i="4" s="1"/>
  <c r="E44" i="4"/>
  <c r="E90" i="4" s="1"/>
  <c r="E106" i="4" s="1"/>
  <c r="F90" i="4"/>
  <c r="F106" i="4" s="1"/>
  <c r="G44" i="4"/>
  <c r="G90" i="4" s="1"/>
  <c r="G106" i="4" s="1"/>
  <c r="H90" i="4"/>
  <c r="H106" i="4" s="1"/>
  <c r="I44" i="4"/>
  <c r="I90" i="4" s="1"/>
  <c r="I106" i="4" s="1"/>
  <c r="J90" i="4"/>
  <c r="J106" i="4" s="1"/>
  <c r="K44" i="4"/>
  <c r="K90" i="4" s="1"/>
  <c r="K106" i="4" s="1"/>
  <c r="L90" i="4"/>
  <c r="L106" i="4" s="1"/>
  <c r="M44" i="4"/>
  <c r="M90" i="4" s="1"/>
  <c r="M106" i="4" s="1"/>
  <c r="N90" i="4"/>
  <c r="N106" i="4" s="1"/>
  <c r="O44" i="4"/>
  <c r="O90" i="4" s="1"/>
  <c r="O106" i="4" s="1"/>
  <c r="P90" i="4"/>
  <c r="P106" i="4" s="1"/>
  <c r="D80" i="4"/>
  <c r="D96" i="4" s="1"/>
  <c r="D78" i="4"/>
  <c r="D94" i="4" s="1"/>
  <c r="D81" i="4"/>
  <c r="D97" i="4" s="1"/>
  <c r="D83" i="4"/>
  <c r="D99" i="4" s="1"/>
  <c r="D84" i="4"/>
  <c r="D100" i="4" s="1"/>
  <c r="D87" i="4"/>
  <c r="D103" i="4" s="1"/>
  <c r="D89" i="4"/>
  <c r="D105" i="4" s="1"/>
  <c r="D90" i="4"/>
  <c r="D106" i="4" s="1"/>
  <c r="AB54" i="4"/>
  <c r="AC54" i="4"/>
  <c r="AC103" i="4" s="1"/>
  <c r="AA54" i="4"/>
  <c r="AC53" i="4"/>
  <c r="AC96" i="4" s="1"/>
  <c r="AA53" i="4"/>
  <c r="AB51" i="4"/>
  <c r="AA51" i="4"/>
  <c r="C4" i="6"/>
  <c r="C6" i="6" s="1"/>
  <c r="D11" i="6"/>
  <c r="D4" i="6" s="1"/>
  <c r="D6" i="6" s="1"/>
  <c r="D4" i="4"/>
  <c r="D6" i="4" s="1"/>
  <c r="E11" i="4"/>
  <c r="E4" i="4" s="1"/>
  <c r="E6" i="4" s="1"/>
  <c r="D4" i="7"/>
  <c r="D6" i="7" s="1"/>
  <c r="E11" i="7"/>
  <c r="E4" i="7" s="1"/>
  <c r="E6" i="7" s="1"/>
  <c r="J19" i="7"/>
  <c r="H23" i="7" s="1"/>
  <c r="Y19" i="7"/>
  <c r="X19" i="7" s="1"/>
  <c r="L28" i="7"/>
  <c r="M19" i="7"/>
  <c r="M28" i="7" s="1"/>
  <c r="N28" i="7"/>
  <c r="O19" i="7"/>
  <c r="O28" i="7" s="1"/>
  <c r="P28" i="7"/>
  <c r="C4" i="2"/>
  <c r="C6" i="2" s="1"/>
  <c r="D11" i="2"/>
  <c r="E11" i="2" s="1"/>
  <c r="F11" i="2" s="1"/>
  <c r="C3" i="6"/>
  <c r="C5" i="6" s="1"/>
  <c r="H19" i="22"/>
  <c r="H52" i="22" s="1"/>
  <c r="H45" i="22"/>
  <c r="D3" i="4"/>
  <c r="D5" i="4" s="1"/>
  <c r="D3" i="7"/>
  <c r="D5" i="7" s="1"/>
  <c r="B3" i="13"/>
  <c r="B5" i="13" s="1"/>
  <c r="C11" i="13"/>
  <c r="C4" i="13" s="1"/>
  <c r="C6" i="13" s="1"/>
  <c r="C3" i="2"/>
  <c r="C5" i="2" s="1"/>
  <c r="G19" i="22"/>
  <c r="G52" i="22" s="1"/>
  <c r="G45" i="22"/>
  <c r="H18" i="22"/>
  <c r="H33" i="22" s="1"/>
  <c r="G18" i="22"/>
  <c r="G33" i="22" s="1"/>
  <c r="B7" i="13"/>
  <c r="B4" i="13"/>
  <c r="B6" i="13" s="1"/>
  <c r="H105" i="22"/>
  <c r="H115" i="22" s="1"/>
  <c r="H108" i="22"/>
  <c r="G105" i="22"/>
  <c r="G115" i="22" s="1"/>
  <c r="G108" i="22"/>
  <c r="Q24" i="22"/>
  <c r="G24" i="22"/>
  <c r="H24" i="22"/>
  <c r="H20" i="22"/>
  <c r="H21" i="22"/>
  <c r="G21" i="22"/>
  <c r="G20" i="22"/>
  <c r="D7" i="4"/>
  <c r="D7" i="7"/>
  <c r="X11" i="7"/>
  <c r="Y11" i="7" s="1"/>
  <c r="Z11" i="7" s="1"/>
  <c r="AA11" i="7" s="1"/>
  <c r="AB11" i="7" s="1"/>
  <c r="AC11" i="7" s="1"/>
  <c r="C7" i="2"/>
  <c r="C7" i="6"/>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G9" i="1"/>
  <c r="F9" i="1"/>
  <c r="E9" i="1"/>
  <c r="D9" i="1"/>
  <c r="D3" i="22"/>
  <c r="E3" i="22" s="1"/>
  <c r="F3" i="22" s="1"/>
  <c r="G3" i="22" s="1"/>
  <c r="H3" i="22" s="1"/>
  <c r="I3" i="22" s="1"/>
  <c r="J3" i="22" s="1"/>
  <c r="N3" i="22"/>
  <c r="O3" i="22" s="1"/>
  <c r="P3" i="22" s="1"/>
  <c r="Q3" i="22" s="1"/>
  <c r="R3" i="22" s="1"/>
  <c r="S3" i="22" s="1"/>
  <c r="T3" i="22" s="1"/>
  <c r="R168" i="17"/>
  <c r="S168" i="17"/>
  <c r="T168" i="17"/>
  <c r="U168" i="17"/>
  <c r="V168" i="17"/>
  <c r="W168" i="17"/>
  <c r="X168" i="17"/>
  <c r="Q168" i="17"/>
  <c r="T117" i="17"/>
  <c r="V148" i="17"/>
  <c r="U148" i="17"/>
  <c r="Y148" i="17"/>
  <c r="Y150" i="17" s="1"/>
  <c r="X148" i="17"/>
  <c r="X151" i="17" s="1"/>
  <c r="W148" i="17"/>
  <c r="W151" i="17" s="1"/>
  <c r="AA148" i="17"/>
  <c r="Z148" i="17"/>
  <c r="Y117" i="17"/>
  <c r="X117" i="17"/>
  <c r="W117" i="17"/>
  <c r="V117" i="17"/>
  <c r="U117" i="17"/>
  <c r="S117" i="17"/>
  <c r="R117" i="17"/>
  <c r="Q117" i="17"/>
  <c r="P117" i="17"/>
  <c r="O117" i="17"/>
  <c r="AA117" i="17"/>
  <c r="Z104" i="17"/>
  <c r="Z107" i="17" s="1"/>
  <c r="V104" i="17"/>
  <c r="V107" i="17" s="1"/>
  <c r="V110" i="17" s="1"/>
  <c r="U104" i="17"/>
  <c r="U107" i="17" s="1"/>
  <c r="Q26" i="17"/>
  <c r="Q22" i="17"/>
  <c r="R30" i="17"/>
  <c r="R31" i="17" s="1"/>
  <c r="R26" i="17"/>
  <c r="R22" i="17"/>
  <c r="S30" i="17"/>
  <c r="S31" i="17" s="1"/>
  <c r="T38" i="17"/>
  <c r="S26" i="17"/>
  <c r="S22" i="17"/>
  <c r="X22" i="17"/>
  <c r="W22" i="17"/>
  <c r="V22" i="17"/>
  <c r="U22" i="17"/>
  <c r="T22" i="17"/>
  <c r="T26" i="17"/>
  <c r="X107" i="17"/>
  <c r="X109" i="17" s="1"/>
  <c r="W107" i="17"/>
  <c r="W111" i="17" s="1"/>
  <c r="T30" i="17"/>
  <c r="T31" i="17" s="1"/>
  <c r="U26" i="17"/>
  <c r="W26" i="17"/>
  <c r="V26" i="17"/>
  <c r="Y18" i="17"/>
  <c r="Y22" i="17" s="1"/>
  <c r="Y30" i="17"/>
  <c r="Y31" i="17" s="1"/>
  <c r="X30" i="17"/>
  <c r="X31" i="17" s="1"/>
  <c r="X131" i="17"/>
  <c r="W131" i="17"/>
  <c r="X26" i="17"/>
  <c r="P104" i="17"/>
  <c r="P107" i="17" s="1"/>
  <c r="O104" i="17"/>
  <c r="O107" i="17" s="1"/>
  <c r="AA107" i="17"/>
  <c r="AA109" i="17" s="1"/>
  <c r="Y107" i="17"/>
  <c r="Y111" i="17" s="1"/>
  <c r="S107" i="17"/>
  <c r="S110" i="17" s="1"/>
  <c r="T107" i="17"/>
  <c r="T109" i="17" s="1"/>
  <c r="R107" i="17"/>
  <c r="R110" i="17" s="1"/>
  <c r="Q107" i="17"/>
  <c r="Q110" i="17" s="1"/>
  <c r="Z26" i="17"/>
  <c r="Y26" i="17"/>
  <c r="AA67" i="17"/>
  <c r="AA66" i="17"/>
  <c r="AA26" i="17"/>
  <c r="M77" i="17"/>
  <c r="N77" i="17"/>
  <c r="V98" i="17"/>
  <c r="W98" i="17"/>
  <c r="P98" i="17"/>
  <c r="Z97" i="17"/>
  <c r="Y97" i="17"/>
  <c r="X97" i="17"/>
  <c r="W97" i="17"/>
  <c r="V97" i="17"/>
  <c r="U97" i="17"/>
  <c r="T97" i="17"/>
  <c r="S97" i="17"/>
  <c r="R97" i="17"/>
  <c r="Q97" i="17"/>
  <c r="P97" i="17"/>
  <c r="AA97" i="17"/>
  <c r="T90" i="17"/>
  <c r="T98" i="17" s="1"/>
  <c r="S90" i="17"/>
  <c r="S98" i="17" s="1"/>
  <c r="R90" i="17"/>
  <c r="R98" i="17" s="1"/>
  <c r="Q90" i="17"/>
  <c r="Q98" i="17" s="1"/>
  <c r="U90" i="17"/>
  <c r="U98" i="17" s="1"/>
  <c r="W93" i="17"/>
  <c r="Y90" i="17"/>
  <c r="Y93" i="17" s="1"/>
  <c r="Y94" i="17" s="1"/>
  <c r="Z90" i="17"/>
  <c r="Z93" i="17" s="1"/>
  <c r="Z94" i="17" s="1"/>
  <c r="AA90" i="17"/>
  <c r="AA93" i="17" s="1"/>
  <c r="AA94" i="17" s="1"/>
  <c r="X90" i="17"/>
  <c r="X93" i="17" s="1"/>
  <c r="X94" i="17" s="1"/>
  <c r="X82" i="17"/>
  <c r="W82" i="17"/>
  <c r="V82" i="17"/>
  <c r="U82" i="17"/>
  <c r="T82" i="17"/>
  <c r="S82" i="17"/>
  <c r="R82" i="17"/>
  <c r="Q82" i="17"/>
  <c r="P82" i="17"/>
  <c r="O82" i="17"/>
  <c r="Y81" i="17"/>
  <c r="AA81" i="17"/>
  <c r="Z81" i="17"/>
  <c r="S67" i="17"/>
  <c r="T67" i="17"/>
  <c r="U67" i="17"/>
  <c r="V67" i="17"/>
  <c r="W67" i="17"/>
  <c r="X67" i="17"/>
  <c r="Y67" i="17"/>
  <c r="Z67" i="17"/>
  <c r="R67" i="17"/>
  <c r="R66" i="17"/>
  <c r="S66" i="17"/>
  <c r="T66" i="17"/>
  <c r="U66" i="17"/>
  <c r="V66" i="17"/>
  <c r="W66" i="17"/>
  <c r="X66" i="17"/>
  <c r="Y66" i="17"/>
  <c r="Z66" i="17"/>
  <c r="T52" i="17"/>
  <c r="Z52" i="17"/>
  <c r="Y52" i="17"/>
  <c r="X52" i="17"/>
  <c r="W52" i="17"/>
  <c r="V52" i="17"/>
  <c r="U52" i="17"/>
  <c r="S52" i="17"/>
  <c r="R52" i="17"/>
  <c r="Q52" i="17"/>
  <c r="P52" i="17"/>
  <c r="O52" i="17"/>
  <c r="N52" i="17"/>
  <c r="M52" i="17"/>
  <c r="AA52" i="17"/>
  <c r="E3" i="17"/>
  <c r="F3" i="17" s="1"/>
  <c r="G3" i="17" s="1"/>
  <c r="H3" i="17" s="1"/>
  <c r="I3" i="17" s="1"/>
  <c r="J3" i="17" s="1"/>
  <c r="K3" i="17" s="1"/>
  <c r="L3" i="17" s="1"/>
  <c r="M3" i="17" s="1"/>
  <c r="N3" i="17" s="1"/>
  <c r="O3" i="17" s="1"/>
  <c r="P3" i="17" s="1"/>
  <c r="Q3" i="17" s="1"/>
  <c r="R3" i="17" s="1"/>
  <c r="S3" i="17" s="1"/>
  <c r="T3" i="17" s="1"/>
  <c r="U3" i="17" s="1"/>
  <c r="V3" i="17" s="1"/>
  <c r="W3" i="17" s="1"/>
  <c r="X3" i="17" s="1"/>
  <c r="Y3" i="17" s="1"/>
  <c r="Z3" i="17" s="1"/>
  <c r="AA3" i="17" s="1"/>
  <c r="AB3" i="17" s="1"/>
  <c r="AC3" i="17" s="1"/>
  <c r="AD3" i="17" s="1"/>
  <c r="AE3" i="17" s="1"/>
  <c r="AF3" i="17" s="1"/>
  <c r="AG3" i="17" s="1"/>
  <c r="AH3" i="17" s="1"/>
  <c r="AA191" i="8"/>
  <c r="E50" i="15"/>
  <c r="E49" i="15"/>
  <c r="E48" i="15"/>
  <c r="E47" i="15"/>
  <c r="P76" i="15"/>
  <c r="O76" i="15"/>
  <c r="N76" i="15"/>
  <c r="M76" i="15"/>
  <c r="L76" i="15"/>
  <c r="K76" i="15"/>
  <c r="J76" i="15"/>
  <c r="I76" i="15"/>
  <c r="H76" i="15"/>
  <c r="G76" i="15"/>
  <c r="F76" i="15"/>
  <c r="E76" i="15"/>
  <c r="P75" i="15"/>
  <c r="O75" i="15"/>
  <c r="N75" i="15"/>
  <c r="M75" i="15"/>
  <c r="L75" i="15"/>
  <c r="K75" i="15"/>
  <c r="J75" i="15"/>
  <c r="I75" i="15"/>
  <c r="H75" i="15"/>
  <c r="G75" i="15"/>
  <c r="F75" i="15"/>
  <c r="E75" i="15"/>
  <c r="P74" i="15"/>
  <c r="O74" i="15"/>
  <c r="N74" i="15"/>
  <c r="M74" i="15"/>
  <c r="L74" i="15"/>
  <c r="K74" i="15"/>
  <c r="J74" i="15"/>
  <c r="I74" i="15"/>
  <c r="H74" i="15"/>
  <c r="G74" i="15"/>
  <c r="F74" i="15"/>
  <c r="E74" i="15"/>
  <c r="P73" i="15"/>
  <c r="O73" i="15"/>
  <c r="N73" i="15"/>
  <c r="M73" i="15"/>
  <c r="L73" i="15"/>
  <c r="K73" i="15"/>
  <c r="J73" i="15"/>
  <c r="I73" i="15"/>
  <c r="H73" i="15"/>
  <c r="G73" i="15"/>
  <c r="F73" i="15"/>
  <c r="E73" i="15"/>
  <c r="P72" i="15"/>
  <c r="O72" i="15"/>
  <c r="N72" i="15"/>
  <c r="M72" i="15"/>
  <c r="L72" i="15"/>
  <c r="K72" i="15"/>
  <c r="J72" i="15"/>
  <c r="I72" i="15"/>
  <c r="H72" i="15"/>
  <c r="G72" i="15"/>
  <c r="F72" i="15"/>
  <c r="E72" i="15"/>
  <c r="P71" i="15"/>
  <c r="O71" i="15"/>
  <c r="N71" i="15"/>
  <c r="M71" i="15"/>
  <c r="L71" i="15"/>
  <c r="K71" i="15"/>
  <c r="J71" i="15"/>
  <c r="I71" i="15"/>
  <c r="H71" i="15"/>
  <c r="G71" i="15"/>
  <c r="F71" i="15"/>
  <c r="E71" i="15"/>
  <c r="P70" i="15"/>
  <c r="O70" i="15"/>
  <c r="N70" i="15"/>
  <c r="M70" i="15"/>
  <c r="L70" i="15"/>
  <c r="K70" i="15"/>
  <c r="J70" i="15"/>
  <c r="I70" i="15"/>
  <c r="H70" i="15"/>
  <c r="G70" i="15"/>
  <c r="F70" i="15"/>
  <c r="E70" i="15"/>
  <c r="P67" i="15"/>
  <c r="O67" i="15"/>
  <c r="N67" i="15"/>
  <c r="M67" i="15"/>
  <c r="L67" i="15"/>
  <c r="K67" i="15"/>
  <c r="J67" i="15"/>
  <c r="I67" i="15"/>
  <c r="H67" i="15"/>
  <c r="G67" i="15"/>
  <c r="F67" i="15"/>
  <c r="E67" i="15"/>
  <c r="P66" i="15"/>
  <c r="O66" i="15"/>
  <c r="N66" i="15"/>
  <c r="M66" i="15"/>
  <c r="L66" i="15"/>
  <c r="K66" i="15"/>
  <c r="J66" i="15"/>
  <c r="I66" i="15"/>
  <c r="H66" i="15"/>
  <c r="G66" i="15"/>
  <c r="F66" i="15"/>
  <c r="E66" i="15"/>
  <c r="P65" i="15"/>
  <c r="O65" i="15"/>
  <c r="N65" i="15"/>
  <c r="M65" i="15"/>
  <c r="L65" i="15"/>
  <c r="K65" i="15"/>
  <c r="J65" i="15"/>
  <c r="I65" i="15"/>
  <c r="H65" i="15"/>
  <c r="G65" i="15"/>
  <c r="F65" i="15"/>
  <c r="E65" i="15"/>
  <c r="P64" i="15"/>
  <c r="O64" i="15"/>
  <c r="N64" i="15"/>
  <c r="M64" i="15"/>
  <c r="L64" i="15"/>
  <c r="K64" i="15"/>
  <c r="J64" i="15"/>
  <c r="I64" i="15"/>
  <c r="H64" i="15"/>
  <c r="G64" i="15"/>
  <c r="F64" i="15"/>
  <c r="E64" i="15"/>
  <c r="P63" i="15"/>
  <c r="O63" i="15"/>
  <c r="N63" i="15"/>
  <c r="M63" i="15"/>
  <c r="L63" i="15"/>
  <c r="K63" i="15"/>
  <c r="J63" i="15"/>
  <c r="I63" i="15"/>
  <c r="H63" i="15"/>
  <c r="G63" i="15"/>
  <c r="F63" i="15"/>
  <c r="E63" i="15"/>
  <c r="P62" i="15"/>
  <c r="O62" i="15"/>
  <c r="N62" i="15"/>
  <c r="M62" i="15"/>
  <c r="L62" i="15"/>
  <c r="K62" i="15"/>
  <c r="J62" i="15"/>
  <c r="I62" i="15"/>
  <c r="H62" i="15"/>
  <c r="G62" i="15"/>
  <c r="F62" i="15"/>
  <c r="E62" i="15"/>
  <c r="P61" i="15"/>
  <c r="O61" i="15"/>
  <c r="N61" i="15"/>
  <c r="M61" i="15"/>
  <c r="L61" i="15"/>
  <c r="K61" i="15"/>
  <c r="J61" i="15"/>
  <c r="I61" i="15"/>
  <c r="H61" i="15"/>
  <c r="G61" i="15"/>
  <c r="F61" i="15"/>
  <c r="E61" i="15"/>
  <c r="P58" i="15"/>
  <c r="O58" i="15"/>
  <c r="N58" i="15"/>
  <c r="M58" i="15"/>
  <c r="L58" i="15"/>
  <c r="K58" i="15"/>
  <c r="J58" i="15"/>
  <c r="I58" i="15"/>
  <c r="H58" i="15"/>
  <c r="G58" i="15"/>
  <c r="F58" i="15"/>
  <c r="E58" i="15"/>
  <c r="P57" i="15"/>
  <c r="O57" i="15"/>
  <c r="N57" i="15"/>
  <c r="M57" i="15"/>
  <c r="L57" i="15"/>
  <c r="K57" i="15"/>
  <c r="J57" i="15"/>
  <c r="I57" i="15"/>
  <c r="H57" i="15"/>
  <c r="G57" i="15"/>
  <c r="F57" i="15"/>
  <c r="E57" i="15"/>
  <c r="P56" i="15"/>
  <c r="O56" i="15"/>
  <c r="N56" i="15"/>
  <c r="M56" i="15"/>
  <c r="L56" i="15"/>
  <c r="K56" i="15"/>
  <c r="J56" i="15"/>
  <c r="I56" i="15"/>
  <c r="H56" i="15"/>
  <c r="G56" i="15"/>
  <c r="F56" i="15"/>
  <c r="E56" i="15"/>
  <c r="P55" i="15"/>
  <c r="O55" i="15"/>
  <c r="N55" i="15"/>
  <c r="M55" i="15"/>
  <c r="L55" i="15"/>
  <c r="K55" i="15"/>
  <c r="J55" i="15"/>
  <c r="I55" i="15"/>
  <c r="H55" i="15"/>
  <c r="G55" i="15"/>
  <c r="F55" i="15"/>
  <c r="E55" i="15"/>
  <c r="P54" i="15"/>
  <c r="O54" i="15"/>
  <c r="N54" i="15"/>
  <c r="M54" i="15"/>
  <c r="L54" i="15"/>
  <c r="K54" i="15"/>
  <c r="J54" i="15"/>
  <c r="I54" i="15"/>
  <c r="H54" i="15"/>
  <c r="G54" i="15"/>
  <c r="F54" i="15"/>
  <c r="E54" i="15"/>
  <c r="P53" i="15"/>
  <c r="O53" i="15"/>
  <c r="N53" i="15"/>
  <c r="M53" i="15"/>
  <c r="L53" i="15"/>
  <c r="K53" i="15"/>
  <c r="J53" i="15"/>
  <c r="I53" i="15"/>
  <c r="H53" i="15"/>
  <c r="G53" i="15"/>
  <c r="F53" i="15"/>
  <c r="E53"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F50" i="15"/>
  <c r="F49" i="15"/>
  <c r="F48" i="15"/>
  <c r="F47" i="15"/>
  <c r="F45" i="15"/>
  <c r="F44" i="15"/>
  <c r="F43" i="15"/>
  <c r="F42" i="15"/>
  <c r="F41" i="15"/>
  <c r="F40" i="15"/>
  <c r="F39" i="15"/>
  <c r="Q568" i="8"/>
  <c r="Q567" i="8"/>
  <c r="Q621" i="8" s="1"/>
  <c r="Q566" i="8"/>
  <c r="Q620" i="8" s="1"/>
  <c r="Q565" i="8"/>
  <c r="Q619" i="8" s="1"/>
  <c r="Q516" i="8"/>
  <c r="Q515" i="8"/>
  <c r="Q514" i="8"/>
  <c r="Q513" i="8"/>
  <c r="Q510" i="8"/>
  <c r="Q509" i="8"/>
  <c r="Q508" i="8"/>
  <c r="Q507" i="8"/>
  <c r="Q504" i="8"/>
  <c r="Q503" i="8"/>
  <c r="Q557" i="8" s="1"/>
  <c r="Q502" i="8"/>
  <c r="Q556" i="8" s="1"/>
  <c r="Q501" i="8"/>
  <c r="Q555" i="8" s="1"/>
  <c r="S76" i="15"/>
  <c r="R76" i="15"/>
  <c r="Q76" i="15"/>
  <c r="S75" i="15"/>
  <c r="R75" i="15"/>
  <c r="Q75" i="15"/>
  <c r="S74" i="15"/>
  <c r="R74" i="15"/>
  <c r="Q74" i="15"/>
  <c r="S73" i="15"/>
  <c r="R73" i="15"/>
  <c r="Q73" i="15"/>
  <c r="S72" i="15"/>
  <c r="R72" i="15"/>
  <c r="Q72" i="15"/>
  <c r="S71" i="15"/>
  <c r="R71" i="15"/>
  <c r="Q71" i="15"/>
  <c r="S70" i="15"/>
  <c r="R70" i="15"/>
  <c r="Q70" i="15"/>
  <c r="S67" i="15"/>
  <c r="R67" i="15"/>
  <c r="Q67" i="15"/>
  <c r="S66" i="15"/>
  <c r="R66" i="15"/>
  <c r="Q66" i="15"/>
  <c r="S65" i="15"/>
  <c r="R65" i="15"/>
  <c r="Q65" i="15"/>
  <c r="S64" i="15"/>
  <c r="R64" i="15"/>
  <c r="Q64" i="15"/>
  <c r="S63" i="15"/>
  <c r="R63" i="15"/>
  <c r="Q63" i="15"/>
  <c r="S62" i="15"/>
  <c r="R62" i="15"/>
  <c r="Q62" i="15"/>
  <c r="S61" i="15"/>
  <c r="R61" i="15"/>
  <c r="Q61" i="15"/>
  <c r="S58" i="15"/>
  <c r="R58" i="15"/>
  <c r="Q58" i="15"/>
  <c r="S57" i="15"/>
  <c r="R57" i="15"/>
  <c r="Q57" i="15"/>
  <c r="S56" i="15"/>
  <c r="R56" i="15"/>
  <c r="Q56" i="15"/>
  <c r="S55" i="15"/>
  <c r="R55" i="15"/>
  <c r="Q55" i="15"/>
  <c r="S54" i="15"/>
  <c r="R54" i="15"/>
  <c r="Q54" i="15"/>
  <c r="S53" i="15"/>
  <c r="R53" i="15"/>
  <c r="Q53" i="15"/>
  <c r="Y76" i="15"/>
  <c r="X76" i="15"/>
  <c r="W76" i="15"/>
  <c r="V76" i="15"/>
  <c r="U76" i="15"/>
  <c r="T76" i="15"/>
  <c r="Y75" i="15"/>
  <c r="X75" i="15"/>
  <c r="W75" i="15"/>
  <c r="V75" i="15"/>
  <c r="U75" i="15"/>
  <c r="T75" i="15"/>
  <c r="Y74" i="15"/>
  <c r="X74" i="15"/>
  <c r="W74" i="15"/>
  <c r="V74" i="15"/>
  <c r="U74" i="15"/>
  <c r="T74" i="15"/>
  <c r="Y73" i="15"/>
  <c r="X73" i="15"/>
  <c r="W73" i="15"/>
  <c r="V73" i="15"/>
  <c r="U73" i="15"/>
  <c r="T73" i="15"/>
  <c r="Y72" i="15"/>
  <c r="X72" i="15"/>
  <c r="W72" i="15"/>
  <c r="V72" i="15"/>
  <c r="U72" i="15"/>
  <c r="T72" i="15"/>
  <c r="Y71" i="15"/>
  <c r="X71" i="15"/>
  <c r="W71" i="15"/>
  <c r="V71" i="15"/>
  <c r="U71" i="15"/>
  <c r="T71" i="15"/>
  <c r="Y70" i="15"/>
  <c r="X70" i="15"/>
  <c r="W70" i="15"/>
  <c r="V70" i="15"/>
  <c r="U70" i="15"/>
  <c r="T70" i="15"/>
  <c r="Y67" i="15"/>
  <c r="X67" i="15"/>
  <c r="W67" i="15"/>
  <c r="V67" i="15"/>
  <c r="U67" i="15"/>
  <c r="T67" i="15"/>
  <c r="Y66" i="15"/>
  <c r="X66" i="15"/>
  <c r="W66" i="15"/>
  <c r="V66" i="15"/>
  <c r="U66" i="15"/>
  <c r="T66" i="15"/>
  <c r="Y65" i="15"/>
  <c r="X65" i="15"/>
  <c r="W65" i="15"/>
  <c r="V65" i="15"/>
  <c r="U65" i="15"/>
  <c r="T65" i="15"/>
  <c r="Y64" i="15"/>
  <c r="X64" i="15"/>
  <c r="W64" i="15"/>
  <c r="V64" i="15"/>
  <c r="U64" i="15"/>
  <c r="T64" i="15"/>
  <c r="Y63" i="15"/>
  <c r="X63" i="15"/>
  <c r="W63" i="15"/>
  <c r="V63" i="15"/>
  <c r="U63" i="15"/>
  <c r="T63" i="15"/>
  <c r="Y62" i="15"/>
  <c r="X62" i="15"/>
  <c r="W62" i="15"/>
  <c r="V62" i="15"/>
  <c r="U62" i="15"/>
  <c r="T62" i="15"/>
  <c r="Y61" i="15"/>
  <c r="X61" i="15"/>
  <c r="W61" i="15"/>
  <c r="V61" i="15"/>
  <c r="U61" i="15"/>
  <c r="T61" i="15"/>
  <c r="Y58" i="15"/>
  <c r="X58" i="15"/>
  <c r="W58" i="15"/>
  <c r="V58" i="15"/>
  <c r="U58" i="15"/>
  <c r="T58" i="15"/>
  <c r="Y57" i="15"/>
  <c r="X57" i="15"/>
  <c r="W57" i="15"/>
  <c r="V57" i="15"/>
  <c r="U57" i="15"/>
  <c r="T57" i="15"/>
  <c r="Y56" i="15"/>
  <c r="X56" i="15"/>
  <c r="W56" i="15"/>
  <c r="V56" i="15"/>
  <c r="U56" i="15"/>
  <c r="T56" i="15"/>
  <c r="Y55" i="15"/>
  <c r="X55" i="15"/>
  <c r="W55" i="15"/>
  <c r="V55" i="15"/>
  <c r="U55" i="15"/>
  <c r="T55" i="15"/>
  <c r="Y54" i="15"/>
  <c r="X54" i="15"/>
  <c r="W54" i="15"/>
  <c r="V54" i="15"/>
  <c r="U54" i="15"/>
  <c r="T54" i="15"/>
  <c r="Y53" i="15"/>
  <c r="X53" i="15"/>
  <c r="W53" i="15"/>
  <c r="V53" i="15"/>
  <c r="U53" i="15"/>
  <c r="T53" i="15"/>
  <c r="AE76" i="15"/>
  <c r="AD76" i="15"/>
  <c r="AC76" i="15"/>
  <c r="AB76" i="15"/>
  <c r="AA76" i="15"/>
  <c r="Z76" i="15"/>
  <c r="AE75" i="15"/>
  <c r="AD75" i="15"/>
  <c r="AC75" i="15"/>
  <c r="AB75" i="15"/>
  <c r="AA75" i="15"/>
  <c r="Z75" i="15"/>
  <c r="AE74" i="15"/>
  <c r="AD74" i="15"/>
  <c r="AC74" i="15"/>
  <c r="AB74" i="15"/>
  <c r="AA74" i="15"/>
  <c r="Z74" i="15"/>
  <c r="AE73" i="15"/>
  <c r="AD73" i="15"/>
  <c r="AC73" i="15"/>
  <c r="AB73" i="15"/>
  <c r="AA73" i="15"/>
  <c r="Z73" i="15"/>
  <c r="AE72" i="15"/>
  <c r="AD72" i="15"/>
  <c r="AC72" i="15"/>
  <c r="AB72" i="15"/>
  <c r="AA72" i="15"/>
  <c r="Z72" i="15"/>
  <c r="AE71" i="15"/>
  <c r="AD71" i="15"/>
  <c r="AC71" i="15"/>
  <c r="AB71" i="15"/>
  <c r="AA71" i="15"/>
  <c r="Z71" i="15"/>
  <c r="AE70" i="15"/>
  <c r="AD70" i="15"/>
  <c r="AC70" i="15"/>
  <c r="AB70" i="15"/>
  <c r="AA70" i="15"/>
  <c r="Z70" i="15"/>
  <c r="AA61" i="15"/>
  <c r="AB61" i="15"/>
  <c r="AC61" i="15"/>
  <c r="AD61" i="15"/>
  <c r="AE61" i="15"/>
  <c r="AA62" i="15"/>
  <c r="AB62" i="15"/>
  <c r="AC62" i="15"/>
  <c r="AD62" i="15"/>
  <c r="AE62" i="15"/>
  <c r="AA63" i="15"/>
  <c r="AB63" i="15"/>
  <c r="AC63" i="15"/>
  <c r="AD63" i="15"/>
  <c r="AE63" i="15"/>
  <c r="AA64" i="15"/>
  <c r="AB64" i="15"/>
  <c r="AC64" i="15"/>
  <c r="AD64" i="15"/>
  <c r="AE64" i="15"/>
  <c r="AA65" i="15"/>
  <c r="AB65" i="15"/>
  <c r="AC65" i="15"/>
  <c r="AD65" i="15"/>
  <c r="AE65" i="15"/>
  <c r="AA66" i="15"/>
  <c r="AB66" i="15"/>
  <c r="AC66" i="15"/>
  <c r="AD66" i="15"/>
  <c r="AE66" i="15"/>
  <c r="AA67" i="15"/>
  <c r="AB67" i="15"/>
  <c r="AC67" i="15"/>
  <c r="AD67" i="15"/>
  <c r="AE67" i="15"/>
  <c r="Z62" i="15"/>
  <c r="Z63" i="15"/>
  <c r="Z64" i="15"/>
  <c r="Z65" i="15"/>
  <c r="Z66" i="15"/>
  <c r="Z67" i="15"/>
  <c r="Z61" i="15"/>
  <c r="AA53" i="15"/>
  <c r="AB53" i="15"/>
  <c r="AC53" i="15"/>
  <c r="AD53" i="15"/>
  <c r="AE53" i="15"/>
  <c r="AA54" i="15"/>
  <c r="AB54" i="15"/>
  <c r="AC54" i="15"/>
  <c r="AD54" i="15"/>
  <c r="AE54" i="15"/>
  <c r="AA55" i="15"/>
  <c r="AB55" i="15"/>
  <c r="AC55" i="15"/>
  <c r="AD55" i="15"/>
  <c r="AE55" i="15"/>
  <c r="AA56" i="15"/>
  <c r="AB56" i="15"/>
  <c r="AC56" i="15"/>
  <c r="AD56" i="15"/>
  <c r="AE56" i="15"/>
  <c r="AA57" i="15"/>
  <c r="AB57" i="15"/>
  <c r="AC57" i="15"/>
  <c r="AD57" i="15"/>
  <c r="AE57" i="15"/>
  <c r="AA58" i="15"/>
  <c r="AB58" i="15"/>
  <c r="AC58" i="15"/>
  <c r="AD58" i="15"/>
  <c r="AE58" i="15"/>
  <c r="Z54" i="15"/>
  <c r="Z55" i="15"/>
  <c r="Z56" i="15"/>
  <c r="Z57" i="15"/>
  <c r="Z58" i="15"/>
  <c r="Z53" i="15"/>
  <c r="E4" i="15"/>
  <c r="F4" i="15" s="1"/>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AG4" i="15" s="1"/>
  <c r="AH4" i="15" s="1"/>
  <c r="AA757" i="8"/>
  <c r="AA760" i="8" s="1"/>
  <c r="Y760" i="8"/>
  <c r="Z760" i="8"/>
  <c r="X760" i="8"/>
  <c r="X738" i="8"/>
  <c r="X741" i="8" s="1"/>
  <c r="X752" i="8" s="1"/>
  <c r="X755" i="8" s="1"/>
  <c r="X758" i="8" s="1"/>
  <c r="W741" i="8"/>
  <c r="Y738" i="8"/>
  <c r="Y741" i="8" s="1"/>
  <c r="Y752" i="8" s="1"/>
  <c r="Y755" i="8" s="1"/>
  <c r="Y758" i="8" s="1"/>
  <c r="E737" i="8"/>
  <c r="F737" i="8"/>
  <c r="G737" i="8"/>
  <c r="H737" i="8"/>
  <c r="I737" i="8"/>
  <c r="J737" i="8"/>
  <c r="K737" i="8"/>
  <c r="L737" i="8"/>
  <c r="M737" i="8"/>
  <c r="N737" i="8"/>
  <c r="O737" i="8"/>
  <c r="P737" i="8"/>
  <c r="Q737" i="8"/>
  <c r="R737" i="8"/>
  <c r="S737" i="8"/>
  <c r="T737" i="8"/>
  <c r="U737" i="8"/>
  <c r="V737" i="8"/>
  <c r="W737" i="8"/>
  <c r="X737" i="8"/>
  <c r="Y737" i="8"/>
  <c r="Z737" i="8" s="1"/>
  <c r="AA737" i="8" s="1"/>
  <c r="D737" i="8"/>
  <c r="G21" i="13"/>
  <c r="F21" i="13"/>
  <c r="F16" i="13"/>
  <c r="E21" i="13"/>
  <c r="D21" i="13"/>
  <c r="D16" i="13"/>
  <c r="C21" i="13"/>
  <c r="B21" i="13"/>
  <c r="G16" i="13"/>
  <c r="E16" i="13"/>
  <c r="C16" i="13"/>
  <c r="B16" i="13"/>
  <c r="J23" i="12"/>
  <c r="I23" i="12"/>
  <c r="H23" i="12"/>
  <c r="E23" i="12"/>
  <c r="D23" i="12"/>
  <c r="O285" i="8"/>
  <c r="P285" i="8"/>
  <c r="Q285" i="8"/>
  <c r="T285" i="8"/>
  <c r="U285" i="8"/>
  <c r="V285" i="8"/>
  <c r="W285" i="8"/>
  <c r="X285" i="8"/>
  <c r="Y285" i="8"/>
  <c r="O286" i="8"/>
  <c r="P286" i="8"/>
  <c r="Q286" i="8"/>
  <c r="R286" i="8"/>
  <c r="S286" i="8"/>
  <c r="T286" i="8"/>
  <c r="U286" i="8"/>
  <c r="V286" i="8"/>
  <c r="W286" i="8"/>
  <c r="X286" i="8"/>
  <c r="O287" i="8"/>
  <c r="P287" i="8"/>
  <c r="Q287" i="8"/>
  <c r="R287" i="8"/>
  <c r="S287" i="8"/>
  <c r="T287" i="8"/>
  <c r="U287" i="8"/>
  <c r="V287" i="8"/>
  <c r="W287" i="8"/>
  <c r="X287" i="8"/>
  <c r="O289" i="8"/>
  <c r="P289" i="8"/>
  <c r="Q289" i="8"/>
  <c r="R289" i="8"/>
  <c r="S289" i="8"/>
  <c r="T289" i="8"/>
  <c r="U289" i="8"/>
  <c r="V289" i="8"/>
  <c r="W289" i="8"/>
  <c r="X289" i="8"/>
  <c r="O254" i="8"/>
  <c r="P254" i="8"/>
  <c r="Q254" i="8"/>
  <c r="R254" i="8"/>
  <c r="S254" i="8"/>
  <c r="T254" i="8"/>
  <c r="U254" i="8"/>
  <c r="V254" i="8"/>
  <c r="W254" i="8"/>
  <c r="X254" i="8"/>
  <c r="X276" i="8" s="1"/>
  <c r="X266" i="8" s="1"/>
  <c r="Y254" i="8"/>
  <c r="Y276" i="8" s="1"/>
  <c r="Y266" i="8" s="1"/>
  <c r="N254" i="8"/>
  <c r="N289" i="8"/>
  <c r="N287" i="8"/>
  <c r="N286" i="8"/>
  <c r="N285" i="8"/>
  <c r="X252" i="8"/>
  <c r="X274" i="8" s="1"/>
  <c r="W252" i="8"/>
  <c r="V252" i="8"/>
  <c r="U252" i="8"/>
  <c r="T252" i="8"/>
  <c r="S252" i="8"/>
  <c r="R252" i="8"/>
  <c r="Q252" i="8"/>
  <c r="P252" i="8"/>
  <c r="O252" i="8"/>
  <c r="N252" i="8"/>
  <c r="X251" i="8"/>
  <c r="X273" i="8" s="1"/>
  <c r="W251" i="8"/>
  <c r="V251" i="8"/>
  <c r="U251" i="8"/>
  <c r="T251" i="8"/>
  <c r="S251" i="8"/>
  <c r="R251" i="8"/>
  <c r="Q251" i="8"/>
  <c r="P251" i="8"/>
  <c r="O251" i="8"/>
  <c r="N251" i="8"/>
  <c r="X250" i="8"/>
  <c r="X272" i="8" s="1"/>
  <c r="W250" i="8"/>
  <c r="V250" i="8"/>
  <c r="U250" i="8"/>
  <c r="T250" i="8"/>
  <c r="S250" i="8"/>
  <c r="R250" i="8"/>
  <c r="Q250" i="8"/>
  <c r="P250" i="8"/>
  <c r="O250" i="8"/>
  <c r="N250" i="8"/>
  <c r="Y250" i="8"/>
  <c r="Y272" i="8" s="1"/>
  <c r="Y262" i="8" s="1"/>
  <c r="R201" i="8"/>
  <c r="Q201" i="8"/>
  <c r="P201" i="8"/>
  <c r="O201" i="8"/>
  <c r="N201" i="8"/>
  <c r="M201" i="8"/>
  <c r="L201" i="8"/>
  <c r="K201" i="8"/>
  <c r="J201" i="8"/>
  <c r="I201" i="8"/>
  <c r="H201" i="8"/>
  <c r="G201" i="8"/>
  <c r="F201" i="8"/>
  <c r="E201" i="8"/>
  <c r="D201" i="8"/>
  <c r="T244" i="8"/>
  <c r="U244" i="8"/>
  <c r="V244" i="8"/>
  <c r="W244" i="8"/>
  <c r="T245" i="8"/>
  <c r="U245" i="8"/>
  <c r="V245" i="8"/>
  <c r="W245" i="8"/>
  <c r="R198" i="8"/>
  <c r="R285" i="8" s="1"/>
  <c r="R243" i="8"/>
  <c r="Z198" i="8"/>
  <c r="F113" i="8"/>
  <c r="F116" i="8" s="1"/>
  <c r="G113" i="8"/>
  <c r="G142" i="8" s="1"/>
  <c r="H113" i="8"/>
  <c r="H147" i="8" s="1"/>
  <c r="I113" i="8"/>
  <c r="I142" i="8" s="1"/>
  <c r="J113" i="8"/>
  <c r="J116" i="8" s="1"/>
  <c r="K113" i="8"/>
  <c r="K116" i="8" s="1"/>
  <c r="L113" i="8"/>
  <c r="L116" i="8" s="1"/>
  <c r="M113" i="8"/>
  <c r="M145" i="8" s="1"/>
  <c r="N113" i="8"/>
  <c r="N116" i="8" s="1"/>
  <c r="E113" i="8"/>
  <c r="F58" i="8"/>
  <c r="F243" i="8" s="1"/>
  <c r="G58" i="8"/>
  <c r="G243" i="8" s="1"/>
  <c r="H58" i="8"/>
  <c r="H243" i="8" s="1"/>
  <c r="I58" i="8"/>
  <c r="I243" i="8" s="1"/>
  <c r="J58" i="8"/>
  <c r="J243" i="8" s="1"/>
  <c r="K58" i="8"/>
  <c r="K243" i="8" s="1"/>
  <c r="L58" i="8"/>
  <c r="L243" i="8" s="1"/>
  <c r="M58" i="8"/>
  <c r="M243" i="8" s="1"/>
  <c r="N58" i="8"/>
  <c r="N243" i="8" s="1"/>
  <c r="E58" i="8"/>
  <c r="E243" i="8" s="1"/>
  <c r="F102" i="8"/>
  <c r="F246" i="8" s="1"/>
  <c r="G102" i="8"/>
  <c r="G136" i="8" s="1"/>
  <c r="H102" i="8"/>
  <c r="H246" i="8" s="1"/>
  <c r="I102" i="8"/>
  <c r="I130" i="8" s="1"/>
  <c r="J102" i="8"/>
  <c r="J246" i="8" s="1"/>
  <c r="K102" i="8"/>
  <c r="K138" i="8" s="1"/>
  <c r="L102" i="8"/>
  <c r="L137" i="8" s="1"/>
  <c r="M102" i="8"/>
  <c r="M246" i="8" s="1"/>
  <c r="N102" i="8"/>
  <c r="N136" i="8" s="1"/>
  <c r="E102" i="8"/>
  <c r="E246" i="8" s="1"/>
  <c r="S198" i="8"/>
  <c r="S285" i="8" s="1"/>
  <c r="X246" i="8"/>
  <c r="W246" i="8"/>
  <c r="V246" i="8"/>
  <c r="U246" i="8"/>
  <c r="T246" i="8"/>
  <c r="S246" i="8"/>
  <c r="R246" i="8"/>
  <c r="Q246" i="8"/>
  <c r="P246" i="8"/>
  <c r="O246" i="8"/>
  <c r="D246" i="8"/>
  <c r="X245" i="8"/>
  <c r="S245" i="8"/>
  <c r="R245" i="8"/>
  <c r="Q245" i="8"/>
  <c r="P245" i="8"/>
  <c r="O245" i="8"/>
  <c r="N245" i="8"/>
  <c r="M245" i="8"/>
  <c r="L245" i="8"/>
  <c r="K245" i="8"/>
  <c r="J245" i="8"/>
  <c r="I245" i="8"/>
  <c r="H245" i="8"/>
  <c r="G245" i="8"/>
  <c r="F245" i="8"/>
  <c r="E245" i="8"/>
  <c r="D245" i="8"/>
  <c r="X244" i="8"/>
  <c r="S244" i="8"/>
  <c r="R244" i="8"/>
  <c r="Q244" i="8"/>
  <c r="P244" i="8"/>
  <c r="O244" i="8"/>
  <c r="N244" i="8"/>
  <c r="M244" i="8"/>
  <c r="L244" i="8"/>
  <c r="K244" i="8"/>
  <c r="J244" i="8"/>
  <c r="I244" i="8"/>
  <c r="H244" i="8"/>
  <c r="G244" i="8"/>
  <c r="F244" i="8"/>
  <c r="E244" i="8"/>
  <c r="D244" i="8"/>
  <c r="X243" i="8"/>
  <c r="W243" i="8"/>
  <c r="V243" i="8"/>
  <c r="U243" i="8"/>
  <c r="T243" i="8"/>
  <c r="S243" i="8"/>
  <c r="Q243" i="8"/>
  <c r="P243" i="8"/>
  <c r="O243" i="8"/>
  <c r="D243" i="8"/>
  <c r="Y246" i="8"/>
  <c r="Y245" i="8"/>
  <c r="Y244" i="8"/>
  <c r="Y243" i="8"/>
  <c r="Y239" i="8"/>
  <c r="Y289" i="8" s="1"/>
  <c r="Y231" i="8"/>
  <c r="Y287" i="8" s="1"/>
  <c r="Y215" i="8"/>
  <c r="Y286" i="8" s="1"/>
  <c r="Y214" i="8"/>
  <c r="Y251" i="8" s="1"/>
  <c r="Y230" i="8"/>
  <c r="Y252" i="8" s="1"/>
  <c r="X116" i="8"/>
  <c r="W116" i="8"/>
  <c r="V116" i="8"/>
  <c r="U116" i="8"/>
  <c r="T116" i="8"/>
  <c r="S116" i="8"/>
  <c r="D116" i="8"/>
  <c r="Y116" i="8"/>
  <c r="F28" i="8"/>
  <c r="G28" i="8"/>
  <c r="H28" i="8"/>
  <c r="I28" i="8"/>
  <c r="J28" i="8"/>
  <c r="K28" i="8"/>
  <c r="L28" i="8"/>
  <c r="M28" i="8"/>
  <c r="N28" i="8"/>
  <c r="O28" i="8"/>
  <c r="P28" i="8"/>
  <c r="Q28" i="8"/>
  <c r="R28" i="8"/>
  <c r="S28" i="8"/>
  <c r="T28" i="8"/>
  <c r="U28" i="8"/>
  <c r="V28" i="8"/>
  <c r="W28" i="8"/>
  <c r="X28" i="8"/>
  <c r="Y28" i="8"/>
  <c r="E28" i="8"/>
  <c r="Y182" i="8"/>
  <c r="X182" i="8"/>
  <c r="W182" i="8"/>
  <c r="V182" i="8"/>
  <c r="U182" i="8"/>
  <c r="T182" i="8"/>
  <c r="Y181" i="8"/>
  <c r="X181" i="8"/>
  <c r="W181" i="8"/>
  <c r="V181" i="8"/>
  <c r="U181" i="8"/>
  <c r="T181" i="8"/>
  <c r="N181" i="8"/>
  <c r="M181" i="8"/>
  <c r="L181" i="8"/>
  <c r="K181" i="8"/>
  <c r="J181" i="8"/>
  <c r="I181" i="8"/>
  <c r="H181" i="8"/>
  <c r="G181" i="8"/>
  <c r="F181" i="8"/>
  <c r="Y180" i="8"/>
  <c r="X180" i="8"/>
  <c r="W180" i="8"/>
  <c r="V180" i="8"/>
  <c r="U180" i="8"/>
  <c r="T180" i="8"/>
  <c r="N180" i="8"/>
  <c r="M180" i="8"/>
  <c r="L180" i="8"/>
  <c r="K180" i="8"/>
  <c r="J180" i="8"/>
  <c r="I180" i="8"/>
  <c r="H180" i="8"/>
  <c r="G180" i="8"/>
  <c r="F180" i="8"/>
  <c r="Y179" i="8"/>
  <c r="X179" i="8"/>
  <c r="W179" i="8"/>
  <c r="V179" i="8"/>
  <c r="U179" i="8"/>
  <c r="T179" i="8"/>
  <c r="N179" i="8"/>
  <c r="M179" i="8"/>
  <c r="L179" i="8"/>
  <c r="K179" i="8"/>
  <c r="J179" i="8"/>
  <c r="I179" i="8"/>
  <c r="H179" i="8"/>
  <c r="G179" i="8"/>
  <c r="F179" i="8"/>
  <c r="Y178" i="8"/>
  <c r="X178" i="8"/>
  <c r="W178" i="8"/>
  <c r="V178" i="8"/>
  <c r="U178" i="8"/>
  <c r="T178" i="8"/>
  <c r="N178" i="8"/>
  <c r="M178" i="8"/>
  <c r="L178" i="8"/>
  <c r="K178" i="8"/>
  <c r="J178" i="8"/>
  <c r="I178" i="8"/>
  <c r="H178" i="8"/>
  <c r="G178" i="8"/>
  <c r="F178" i="8"/>
  <c r="Y177" i="8"/>
  <c r="X177" i="8"/>
  <c r="W177" i="8"/>
  <c r="V177" i="8"/>
  <c r="U177" i="8"/>
  <c r="T177" i="8"/>
  <c r="N177" i="8"/>
  <c r="M177" i="8"/>
  <c r="L177" i="8"/>
  <c r="K177" i="8"/>
  <c r="J177" i="8"/>
  <c r="I177" i="8"/>
  <c r="H177" i="8"/>
  <c r="G177" i="8"/>
  <c r="F177" i="8"/>
  <c r="Y176" i="8"/>
  <c r="X176" i="8"/>
  <c r="W176" i="8"/>
  <c r="V176" i="8"/>
  <c r="U176" i="8"/>
  <c r="T176" i="8"/>
  <c r="N176" i="8"/>
  <c r="M176" i="8"/>
  <c r="L176" i="8"/>
  <c r="K176" i="8"/>
  <c r="J176" i="8"/>
  <c r="I176" i="8"/>
  <c r="H176" i="8"/>
  <c r="G176" i="8"/>
  <c r="F176" i="8"/>
  <c r="Y175" i="8"/>
  <c r="X175" i="8"/>
  <c r="W175" i="8"/>
  <c r="V175" i="8"/>
  <c r="U175" i="8"/>
  <c r="T175" i="8"/>
  <c r="N175" i="8"/>
  <c r="M175" i="8"/>
  <c r="L175" i="8"/>
  <c r="K175" i="8"/>
  <c r="J175" i="8"/>
  <c r="I175" i="8"/>
  <c r="H175" i="8"/>
  <c r="G175" i="8"/>
  <c r="F175" i="8"/>
  <c r="Y174" i="8"/>
  <c r="X174" i="8"/>
  <c r="W174" i="8"/>
  <c r="V174" i="8"/>
  <c r="U174" i="8"/>
  <c r="T174" i="8"/>
  <c r="N174" i="8"/>
  <c r="M174" i="8"/>
  <c r="L174" i="8"/>
  <c r="K174" i="8"/>
  <c r="J174" i="8"/>
  <c r="I174" i="8"/>
  <c r="H174" i="8"/>
  <c r="G174" i="8"/>
  <c r="F174" i="8"/>
  <c r="Y171" i="8"/>
  <c r="X171" i="8"/>
  <c r="W171" i="8"/>
  <c r="V171" i="8"/>
  <c r="U171" i="8"/>
  <c r="T171" i="8"/>
  <c r="S171" i="8"/>
  <c r="R171" i="8"/>
  <c r="Q171" i="8"/>
  <c r="P171" i="8"/>
  <c r="Y170" i="8"/>
  <c r="X170" i="8"/>
  <c r="W170" i="8"/>
  <c r="V170" i="8"/>
  <c r="U170" i="8"/>
  <c r="T170" i="8"/>
  <c r="S170" i="8"/>
  <c r="R170" i="8"/>
  <c r="Q170" i="8"/>
  <c r="P170" i="8"/>
  <c r="O170" i="8"/>
  <c r="N170" i="8"/>
  <c r="M170" i="8"/>
  <c r="L170" i="8"/>
  <c r="K170" i="8"/>
  <c r="J170" i="8"/>
  <c r="I170" i="8"/>
  <c r="H170" i="8"/>
  <c r="G170" i="8"/>
  <c r="F170" i="8"/>
  <c r="Y169" i="8"/>
  <c r="X169" i="8"/>
  <c r="W169" i="8"/>
  <c r="V169" i="8"/>
  <c r="U169" i="8"/>
  <c r="T169" i="8"/>
  <c r="S169" i="8"/>
  <c r="R169" i="8"/>
  <c r="Q169" i="8"/>
  <c r="P169" i="8"/>
  <c r="O169" i="8"/>
  <c r="N169" i="8"/>
  <c r="M169" i="8"/>
  <c r="L169" i="8"/>
  <c r="K169" i="8"/>
  <c r="J169" i="8"/>
  <c r="I169" i="8"/>
  <c r="H169" i="8"/>
  <c r="G169" i="8"/>
  <c r="F169" i="8"/>
  <c r="Y168" i="8"/>
  <c r="X168" i="8"/>
  <c r="W168" i="8"/>
  <c r="V168" i="8"/>
  <c r="U168" i="8"/>
  <c r="T168" i="8"/>
  <c r="S168" i="8"/>
  <c r="R168" i="8"/>
  <c r="Q168" i="8"/>
  <c r="P168" i="8"/>
  <c r="O168" i="8"/>
  <c r="N168" i="8"/>
  <c r="M168" i="8"/>
  <c r="L168" i="8"/>
  <c r="K168" i="8"/>
  <c r="J168" i="8"/>
  <c r="I168" i="8"/>
  <c r="H168" i="8"/>
  <c r="G168" i="8"/>
  <c r="F168" i="8"/>
  <c r="Y167" i="8"/>
  <c r="X167" i="8"/>
  <c r="W167" i="8"/>
  <c r="V167" i="8"/>
  <c r="U167" i="8"/>
  <c r="T167" i="8"/>
  <c r="S167" i="8"/>
  <c r="R167" i="8"/>
  <c r="Q167" i="8"/>
  <c r="P167" i="8"/>
  <c r="O167" i="8"/>
  <c r="N167" i="8"/>
  <c r="M167" i="8"/>
  <c r="L167" i="8"/>
  <c r="K167" i="8"/>
  <c r="J167" i="8"/>
  <c r="I167" i="8"/>
  <c r="H167" i="8"/>
  <c r="G167" i="8"/>
  <c r="F167" i="8"/>
  <c r="Y166" i="8"/>
  <c r="X166" i="8"/>
  <c r="W166" i="8"/>
  <c r="V166" i="8"/>
  <c r="U166" i="8"/>
  <c r="T166" i="8"/>
  <c r="S166" i="8"/>
  <c r="R166" i="8"/>
  <c r="Q166" i="8"/>
  <c r="P166" i="8"/>
  <c r="O166" i="8"/>
  <c r="N166" i="8"/>
  <c r="M166" i="8"/>
  <c r="L166" i="8"/>
  <c r="K166" i="8"/>
  <c r="J166" i="8"/>
  <c r="I166" i="8"/>
  <c r="H166" i="8"/>
  <c r="G166" i="8"/>
  <c r="F166" i="8"/>
  <c r="Y165" i="8"/>
  <c r="X165" i="8"/>
  <c r="W165" i="8"/>
  <c r="V165" i="8"/>
  <c r="U165" i="8"/>
  <c r="T165" i="8"/>
  <c r="S165" i="8"/>
  <c r="R165" i="8"/>
  <c r="Q165" i="8"/>
  <c r="P165" i="8"/>
  <c r="O165" i="8"/>
  <c r="N165" i="8"/>
  <c r="M165" i="8"/>
  <c r="L165" i="8"/>
  <c r="K165" i="8"/>
  <c r="J165" i="8"/>
  <c r="I165" i="8"/>
  <c r="H165" i="8"/>
  <c r="G165" i="8"/>
  <c r="F165" i="8"/>
  <c r="Y164" i="8"/>
  <c r="X164" i="8"/>
  <c r="W164" i="8"/>
  <c r="V164" i="8"/>
  <c r="U164" i="8"/>
  <c r="T164" i="8"/>
  <c r="S164" i="8"/>
  <c r="R164" i="8"/>
  <c r="Q164" i="8"/>
  <c r="P164" i="8"/>
  <c r="O164" i="8"/>
  <c r="N164" i="8"/>
  <c r="M164" i="8"/>
  <c r="L164" i="8"/>
  <c r="K164" i="8"/>
  <c r="J164" i="8"/>
  <c r="I164" i="8"/>
  <c r="H164" i="8"/>
  <c r="G164" i="8"/>
  <c r="F164" i="8"/>
  <c r="Y163" i="8"/>
  <c r="X163" i="8"/>
  <c r="W163" i="8"/>
  <c r="V163" i="8"/>
  <c r="U163" i="8"/>
  <c r="T163" i="8"/>
  <c r="S163" i="8"/>
  <c r="R163" i="8"/>
  <c r="Q163" i="8"/>
  <c r="P163" i="8"/>
  <c r="O163" i="8"/>
  <c r="N163" i="8"/>
  <c r="M163" i="8"/>
  <c r="L163" i="8"/>
  <c r="K163" i="8"/>
  <c r="J163" i="8"/>
  <c r="I163" i="8"/>
  <c r="H163" i="8"/>
  <c r="G163" i="8"/>
  <c r="F163" i="8"/>
  <c r="G43" i="8"/>
  <c r="H43" i="8"/>
  <c r="I43" i="8"/>
  <c r="J43" i="8"/>
  <c r="K43" i="8"/>
  <c r="L43" i="8"/>
  <c r="M43" i="8"/>
  <c r="N43" i="8"/>
  <c r="O43" i="8"/>
  <c r="P43" i="8"/>
  <c r="Q43" i="8"/>
  <c r="R43" i="8"/>
  <c r="S43" i="8"/>
  <c r="T43" i="8"/>
  <c r="U43" i="8"/>
  <c r="V43" i="8"/>
  <c r="W43" i="8"/>
  <c r="X43" i="8"/>
  <c r="Y43" i="8"/>
  <c r="G44" i="8"/>
  <c r="H44" i="8"/>
  <c r="I44" i="8"/>
  <c r="J44" i="8"/>
  <c r="K44" i="8"/>
  <c r="L44" i="8"/>
  <c r="M44" i="8"/>
  <c r="N44" i="8"/>
  <c r="O44" i="8"/>
  <c r="P44" i="8"/>
  <c r="Q44" i="8"/>
  <c r="R44" i="8"/>
  <c r="S44" i="8"/>
  <c r="T44" i="8"/>
  <c r="U44" i="8"/>
  <c r="V44" i="8"/>
  <c r="W44" i="8"/>
  <c r="X44" i="8"/>
  <c r="Y44" i="8"/>
  <c r="G45" i="8"/>
  <c r="H45" i="8"/>
  <c r="I45" i="8"/>
  <c r="J45" i="8"/>
  <c r="K45" i="8"/>
  <c r="L45" i="8"/>
  <c r="M45" i="8"/>
  <c r="N45" i="8"/>
  <c r="O45" i="8"/>
  <c r="P45" i="8"/>
  <c r="Q45" i="8"/>
  <c r="R45" i="8"/>
  <c r="S45" i="8"/>
  <c r="T45" i="8"/>
  <c r="U45" i="8"/>
  <c r="V45" i="8"/>
  <c r="W45" i="8"/>
  <c r="X45" i="8"/>
  <c r="Y45" i="8"/>
  <c r="F45" i="8"/>
  <c r="F44" i="8"/>
  <c r="F43" i="8"/>
  <c r="G39" i="8"/>
  <c r="H39" i="8"/>
  <c r="I39" i="8"/>
  <c r="J39" i="8"/>
  <c r="K39" i="8"/>
  <c r="L39" i="8"/>
  <c r="M39" i="8"/>
  <c r="N39" i="8"/>
  <c r="O39" i="8"/>
  <c r="P39" i="8"/>
  <c r="Q39" i="8"/>
  <c r="R39" i="8"/>
  <c r="S39" i="8"/>
  <c r="T39" i="8"/>
  <c r="U39" i="8"/>
  <c r="V39" i="8"/>
  <c r="W39" i="8"/>
  <c r="X39" i="8"/>
  <c r="Y39" i="8"/>
  <c r="G40" i="8"/>
  <c r="H40" i="8"/>
  <c r="I40" i="8"/>
  <c r="J40" i="8"/>
  <c r="K40" i="8"/>
  <c r="L40" i="8"/>
  <c r="M40" i="8"/>
  <c r="N40" i="8"/>
  <c r="O40" i="8"/>
  <c r="P40" i="8"/>
  <c r="Q40" i="8"/>
  <c r="R40" i="8"/>
  <c r="S40" i="8"/>
  <c r="T40" i="8"/>
  <c r="U40" i="8"/>
  <c r="V40" i="8"/>
  <c r="W40" i="8"/>
  <c r="X40" i="8"/>
  <c r="Y40" i="8"/>
  <c r="G41" i="8"/>
  <c r="H41" i="8"/>
  <c r="I41" i="8"/>
  <c r="J41" i="8"/>
  <c r="K41" i="8"/>
  <c r="L41" i="8"/>
  <c r="M41" i="8"/>
  <c r="N41" i="8"/>
  <c r="O41" i="8"/>
  <c r="P41" i="8"/>
  <c r="Q41" i="8"/>
  <c r="R41" i="8"/>
  <c r="S41" i="8"/>
  <c r="T41" i="8"/>
  <c r="U41" i="8"/>
  <c r="V41" i="8"/>
  <c r="W41" i="8"/>
  <c r="X41" i="8"/>
  <c r="Y41" i="8"/>
  <c r="F41" i="8"/>
  <c r="F40" i="8"/>
  <c r="F39" i="8"/>
  <c r="Y149" i="8"/>
  <c r="X149" i="8"/>
  <c r="W149" i="8"/>
  <c r="V149" i="8"/>
  <c r="U149" i="8"/>
  <c r="T149" i="8"/>
  <c r="S149" i="8"/>
  <c r="D149" i="8"/>
  <c r="Y148" i="8"/>
  <c r="X148" i="8"/>
  <c r="W148" i="8"/>
  <c r="V148" i="8"/>
  <c r="U148" i="8"/>
  <c r="T148" i="8"/>
  <c r="S148" i="8"/>
  <c r="D148" i="8"/>
  <c r="Y147" i="8"/>
  <c r="X147" i="8"/>
  <c r="W147" i="8"/>
  <c r="V147" i="8"/>
  <c r="U147" i="8"/>
  <c r="T147" i="8"/>
  <c r="S147" i="8"/>
  <c r="D147" i="8"/>
  <c r="Y146" i="8"/>
  <c r="X146" i="8"/>
  <c r="W146" i="8"/>
  <c r="V146" i="8"/>
  <c r="U146" i="8"/>
  <c r="T146" i="8"/>
  <c r="S146" i="8"/>
  <c r="D146" i="8"/>
  <c r="Y145" i="8"/>
  <c r="X145" i="8"/>
  <c r="W145" i="8"/>
  <c r="V145" i="8"/>
  <c r="U145" i="8"/>
  <c r="T145" i="8"/>
  <c r="S145" i="8"/>
  <c r="D145" i="8"/>
  <c r="Y144" i="8"/>
  <c r="X144" i="8"/>
  <c r="W144" i="8"/>
  <c r="V144" i="8"/>
  <c r="U144" i="8"/>
  <c r="T144" i="8"/>
  <c r="S144" i="8"/>
  <c r="D144" i="8"/>
  <c r="Y143" i="8"/>
  <c r="X143" i="8"/>
  <c r="W143" i="8"/>
  <c r="V143" i="8"/>
  <c r="U143" i="8"/>
  <c r="T143" i="8"/>
  <c r="S143" i="8"/>
  <c r="D143" i="8"/>
  <c r="Y142" i="8"/>
  <c r="X142" i="8"/>
  <c r="W142" i="8"/>
  <c r="V142" i="8"/>
  <c r="U142" i="8"/>
  <c r="T142" i="8"/>
  <c r="S142" i="8"/>
  <c r="D142" i="8"/>
  <c r="Y141" i="8"/>
  <c r="X141" i="8"/>
  <c r="W141" i="8"/>
  <c r="V141" i="8"/>
  <c r="U141" i="8"/>
  <c r="T141" i="8"/>
  <c r="S141" i="8"/>
  <c r="D141" i="8"/>
  <c r="Y138" i="8"/>
  <c r="X138" i="8"/>
  <c r="W138" i="8"/>
  <c r="V138" i="8"/>
  <c r="U138" i="8"/>
  <c r="T138" i="8"/>
  <c r="S138" i="8"/>
  <c r="R138" i="8"/>
  <c r="Q138" i="8"/>
  <c r="P138" i="8"/>
  <c r="O138" i="8"/>
  <c r="D138" i="8"/>
  <c r="Y137" i="8"/>
  <c r="X137" i="8"/>
  <c r="W137" i="8"/>
  <c r="V137" i="8"/>
  <c r="U137" i="8"/>
  <c r="T137" i="8"/>
  <c r="S137" i="8"/>
  <c r="R137" i="8"/>
  <c r="Q137" i="8"/>
  <c r="P137" i="8"/>
  <c r="O137" i="8"/>
  <c r="D137" i="8"/>
  <c r="Y136" i="8"/>
  <c r="X136" i="8"/>
  <c r="W136" i="8"/>
  <c r="V136" i="8"/>
  <c r="U136" i="8"/>
  <c r="T136" i="8"/>
  <c r="S136" i="8"/>
  <c r="R136" i="8"/>
  <c r="Q136" i="8"/>
  <c r="P136" i="8"/>
  <c r="O136" i="8"/>
  <c r="D136" i="8"/>
  <c r="Y135" i="8"/>
  <c r="X135" i="8"/>
  <c r="W135" i="8"/>
  <c r="V135" i="8"/>
  <c r="U135" i="8"/>
  <c r="T135" i="8"/>
  <c r="S135" i="8"/>
  <c r="R135" i="8"/>
  <c r="Q135" i="8"/>
  <c r="P135" i="8"/>
  <c r="O135" i="8"/>
  <c r="D135" i="8"/>
  <c r="Y134" i="8"/>
  <c r="X134" i="8"/>
  <c r="W134" i="8"/>
  <c r="V134" i="8"/>
  <c r="U134" i="8"/>
  <c r="T134" i="8"/>
  <c r="S134" i="8"/>
  <c r="R134" i="8"/>
  <c r="Q134" i="8"/>
  <c r="P134" i="8"/>
  <c r="O134" i="8"/>
  <c r="D134" i="8"/>
  <c r="Y133" i="8"/>
  <c r="X133" i="8"/>
  <c r="W133" i="8"/>
  <c r="V133" i="8"/>
  <c r="U133" i="8"/>
  <c r="T133" i="8"/>
  <c r="S133" i="8"/>
  <c r="R133" i="8"/>
  <c r="Q133" i="8"/>
  <c r="P133" i="8"/>
  <c r="O133" i="8"/>
  <c r="D133" i="8"/>
  <c r="Y132" i="8"/>
  <c r="X132" i="8"/>
  <c r="W132" i="8"/>
  <c r="V132" i="8"/>
  <c r="U132" i="8"/>
  <c r="T132" i="8"/>
  <c r="S132" i="8"/>
  <c r="R132" i="8"/>
  <c r="Q132" i="8"/>
  <c r="P132" i="8"/>
  <c r="O132" i="8"/>
  <c r="D132" i="8"/>
  <c r="Y131" i="8"/>
  <c r="X131" i="8"/>
  <c r="W131" i="8"/>
  <c r="V131" i="8"/>
  <c r="U131" i="8"/>
  <c r="T131" i="8"/>
  <c r="S131" i="8"/>
  <c r="R131" i="8"/>
  <c r="Q131" i="8"/>
  <c r="P131" i="8"/>
  <c r="O131" i="8"/>
  <c r="D131" i="8"/>
  <c r="Y130" i="8"/>
  <c r="X130" i="8"/>
  <c r="W130" i="8"/>
  <c r="V130" i="8"/>
  <c r="U130" i="8"/>
  <c r="T130" i="8"/>
  <c r="S130" i="8"/>
  <c r="R130" i="8"/>
  <c r="Q130" i="8"/>
  <c r="P130" i="8"/>
  <c r="O130" i="8"/>
  <c r="D130" i="8"/>
  <c r="X91" i="8"/>
  <c r="X127" i="8" s="1"/>
  <c r="W91" i="8"/>
  <c r="W127" i="8" s="1"/>
  <c r="V91" i="8"/>
  <c r="V127" i="8" s="1"/>
  <c r="U91" i="8"/>
  <c r="T91" i="8"/>
  <c r="T127" i="8" s="1"/>
  <c r="S91" i="8"/>
  <c r="S127" i="8" s="1"/>
  <c r="R91" i="8"/>
  <c r="R127" i="8" s="1"/>
  <c r="Q91" i="8"/>
  <c r="Q127" i="8" s="1"/>
  <c r="P91" i="8"/>
  <c r="P127" i="8" s="1"/>
  <c r="O91" i="8"/>
  <c r="O127" i="8" s="1"/>
  <c r="N127" i="8"/>
  <c r="J127" i="8"/>
  <c r="I127" i="8"/>
  <c r="H127" i="8"/>
  <c r="G127" i="8"/>
  <c r="F127" i="8"/>
  <c r="E127" i="8"/>
  <c r="D115" i="8"/>
  <c r="X90" i="8"/>
  <c r="W90" i="8"/>
  <c r="V90" i="8"/>
  <c r="U90" i="8"/>
  <c r="T90" i="8"/>
  <c r="S90" i="8"/>
  <c r="R90" i="8"/>
  <c r="Q90" i="8"/>
  <c r="Q112" i="8" s="1"/>
  <c r="P90" i="8"/>
  <c r="P112" i="8" s="1"/>
  <c r="O90" i="8"/>
  <c r="O112" i="8" s="1"/>
  <c r="X89" i="8"/>
  <c r="W89" i="8"/>
  <c r="V89" i="8"/>
  <c r="U89" i="8"/>
  <c r="T89" i="8"/>
  <c r="S89" i="8"/>
  <c r="R89" i="8"/>
  <c r="R111" i="8" s="1"/>
  <c r="Q89" i="8"/>
  <c r="Q111" i="8" s="1"/>
  <c r="P89" i="8"/>
  <c r="P111" i="8" s="1"/>
  <c r="O89" i="8"/>
  <c r="O111" i="8" s="1"/>
  <c r="X88" i="8"/>
  <c r="W88" i="8"/>
  <c r="V88" i="8"/>
  <c r="U88" i="8"/>
  <c r="T88" i="8"/>
  <c r="S88" i="8"/>
  <c r="R88" i="8"/>
  <c r="R110" i="8" s="1"/>
  <c r="Q88" i="8"/>
  <c r="Q110" i="8" s="1"/>
  <c r="P88" i="8"/>
  <c r="O88" i="8"/>
  <c r="O110" i="8" s="1"/>
  <c r="O179" i="8" s="1"/>
  <c r="X87" i="8"/>
  <c r="W87" i="8"/>
  <c r="V87" i="8"/>
  <c r="U87" i="8"/>
  <c r="T87" i="8"/>
  <c r="S87" i="8"/>
  <c r="R87" i="8"/>
  <c r="R109" i="8" s="1"/>
  <c r="Q87" i="8"/>
  <c r="Q109" i="8" s="1"/>
  <c r="P87" i="8"/>
  <c r="P109" i="8" s="1"/>
  <c r="O87" i="8"/>
  <c r="O109" i="8" s="1"/>
  <c r="X86" i="8"/>
  <c r="W86" i="8"/>
  <c r="V86" i="8"/>
  <c r="U86" i="8"/>
  <c r="T86" i="8"/>
  <c r="S86" i="8"/>
  <c r="R86" i="8"/>
  <c r="R108" i="8" s="1"/>
  <c r="Q86" i="8"/>
  <c r="Q108" i="8" s="1"/>
  <c r="P86" i="8"/>
  <c r="P108" i="8" s="1"/>
  <c r="O86" i="8"/>
  <c r="O108" i="8" s="1"/>
  <c r="X85" i="8"/>
  <c r="W85" i="8"/>
  <c r="V85" i="8"/>
  <c r="U85" i="8"/>
  <c r="T85" i="8"/>
  <c r="S85" i="8"/>
  <c r="R85" i="8"/>
  <c r="R107" i="8" s="1"/>
  <c r="Q85" i="8"/>
  <c r="Q107" i="8" s="1"/>
  <c r="P85" i="8"/>
  <c r="P107" i="8" s="1"/>
  <c r="O85" i="8"/>
  <c r="O107" i="8" s="1"/>
  <c r="X84" i="8"/>
  <c r="W84" i="8"/>
  <c r="V84" i="8"/>
  <c r="U84" i="8"/>
  <c r="T84" i="8"/>
  <c r="S84" i="8"/>
  <c r="R84" i="8"/>
  <c r="R106" i="8" s="1"/>
  <c r="Q84" i="8"/>
  <c r="Q106" i="8" s="1"/>
  <c r="P84" i="8"/>
  <c r="O84" i="8"/>
  <c r="O153" i="8" s="1"/>
  <c r="X83" i="8"/>
  <c r="W83" i="8"/>
  <c r="V83" i="8"/>
  <c r="U83" i="8"/>
  <c r="T83" i="8"/>
  <c r="S83" i="8"/>
  <c r="R83" i="8"/>
  <c r="R105" i="8" s="1"/>
  <c r="Q83" i="8"/>
  <c r="Q105" i="8" s="1"/>
  <c r="P83" i="8"/>
  <c r="P105" i="8" s="1"/>
  <c r="O83" i="8"/>
  <c r="O105" i="8" s="1"/>
  <c r="Y91" i="8"/>
  <c r="Y115" i="8" s="1"/>
  <c r="Y90" i="8"/>
  <c r="Y89" i="8"/>
  <c r="Y88" i="8"/>
  <c r="Y87" i="8"/>
  <c r="Y86" i="8"/>
  <c r="Y85" i="8"/>
  <c r="Y84" i="8"/>
  <c r="Y83" i="8"/>
  <c r="F31" i="8"/>
  <c r="G31" i="8"/>
  <c r="H31" i="8"/>
  <c r="I31" i="8"/>
  <c r="J31" i="8"/>
  <c r="K31" i="8"/>
  <c r="L31" i="8"/>
  <c r="M31" i="8"/>
  <c r="N31" i="8"/>
  <c r="O31" i="8"/>
  <c r="P31" i="8"/>
  <c r="Q31" i="8"/>
  <c r="R31" i="8"/>
  <c r="S31" i="8"/>
  <c r="T31" i="8"/>
  <c r="U31" i="8"/>
  <c r="V31" i="8"/>
  <c r="W31" i="8"/>
  <c r="X31" i="8"/>
  <c r="Y31" i="8"/>
  <c r="F32" i="8"/>
  <c r="G32" i="8"/>
  <c r="H32" i="8"/>
  <c r="I32" i="8"/>
  <c r="J32" i="8"/>
  <c r="K32" i="8"/>
  <c r="L32" i="8"/>
  <c r="M32" i="8"/>
  <c r="N32" i="8"/>
  <c r="O32" i="8"/>
  <c r="P32" i="8"/>
  <c r="Q32" i="8"/>
  <c r="R32" i="8"/>
  <c r="S32" i="8"/>
  <c r="T32" i="8"/>
  <c r="U32" i="8"/>
  <c r="V32" i="8"/>
  <c r="W32" i="8"/>
  <c r="X32" i="8"/>
  <c r="Y32" i="8"/>
  <c r="F33" i="8"/>
  <c r="G33" i="8"/>
  <c r="H33" i="8"/>
  <c r="I33" i="8"/>
  <c r="J33" i="8"/>
  <c r="K33" i="8"/>
  <c r="L33" i="8"/>
  <c r="M33" i="8"/>
  <c r="N33" i="8"/>
  <c r="O33" i="8"/>
  <c r="P33" i="8"/>
  <c r="Q33" i="8"/>
  <c r="R33" i="8"/>
  <c r="S33" i="8"/>
  <c r="T33" i="8"/>
  <c r="U33" i="8"/>
  <c r="V33" i="8"/>
  <c r="W33" i="8"/>
  <c r="X33" i="8"/>
  <c r="Y33" i="8"/>
  <c r="F35" i="8"/>
  <c r="G35" i="8"/>
  <c r="H35" i="8"/>
  <c r="I35" i="8"/>
  <c r="J35" i="8"/>
  <c r="K35" i="8"/>
  <c r="L35" i="8"/>
  <c r="M35" i="8"/>
  <c r="N35" i="8"/>
  <c r="O35" i="8"/>
  <c r="P35" i="8"/>
  <c r="Q35" i="8"/>
  <c r="R35" i="8"/>
  <c r="S35" i="8"/>
  <c r="T35" i="8"/>
  <c r="U35" i="8"/>
  <c r="V35" i="8"/>
  <c r="W35" i="8"/>
  <c r="X35" i="8"/>
  <c r="Y35" i="8"/>
  <c r="F36" i="8"/>
  <c r="G36" i="8"/>
  <c r="H36" i="8"/>
  <c r="I36" i="8"/>
  <c r="J36" i="8"/>
  <c r="K36" i="8"/>
  <c r="L36" i="8"/>
  <c r="M36" i="8"/>
  <c r="N36" i="8"/>
  <c r="O36" i="8"/>
  <c r="P36" i="8"/>
  <c r="Q36" i="8"/>
  <c r="R36" i="8"/>
  <c r="S36" i="8"/>
  <c r="T36" i="8"/>
  <c r="U36" i="8"/>
  <c r="V36" i="8"/>
  <c r="W36" i="8"/>
  <c r="X36" i="8"/>
  <c r="Y36" i="8"/>
  <c r="E35" i="8"/>
  <c r="E36" i="8"/>
  <c r="E33" i="8"/>
  <c r="E32" i="8"/>
  <c r="E31" i="8"/>
  <c r="E3" i="8"/>
  <c r="F3" i="8" s="1"/>
  <c r="G3" i="8" s="1"/>
  <c r="H3" i="8" s="1"/>
  <c r="I3" i="8" s="1"/>
  <c r="J3" i="8" s="1"/>
  <c r="K3" i="8" s="1"/>
  <c r="L3" i="8" s="1"/>
  <c r="M3" i="8" s="1"/>
  <c r="N3" i="8" s="1"/>
  <c r="O3" i="8" s="1"/>
  <c r="P3" i="8" s="1"/>
  <c r="Q3" i="8" s="1"/>
  <c r="R3" i="8" s="1"/>
  <c r="S3" i="8" s="1"/>
  <c r="T3" i="8" s="1"/>
  <c r="U3" i="8" s="1"/>
  <c r="V3" i="8" s="1"/>
  <c r="W3" i="8" s="1"/>
  <c r="X3" i="8" s="1"/>
  <c r="Y3" i="8" s="1"/>
  <c r="Z3" i="8" s="1"/>
  <c r="AA3" i="8" s="1"/>
  <c r="AB3" i="8" s="1"/>
  <c r="AC3" i="8" s="1"/>
  <c r="AD3" i="8" s="1"/>
  <c r="AE3" i="8" s="1"/>
  <c r="AF3" i="8" s="1"/>
  <c r="AG3" i="8" s="1"/>
  <c r="AH3" i="8" s="1"/>
  <c r="G156" i="8"/>
  <c r="D123" i="8"/>
  <c r="N124" i="8"/>
  <c r="H155" i="8"/>
  <c r="N119" i="8"/>
  <c r="M154" i="8"/>
  <c r="G152" i="8"/>
  <c r="F152" i="8"/>
  <c r="L119" i="8"/>
  <c r="J121" i="8"/>
  <c r="K157" i="8"/>
  <c r="L160" i="8"/>
  <c r="J158" i="8"/>
  <c r="M158" i="8"/>
  <c r="M152" i="8"/>
  <c r="N155" i="8"/>
  <c r="I156" i="8"/>
  <c r="J159" i="8"/>
  <c r="F153" i="8"/>
  <c r="K152" i="8"/>
  <c r="F155" i="8"/>
  <c r="M153" i="8"/>
  <c r="H121" i="8"/>
  <c r="N156" i="8"/>
  <c r="H124" i="8"/>
  <c r="J124" i="8"/>
  <c r="K160" i="8"/>
  <c r="N159" i="8"/>
  <c r="M160" i="8"/>
  <c r="L154" i="8"/>
  <c r="G155" i="8"/>
  <c r="M157" i="8"/>
  <c r="H158" i="8"/>
  <c r="L153" i="8"/>
  <c r="I158" i="8"/>
  <c r="F156" i="8"/>
  <c r="M156" i="8"/>
  <c r="L155" i="8"/>
  <c r="H123" i="8"/>
  <c r="H120" i="8"/>
  <c r="J120" i="8"/>
  <c r="I152" i="8"/>
  <c r="J152" i="8"/>
  <c r="K155" i="8"/>
  <c r="L158" i="8"/>
  <c r="G153" i="8"/>
  <c r="M155" i="8"/>
  <c r="N158" i="8"/>
  <c r="I159" i="8"/>
  <c r="K158" i="8"/>
  <c r="J156" i="8"/>
  <c r="E124" i="8"/>
  <c r="K159" i="8"/>
  <c r="N160" i="8"/>
  <c r="N154" i="8"/>
  <c r="J155" i="8"/>
  <c r="E121" i="8"/>
  <c r="K156" i="8"/>
  <c r="L159" i="8"/>
  <c r="K153" i="8"/>
  <c r="L156" i="8"/>
  <c r="M159" i="8"/>
  <c r="I155" i="8"/>
  <c r="I157" i="8"/>
  <c r="H152" i="8"/>
  <c r="N153" i="8"/>
  <c r="I154" i="8"/>
  <c r="K154" i="8"/>
  <c r="L157" i="8"/>
  <c r="I153" i="8"/>
  <c r="F121" i="8"/>
  <c r="G124" i="8"/>
  <c r="H157" i="8"/>
  <c r="G121" i="8"/>
  <c r="F154" i="8"/>
  <c r="H156" i="8"/>
  <c r="G154" i="8"/>
  <c r="J157" i="8"/>
  <c r="H154" i="8"/>
  <c r="F125" i="8"/>
  <c r="F157" i="8"/>
  <c r="F122" i="8"/>
  <c r="G125" i="8"/>
  <c r="H153" i="8"/>
  <c r="J154" i="8"/>
  <c r="F119" i="8"/>
  <c r="G122" i="8"/>
  <c r="N157" i="8"/>
  <c r="G119" i="8"/>
  <c r="J153" i="8"/>
  <c r="F160" i="8"/>
  <c r="F124" i="8"/>
  <c r="G160" i="8"/>
  <c r="F126" i="8"/>
  <c r="F159" i="8"/>
  <c r="H160" i="8"/>
  <c r="F123" i="8"/>
  <c r="G126" i="8"/>
  <c r="G159" i="8"/>
  <c r="I160" i="8"/>
  <c r="F120" i="8"/>
  <c r="G123" i="8"/>
  <c r="H126" i="8"/>
  <c r="L152" i="8"/>
  <c r="F158" i="8"/>
  <c r="H159" i="8"/>
  <c r="J160" i="8"/>
  <c r="G120" i="8"/>
  <c r="G158" i="8"/>
  <c r="G157" i="8"/>
  <c r="N152" i="8"/>
  <c r="D124" i="8"/>
  <c r="D121" i="8"/>
  <c r="M121" i="8"/>
  <c r="N121" i="8"/>
  <c r="M122" i="8"/>
  <c r="N125" i="8"/>
  <c r="M119" i="8"/>
  <c r="N122" i="8"/>
  <c r="N123" i="8"/>
  <c r="N120" i="8"/>
  <c r="I124" i="8"/>
  <c r="K124" i="8"/>
  <c r="K121" i="8"/>
  <c r="M124" i="8"/>
  <c r="I125" i="8"/>
  <c r="I122" i="8"/>
  <c r="J125" i="8"/>
  <c r="I119" i="8"/>
  <c r="J122" i="8"/>
  <c r="K125" i="8"/>
  <c r="J119" i="8"/>
  <c r="K122" i="8"/>
  <c r="K119" i="8"/>
  <c r="L122" i="8"/>
  <c r="M125" i="8"/>
  <c r="I126" i="8"/>
  <c r="D125" i="8"/>
  <c r="I123" i="8"/>
  <c r="J126" i="8"/>
  <c r="I120" i="8"/>
  <c r="J123" i="8"/>
  <c r="I121" i="8"/>
  <c r="L120" i="8"/>
  <c r="D122" i="8"/>
  <c r="E125" i="8"/>
  <c r="K126" i="8"/>
  <c r="E119" i="8"/>
  <c r="L124" i="8"/>
  <c r="M126" i="8"/>
  <c r="D127" i="8"/>
  <c r="D119" i="8"/>
  <c r="L121" i="8"/>
  <c r="H125" i="8"/>
  <c r="E122" i="8"/>
  <c r="L123" i="8"/>
  <c r="H122" i="8"/>
  <c r="D126" i="8"/>
  <c r="H119" i="8"/>
  <c r="E126" i="8"/>
  <c r="D120" i="8"/>
  <c r="E123" i="8"/>
  <c r="E120" i="8"/>
  <c r="L125" i="8"/>
  <c r="M123" i="8"/>
  <c r="N126" i="8"/>
  <c r="K120" i="8"/>
  <c r="M120" i="8"/>
  <c r="K127" i="8"/>
  <c r="L127" i="8"/>
  <c r="L126" i="8"/>
  <c r="M127" i="8"/>
  <c r="K123" i="8"/>
  <c r="X26" i="7"/>
  <c r="Y23" i="7"/>
  <c r="X23" i="7" s="1"/>
  <c r="W23" i="7" s="1"/>
  <c r="Y26" i="7"/>
  <c r="Z26" i="7"/>
  <c r="AA26" i="7"/>
  <c r="AB26" i="7"/>
  <c r="P17" i="7"/>
  <c r="O17" i="7"/>
  <c r="N17" i="7"/>
  <c r="M17" i="7"/>
  <c r="L17" i="7"/>
  <c r="K17" i="7"/>
  <c r="J17" i="7"/>
  <c r="I17" i="7"/>
  <c r="H17" i="7"/>
  <c r="G17" i="7"/>
  <c r="F17" i="7"/>
  <c r="E17" i="7"/>
  <c r="D17" i="7"/>
  <c r="U58" i="6"/>
  <c r="AA59" i="6"/>
  <c r="Z59" i="6"/>
  <c r="Y59" i="6"/>
  <c r="X59" i="6"/>
  <c r="W59" i="6"/>
  <c r="V59" i="6"/>
  <c r="U59" i="6"/>
  <c r="T59" i="6"/>
  <c r="S59" i="6"/>
  <c r="R59" i="6"/>
  <c r="Q59" i="6"/>
  <c r="P59" i="6"/>
  <c r="O59" i="6"/>
  <c r="N59" i="6"/>
  <c r="M59" i="6"/>
  <c r="L59" i="6"/>
  <c r="K59" i="6"/>
  <c r="J59" i="6"/>
  <c r="I59" i="6"/>
  <c r="H59" i="6"/>
  <c r="G59" i="6"/>
  <c r="F59" i="6"/>
  <c r="E59" i="6"/>
  <c r="D59" i="6"/>
  <c r="C59" i="6"/>
  <c r="AA58" i="6"/>
  <c r="Z58" i="6"/>
  <c r="Y58" i="6"/>
  <c r="X58" i="6"/>
  <c r="W58" i="6"/>
  <c r="V58" i="6"/>
  <c r="T58" i="6"/>
  <c r="S58" i="6"/>
  <c r="R58" i="6"/>
  <c r="Q58" i="6"/>
  <c r="P58" i="6"/>
  <c r="O58" i="6"/>
  <c r="N58" i="6"/>
  <c r="M58" i="6"/>
  <c r="L58" i="6"/>
  <c r="K58" i="6"/>
  <c r="J58" i="6"/>
  <c r="I58" i="6"/>
  <c r="H58" i="6"/>
  <c r="G58" i="6"/>
  <c r="F58" i="6"/>
  <c r="E58" i="6"/>
  <c r="D58" i="6"/>
  <c r="C58" i="6"/>
  <c r="AB59" i="6"/>
  <c r="AB58" i="6"/>
  <c r="AC18" i="6"/>
  <c r="AB18" i="6"/>
  <c r="AA18" i="6"/>
  <c r="Z18" i="6"/>
  <c r="Y18" i="6"/>
  <c r="X18" i="6"/>
  <c r="W18" i="6"/>
  <c r="V18" i="6"/>
  <c r="U18" i="6"/>
  <c r="T18" i="6"/>
  <c r="S18" i="6"/>
  <c r="R18" i="6"/>
  <c r="Q18" i="6"/>
  <c r="P18" i="6"/>
  <c r="O18" i="6"/>
  <c r="N18" i="6"/>
  <c r="M18" i="6"/>
  <c r="L18" i="6"/>
  <c r="K18" i="6"/>
  <c r="J18" i="6"/>
  <c r="I18" i="6"/>
  <c r="H18" i="6"/>
  <c r="AC15" i="6"/>
  <c r="AB15" i="6"/>
  <c r="AA15" i="6"/>
  <c r="Z15" i="6"/>
  <c r="Y15" i="6"/>
  <c r="X15" i="6"/>
  <c r="W15" i="6"/>
  <c r="V15" i="6"/>
  <c r="U15" i="6"/>
  <c r="T15" i="6"/>
  <c r="S15" i="6"/>
  <c r="R15" i="6"/>
  <c r="Q15" i="6"/>
  <c r="P15" i="6"/>
  <c r="O15" i="6"/>
  <c r="N15" i="6"/>
  <c r="M15" i="6"/>
  <c r="L15" i="6"/>
  <c r="K15" i="6"/>
  <c r="J15" i="6"/>
  <c r="I15" i="6"/>
  <c r="H15" i="6"/>
  <c r="E18" i="4"/>
  <c r="F18" i="4"/>
  <c r="G18" i="4"/>
  <c r="H18" i="4"/>
  <c r="I18" i="4"/>
  <c r="J18" i="4"/>
  <c r="K18" i="4"/>
  <c r="L18" i="4"/>
  <c r="M18" i="4"/>
  <c r="N18" i="4"/>
  <c r="O18" i="4"/>
  <c r="P18" i="4"/>
  <c r="D18" i="4"/>
  <c r="F36" i="4"/>
  <c r="D36" i="4"/>
  <c r="D42" i="4"/>
  <c r="F42" i="4"/>
  <c r="X11" i="4"/>
  <c r="Y11" i="4" s="1"/>
  <c r="Z11" i="4" s="1"/>
  <c r="AA11" i="4" s="1"/>
  <c r="AB11" i="4" s="1"/>
  <c r="AC11" i="4" s="1"/>
  <c r="AD11" i="4" s="1"/>
  <c r="AE11" i="4" s="1"/>
  <c r="W42" i="4"/>
  <c r="W36" i="4"/>
  <c r="O65" i="1"/>
  <c r="N65" i="1"/>
  <c r="M65" i="1"/>
  <c r="L65" i="1"/>
  <c r="O64" i="1"/>
  <c r="N64" i="1"/>
  <c r="M64" i="1"/>
  <c r="L64" i="1"/>
  <c r="O56" i="1"/>
  <c r="N56" i="1"/>
  <c r="M56" i="1"/>
  <c r="L56" i="1"/>
  <c r="O55" i="1"/>
  <c r="N55" i="1"/>
  <c r="M55" i="1"/>
  <c r="L55" i="1"/>
  <c r="AC20" i="2"/>
  <c r="AB20" i="2"/>
  <c r="AA20" i="2"/>
  <c r="Z20" i="2"/>
  <c r="Y20" i="2"/>
  <c r="X20" i="2"/>
  <c r="W20" i="2"/>
  <c r="V20" i="2"/>
  <c r="U20" i="2"/>
  <c r="T20" i="2"/>
  <c r="S20" i="2"/>
  <c r="R20" i="2"/>
  <c r="Q20" i="2"/>
  <c r="P20" i="2"/>
  <c r="O20" i="2"/>
  <c r="N20" i="2"/>
  <c r="M20" i="2"/>
  <c r="L20" i="2"/>
  <c r="K20" i="2"/>
  <c r="J20" i="2"/>
  <c r="I20" i="2"/>
  <c r="H20" i="2"/>
  <c r="AC15" i="2"/>
  <c r="AB15" i="2"/>
  <c r="AA15" i="2"/>
  <c r="Z15" i="2"/>
  <c r="Y15" i="2"/>
  <c r="X15" i="2"/>
  <c r="W15" i="2"/>
  <c r="V15" i="2"/>
  <c r="U15" i="2"/>
  <c r="T15" i="2"/>
  <c r="S15" i="2"/>
  <c r="R15" i="2"/>
  <c r="Q15" i="2"/>
  <c r="P15" i="2"/>
  <c r="O15" i="2"/>
  <c r="N15" i="2"/>
  <c r="M15" i="2"/>
  <c r="L15" i="2"/>
  <c r="K15" i="2"/>
  <c r="J15" i="2"/>
  <c r="I15" i="2"/>
  <c r="H15" i="2"/>
  <c r="D10" i="1"/>
  <c r="D8" i="1" a="1"/>
  <c r="D8" i="1" s="1"/>
  <c r="D6" i="1"/>
  <c r="D5" i="1" a="1"/>
  <c r="D5" i="1" s="1"/>
  <c r="E3" i="1"/>
  <c r="E5" i="1" s="1" a="1"/>
  <c r="E5" i="1" s="1"/>
  <c r="Z117" i="17"/>
  <c r="Z121" i="17" s="1"/>
  <c r="J28" i="7" l="1"/>
  <c r="J143" i="8"/>
  <c r="H36" i="22"/>
  <c r="M147" i="8"/>
  <c r="X79" i="4"/>
  <c r="X95" i="4" s="1"/>
  <c r="R154" i="8"/>
  <c r="D85" i="4"/>
  <c r="D101" i="4" s="1"/>
  <c r="Y17" i="2"/>
  <c r="F85" i="4"/>
  <c r="F101" i="4" s="1"/>
  <c r="X17" i="2"/>
  <c r="E33" i="4"/>
  <c r="X150" i="17"/>
  <c r="AD17" i="2"/>
  <c r="V17" i="2"/>
  <c r="W17" i="2"/>
  <c r="Z17" i="2"/>
  <c r="AA17" i="2"/>
  <c r="AB17" i="2"/>
  <c r="AC17" i="2"/>
  <c r="X123" i="8"/>
  <c r="W123" i="8"/>
  <c r="AC70" i="6"/>
  <c r="AC75" i="6"/>
  <c r="AC69" i="6"/>
  <c r="AC74" i="6"/>
  <c r="AC68" i="6"/>
  <c r="AC73" i="6"/>
  <c r="O82" i="22"/>
  <c r="W152" i="17"/>
  <c r="W150" i="17"/>
  <c r="X152" i="17"/>
  <c r="Y152" i="17"/>
  <c r="U150" i="17"/>
  <c r="V151" i="17"/>
  <c r="Z82" i="17"/>
  <c r="Z130" i="17"/>
  <c r="Z128" i="17" s="1"/>
  <c r="AA82" i="17"/>
  <c r="AA130" i="17"/>
  <c r="AA128" i="17" s="1"/>
  <c r="AA140" i="17" s="1"/>
  <c r="Y82" i="17"/>
  <c r="Y130" i="17"/>
  <c r="Y131" i="17" s="1"/>
  <c r="Y140" i="17" s="1"/>
  <c r="AA120" i="17"/>
  <c r="AA121" i="17"/>
  <c r="AA119" i="17"/>
  <c r="Z18" i="17"/>
  <c r="Z165" i="17" s="1"/>
  <c r="Z168" i="17" s="1"/>
  <c r="Y165" i="17"/>
  <c r="Y168" i="17" s="1"/>
  <c r="X155" i="8"/>
  <c r="W142" i="17"/>
  <c r="S109" i="17"/>
  <c r="S111" i="17"/>
  <c r="M143" i="8"/>
  <c r="AA111" i="17"/>
  <c r="M116" i="8"/>
  <c r="D11" i="13"/>
  <c r="D3" i="13" s="1"/>
  <c r="D5" i="13" s="1"/>
  <c r="E6" i="27"/>
  <c r="E9" i="27"/>
  <c r="D6" i="27"/>
  <c r="D9" i="27"/>
  <c r="F11" i="4"/>
  <c r="F4" i="4" s="1"/>
  <c r="F6" i="4" s="1"/>
  <c r="E3" i="4"/>
  <c r="E5" i="4" s="1"/>
  <c r="E7" i="4"/>
  <c r="O154" i="8"/>
  <c r="E130" i="8"/>
  <c r="T111" i="17"/>
  <c r="E132" i="8"/>
  <c r="E134" i="8"/>
  <c r="T110" i="17"/>
  <c r="E135" i="8"/>
  <c r="E137" i="8"/>
  <c r="E138" i="8"/>
  <c r="N82" i="17"/>
  <c r="N116" i="17"/>
  <c r="N114" i="17" s="1"/>
  <c r="N117" i="17" s="1"/>
  <c r="N120" i="17" s="1"/>
  <c r="N106" i="17"/>
  <c r="N104" i="17" s="1"/>
  <c r="N107" i="17" s="1"/>
  <c r="N110" i="17" s="1"/>
  <c r="M82" i="17"/>
  <c r="M116" i="17"/>
  <c r="M114" i="17" s="1"/>
  <c r="M117" i="17" s="1"/>
  <c r="M106" i="17"/>
  <c r="M104" i="17" s="1"/>
  <c r="M107" i="17" s="1"/>
  <c r="M110" i="17" s="1"/>
  <c r="Y79" i="4"/>
  <c r="Y95" i="4" s="1"/>
  <c r="Y82" i="4"/>
  <c r="Y98" i="4" s="1"/>
  <c r="E36" i="4"/>
  <c r="Y88" i="4"/>
  <c r="Y104" i="4" s="1"/>
  <c r="V150" i="17"/>
  <c r="V152" i="17"/>
  <c r="T152" i="8"/>
  <c r="W120" i="8"/>
  <c r="B23" i="13"/>
  <c r="B26" i="13" s="1"/>
  <c r="B29" i="13" s="1"/>
  <c r="G23" i="13"/>
  <c r="G26" i="13" s="1"/>
  <c r="G29" i="13" s="1"/>
  <c r="AA55" i="4"/>
  <c r="J146" i="8"/>
  <c r="Q519" i="8"/>
  <c r="Q525" i="8" s="1"/>
  <c r="Q531" i="8" s="1"/>
  <c r="Q537" i="8" s="1"/>
  <c r="Q549" i="8" s="1"/>
  <c r="W155" i="8"/>
  <c r="N130" i="8"/>
  <c r="O171" i="8"/>
  <c r="N134" i="8"/>
  <c r="N131" i="8"/>
  <c r="N138" i="8"/>
  <c r="N246" i="8"/>
  <c r="N133" i="8"/>
  <c r="N137" i="8"/>
  <c r="N135" i="8"/>
  <c r="N132" i="8"/>
  <c r="D3" i="6"/>
  <c r="D5" i="6" s="1"/>
  <c r="M36" i="4"/>
  <c r="M33" i="4"/>
  <c r="Z738" i="8"/>
  <c r="AA738" i="8" s="1"/>
  <c r="AA741" i="8" s="1"/>
  <c r="AA752" i="8" s="1"/>
  <c r="AA755" i="8" s="1"/>
  <c r="AA758" i="8" s="1"/>
  <c r="J142" i="8"/>
  <c r="I36" i="4"/>
  <c r="G147" i="8"/>
  <c r="O152" i="8"/>
  <c r="G116" i="8"/>
  <c r="W140" i="17"/>
  <c r="W122" i="8"/>
  <c r="E42" i="4"/>
  <c r="U153" i="8"/>
  <c r="W141" i="17"/>
  <c r="G149" i="8"/>
  <c r="X153" i="8"/>
  <c r="G144" i="8"/>
  <c r="V158" i="8"/>
  <c r="G141" i="8"/>
  <c r="P157" i="8"/>
  <c r="G146" i="8"/>
  <c r="X88" i="4"/>
  <c r="X104" i="4" s="1"/>
  <c r="G148" i="8"/>
  <c r="G115" i="8"/>
  <c r="G143" i="8"/>
  <c r="X160" i="8"/>
  <c r="G145" i="8"/>
  <c r="L142" i="8"/>
  <c r="C23" i="13"/>
  <c r="C26" i="13" s="1"/>
  <c r="C29" i="13" s="1"/>
  <c r="L141" i="8"/>
  <c r="H134" i="8"/>
  <c r="L149" i="8"/>
  <c r="W154" i="8"/>
  <c r="K141" i="8"/>
  <c r="L143" i="8"/>
  <c r="K142" i="8"/>
  <c r="L144" i="8"/>
  <c r="H138" i="8"/>
  <c r="K145" i="8"/>
  <c r="L146" i="8"/>
  <c r="K42" i="4"/>
  <c r="K144" i="8"/>
  <c r="L182" i="8"/>
  <c r="L148" i="8"/>
  <c r="H132" i="8"/>
  <c r="L147" i="8"/>
  <c r="H137" i="8"/>
  <c r="K148" i="8"/>
  <c r="L145" i="8"/>
  <c r="H136" i="8"/>
  <c r="Y152" i="8"/>
  <c r="R126" i="8"/>
  <c r="F132" i="8"/>
  <c r="F136" i="8"/>
  <c r="V153" i="8"/>
  <c r="W125" i="8"/>
  <c r="G39" i="4"/>
  <c r="G85" i="4" s="1"/>
  <c r="G101" i="4" s="1"/>
  <c r="E8" i="1" a="1"/>
  <c r="E8" i="1" s="1"/>
  <c r="J147" i="8"/>
  <c r="J145" i="8"/>
  <c r="W124" i="8"/>
  <c r="V154" i="8"/>
  <c r="V159" i="8"/>
  <c r="O36" i="4"/>
  <c r="V119" i="17"/>
  <c r="I42" i="4"/>
  <c r="I143" i="8"/>
  <c r="AB52" i="4"/>
  <c r="AA88" i="4"/>
  <c r="AA104" i="4" s="1"/>
  <c r="I145" i="8"/>
  <c r="I116" i="8"/>
  <c r="I148" i="8"/>
  <c r="H143" i="8"/>
  <c r="AB55" i="4"/>
  <c r="O155" i="8"/>
  <c r="Q520" i="8"/>
  <c r="Q526" i="8" s="1"/>
  <c r="Q532" i="8" s="1"/>
  <c r="Q538" i="8" s="1"/>
  <c r="Q550" i="8" s="1"/>
  <c r="AA79" i="4"/>
  <c r="AA95" i="4" s="1"/>
  <c r="N82" i="22"/>
  <c r="I144" i="8"/>
  <c r="I141" i="8"/>
  <c r="U121" i="8"/>
  <c r="Q521" i="8"/>
  <c r="Q527" i="8" s="1"/>
  <c r="Q533" i="8" s="1"/>
  <c r="Q539" i="8" s="1"/>
  <c r="Q551" i="8" s="1"/>
  <c r="AC67" i="6"/>
  <c r="I149" i="8"/>
  <c r="I146" i="8"/>
  <c r="V156" i="8"/>
  <c r="O33" i="4"/>
  <c r="J182" i="8"/>
  <c r="I147" i="8"/>
  <c r="J135" i="8"/>
  <c r="W121" i="8"/>
  <c r="P253" i="8"/>
  <c r="P255" i="8" s="1"/>
  <c r="U253" i="8"/>
  <c r="U255" i="8" s="1"/>
  <c r="K182" i="8"/>
  <c r="F11" i="7"/>
  <c r="F3" i="7" s="1"/>
  <c r="F5" i="7" s="1"/>
  <c r="J137" i="8"/>
  <c r="U152" i="17"/>
  <c r="N143" i="8"/>
  <c r="AA94" i="4"/>
  <c r="R113" i="8"/>
  <c r="S182" i="8" s="1"/>
  <c r="T253" i="8"/>
  <c r="T255" i="8" s="1"/>
  <c r="N253" i="8"/>
  <c r="N257" i="8" s="1"/>
  <c r="W288" i="8"/>
  <c r="W290" i="8" s="1"/>
  <c r="F23" i="13"/>
  <c r="F26" i="13" s="1"/>
  <c r="F29" i="13" s="1"/>
  <c r="N182" i="8"/>
  <c r="M141" i="8"/>
  <c r="J144" i="8"/>
  <c r="M82" i="22"/>
  <c r="U151" i="17"/>
  <c r="J133" i="8"/>
  <c r="R179" i="8"/>
  <c r="J141" i="8"/>
  <c r="J132" i="8"/>
  <c r="N141" i="8"/>
  <c r="J148" i="8"/>
  <c r="C3" i="13"/>
  <c r="C5" i="13" s="1"/>
  <c r="J138" i="8"/>
  <c r="M149" i="8"/>
  <c r="C7" i="13"/>
  <c r="N148" i="8"/>
  <c r="P79" i="4"/>
  <c r="P95" i="4" s="1"/>
  <c r="J149" i="8"/>
  <c r="M144" i="8"/>
  <c r="N88" i="4"/>
  <c r="N104" i="4" s="1"/>
  <c r="AC52" i="4"/>
  <c r="AC95" i="4" s="1"/>
  <c r="W158" i="8"/>
  <c r="P155" i="8"/>
  <c r="D3" i="26"/>
  <c r="D5" i="26" s="1"/>
  <c r="S152" i="8"/>
  <c r="H148" i="8"/>
  <c r="S201" i="8"/>
  <c r="N79" i="4"/>
  <c r="N95" i="4" s="1"/>
  <c r="H115" i="8"/>
  <c r="V125" i="8"/>
  <c r="H182" i="8"/>
  <c r="H116" i="8"/>
  <c r="H149" i="8"/>
  <c r="M74" i="1"/>
  <c r="H144" i="8"/>
  <c r="S158" i="8"/>
  <c r="V126" i="8"/>
  <c r="N82" i="4"/>
  <c r="N98" i="4" s="1"/>
  <c r="AA82" i="4"/>
  <c r="AA98" i="4" s="1"/>
  <c r="H146" i="8"/>
  <c r="Z88" i="4"/>
  <c r="Z104" i="4" s="1"/>
  <c r="X140" i="17"/>
  <c r="L82" i="4"/>
  <c r="L98" i="4" s="1"/>
  <c r="X115" i="8"/>
  <c r="F88" i="4"/>
  <c r="F104" i="4" s="1"/>
  <c r="X120" i="8"/>
  <c r="X142" i="17"/>
  <c r="X122" i="8"/>
  <c r="Y156" i="8"/>
  <c r="AA103" i="4"/>
  <c r="W153" i="8"/>
  <c r="X119" i="8"/>
  <c r="F143" i="8"/>
  <c r="L88" i="4"/>
  <c r="L104" i="4" s="1"/>
  <c r="Q152" i="8"/>
  <c r="X141" i="17"/>
  <c r="Z119" i="17"/>
  <c r="Z120" i="17"/>
  <c r="R155" i="8"/>
  <c r="AA52" i="4"/>
  <c r="O120" i="8"/>
  <c r="V157" i="8"/>
  <c r="K115" i="8"/>
  <c r="M73" i="1"/>
  <c r="X124" i="8"/>
  <c r="X121" i="8"/>
  <c r="K133" i="8"/>
  <c r="W159" i="8"/>
  <c r="O160" i="8"/>
  <c r="O119" i="8"/>
  <c r="H55" i="22"/>
  <c r="O121" i="8"/>
  <c r="O113" i="8"/>
  <c r="O182" i="8" s="1"/>
  <c r="Y98" i="17"/>
  <c r="O122" i="8"/>
  <c r="R253" i="8"/>
  <c r="R255" i="8" s="1"/>
  <c r="O126" i="8"/>
  <c r="O94" i="4"/>
  <c r="O79" i="4"/>
  <c r="O95" i="4" s="1"/>
  <c r="H130" i="8"/>
  <c r="H133" i="8"/>
  <c r="S157" i="8"/>
  <c r="S121" i="8"/>
  <c r="S119" i="8"/>
  <c r="K246" i="8"/>
  <c r="Y124" i="8"/>
  <c r="G36" i="22"/>
  <c r="E115" i="8"/>
  <c r="S123" i="8"/>
  <c r="Y159" i="8"/>
  <c r="X154" i="8"/>
  <c r="H131" i="8"/>
  <c r="H135" i="8"/>
  <c r="U126" i="8"/>
  <c r="O42" i="4"/>
  <c r="V115" i="8"/>
  <c r="V288" i="8"/>
  <c r="V290" i="8" s="1"/>
  <c r="M42" i="4"/>
  <c r="H79" i="4"/>
  <c r="H95" i="4" s="1"/>
  <c r="T155" i="8"/>
  <c r="P110" i="8"/>
  <c r="P179" i="8" s="1"/>
  <c r="W40" i="4"/>
  <c r="W86" i="4" s="1"/>
  <c r="W102" i="4" s="1"/>
  <c r="O121" i="17"/>
  <c r="S159" i="8"/>
  <c r="S153" i="8"/>
  <c r="S156" i="8"/>
  <c r="T159" i="8"/>
  <c r="H118" i="22"/>
  <c r="T156" i="8"/>
  <c r="I33" i="4"/>
  <c r="W88" i="4"/>
  <c r="W104" i="4" s="1"/>
  <c r="X156" i="8"/>
  <c r="K36" i="4"/>
  <c r="G33" i="4"/>
  <c r="Q176" i="8"/>
  <c r="K19" i="7"/>
  <c r="K28" i="7" s="1"/>
  <c r="V155" i="8"/>
  <c r="Z96" i="4"/>
  <c r="O288" i="8"/>
  <c r="O290" i="8" s="1"/>
  <c r="T288" i="8"/>
  <c r="T290" i="8" s="1"/>
  <c r="S253" i="8"/>
  <c r="S255" i="8" s="1"/>
  <c r="X288" i="8"/>
  <c r="X290" i="8" s="1"/>
  <c r="Q288" i="8"/>
  <c r="Q290" i="8" s="1"/>
  <c r="E23" i="13"/>
  <c r="E26" i="13" s="1"/>
  <c r="E29" i="13" s="1"/>
  <c r="O87" i="4"/>
  <c r="O103" i="4" s="1"/>
  <c r="Y155" i="8"/>
  <c r="T157" i="8"/>
  <c r="R288" i="8"/>
  <c r="R290" i="8" s="1"/>
  <c r="R120" i="17"/>
  <c r="R121" i="17"/>
  <c r="O119" i="17"/>
  <c r="F79" i="4"/>
  <c r="F95" i="4" s="1"/>
  <c r="AE60" i="27"/>
  <c r="AE15" i="28"/>
  <c r="AE48" i="28" s="1"/>
  <c r="U159" i="8"/>
  <c r="R120" i="8"/>
  <c r="Q122" i="8"/>
  <c r="J171" i="8"/>
  <c r="P125" i="8"/>
  <c r="I171" i="8"/>
  <c r="R156" i="8"/>
  <c r="N171" i="8"/>
  <c r="E149" i="8"/>
  <c r="Q158" i="8"/>
  <c r="S120" i="8"/>
  <c r="W115" i="8"/>
  <c r="E148" i="8"/>
  <c r="K143" i="8"/>
  <c r="H145" i="8"/>
  <c r="E116" i="8"/>
  <c r="W253" i="8"/>
  <c r="W255" i="8" s="1"/>
  <c r="Y151" i="17"/>
  <c r="F3" i="1"/>
  <c r="F10" i="1" s="1"/>
  <c r="D79" i="4"/>
  <c r="D95" i="4" s="1"/>
  <c r="W79" i="4"/>
  <c r="W95" i="4" s="1"/>
  <c r="E133" i="8"/>
  <c r="M130" i="8"/>
  <c r="M138" i="8"/>
  <c r="L138" i="8"/>
  <c r="U156" i="8"/>
  <c r="S124" i="8"/>
  <c r="S115" i="8"/>
  <c r="E146" i="8"/>
  <c r="K146" i="8"/>
  <c r="H142" i="8"/>
  <c r="W156" i="8"/>
  <c r="M135" i="8"/>
  <c r="F82" i="4"/>
  <c r="F98" i="4" s="1"/>
  <c r="Q82" i="22"/>
  <c r="AC60" i="27"/>
  <c r="AC15" i="28"/>
  <c r="AC48" i="28" s="1"/>
  <c r="E147" i="8"/>
  <c r="Q160" i="8"/>
  <c r="E145" i="8"/>
  <c r="S125" i="8"/>
  <c r="R70" i="28"/>
  <c r="P126" i="8"/>
  <c r="M132" i="8"/>
  <c r="L130" i="8"/>
  <c r="R160" i="8"/>
  <c r="K131" i="8"/>
  <c r="P156" i="8"/>
  <c r="Y157" i="8"/>
  <c r="O125" i="8"/>
  <c r="M134" i="8"/>
  <c r="T122" i="8"/>
  <c r="R152" i="8"/>
  <c r="H141" i="8"/>
  <c r="I182" i="8"/>
  <c r="P152" i="8"/>
  <c r="O158" i="8"/>
  <c r="E144" i="8"/>
  <c r="K147" i="8"/>
  <c r="S122" i="8"/>
  <c r="Q109" i="17"/>
  <c r="Q70" i="28"/>
  <c r="M136" i="8"/>
  <c r="E10" i="1"/>
  <c r="L131" i="8"/>
  <c r="E143" i="8"/>
  <c r="V109" i="17"/>
  <c r="P82" i="4"/>
  <c r="P98" i="4" s="1"/>
  <c r="AP3" i="26"/>
  <c r="AP5" i="26" s="1"/>
  <c r="Q121" i="8"/>
  <c r="L246" i="8"/>
  <c r="O73" i="1"/>
  <c r="S126" i="8"/>
  <c r="E142" i="8"/>
  <c r="K149" i="8"/>
  <c r="U119" i="8"/>
  <c r="P121" i="8"/>
  <c r="Y60" i="27"/>
  <c r="Y15" i="28"/>
  <c r="Y48" i="28" s="1"/>
  <c r="Q125" i="8"/>
  <c r="X121" i="17"/>
  <c r="Q113" i="8"/>
  <c r="R119" i="8"/>
  <c r="E131" i="8"/>
  <c r="P122" i="8"/>
  <c r="R112" i="8"/>
  <c r="W82" i="4"/>
  <c r="W98" i="4" s="1"/>
  <c r="L133" i="8"/>
  <c r="L74" i="1"/>
  <c r="E141" i="8"/>
  <c r="V152" i="8"/>
  <c r="P82" i="22"/>
  <c r="W157" i="8"/>
  <c r="X157" i="8"/>
  <c r="W103" i="4"/>
  <c r="Q119" i="8"/>
  <c r="N73" i="1"/>
  <c r="O106" i="8"/>
  <c r="Q126" i="8"/>
  <c r="E136" i="8"/>
  <c r="Q159" i="8"/>
  <c r="L132" i="8"/>
  <c r="U157" i="8"/>
  <c r="L115" i="8"/>
  <c r="P160" i="8"/>
  <c r="L134" i="8"/>
  <c r="Y153" i="8"/>
  <c r="W119" i="8"/>
  <c r="R124" i="8"/>
  <c r="X158" i="8"/>
  <c r="Q522" i="8"/>
  <c r="Q528" i="8" s="1"/>
  <c r="Q534" i="8" s="1"/>
  <c r="Q540" i="8" s="1"/>
  <c r="D82" i="4"/>
  <c r="D98" i="4" s="1"/>
  <c r="E6" i="1"/>
  <c r="E7" i="1" s="1"/>
  <c r="E46" i="1" s="1"/>
  <c r="T153" i="8"/>
  <c r="S160" i="8"/>
  <c r="P113" i="8"/>
  <c r="P141" i="8" s="1"/>
  <c r="M133" i="8"/>
  <c r="X253" i="8"/>
  <c r="X255" i="8" s="1"/>
  <c r="L135" i="8"/>
  <c r="N74" i="1"/>
  <c r="Y121" i="8"/>
  <c r="R153" i="8"/>
  <c r="R123" i="8"/>
  <c r="P88" i="4"/>
  <c r="P104" i="4" s="1"/>
  <c r="Q124" i="8"/>
  <c r="M171" i="8"/>
  <c r="M137" i="8"/>
  <c r="R159" i="8"/>
  <c r="L136" i="8"/>
  <c r="AB88" i="4"/>
  <c r="AB104" i="4" s="1"/>
  <c r="R121" i="8"/>
  <c r="Q123" i="8"/>
  <c r="O120" i="17"/>
  <c r="R122" i="8"/>
  <c r="P119" i="8"/>
  <c r="M131" i="8"/>
  <c r="I115" i="8"/>
  <c r="D7" i="1"/>
  <c r="D2" i="1" s="1"/>
  <c r="G131" i="8"/>
  <c r="P120" i="8"/>
  <c r="T154" i="8"/>
  <c r="Y288" i="8"/>
  <c r="Y290" i="8" s="1"/>
  <c r="Q253" i="8"/>
  <c r="Q255" i="8" s="1"/>
  <c r="V253" i="8"/>
  <c r="V255" i="8" s="1"/>
  <c r="N288" i="8"/>
  <c r="N290" i="8" s="1"/>
  <c r="P288" i="8"/>
  <c r="P290" i="8" s="1"/>
  <c r="U288" i="8"/>
  <c r="U290" i="8" s="1"/>
  <c r="D23" i="13"/>
  <c r="D26" i="13" s="1"/>
  <c r="D29" i="13" s="1"/>
  <c r="AB46" i="27"/>
  <c r="X46" i="27"/>
  <c r="V48" i="27"/>
  <c r="T25" i="28"/>
  <c r="T49" i="28" s="1"/>
  <c r="V46" i="27"/>
  <c r="V15" i="28" s="1"/>
  <c r="T15" i="28"/>
  <c r="R48" i="27"/>
  <c r="P59" i="27"/>
  <c r="P25" i="28" s="1"/>
  <c r="P49" i="28" s="1"/>
  <c r="R46" i="27"/>
  <c r="R56" i="27" s="1"/>
  <c r="R15" i="28" s="1"/>
  <c r="P56" i="27"/>
  <c r="T49" i="27"/>
  <c r="P49" i="27"/>
  <c r="F13" i="27"/>
  <c r="G13" i="27" s="1"/>
  <c r="G4" i="27" s="1"/>
  <c r="E3" i="27"/>
  <c r="E5" i="27" s="1"/>
  <c r="E7" i="27"/>
  <c r="P111" i="17"/>
  <c r="P110" i="17"/>
  <c r="P109" i="17"/>
  <c r="O174" i="8"/>
  <c r="Q120" i="17"/>
  <c r="Q121" i="17"/>
  <c r="Q119" i="17"/>
  <c r="G97" i="4"/>
  <c r="G82" i="4"/>
  <c r="G98" i="4" s="1"/>
  <c r="X275" i="8"/>
  <c r="X277" i="8" s="1"/>
  <c r="I88" i="4"/>
  <c r="I104" i="4" s="1"/>
  <c r="I103" i="4"/>
  <c r="U121" i="17"/>
  <c r="U119" i="17"/>
  <c r="U120" i="17"/>
  <c r="T120" i="17"/>
  <c r="T121" i="17"/>
  <c r="T119" i="17"/>
  <c r="F23" i="7"/>
  <c r="D23" i="7" s="1"/>
  <c r="E23" i="7" s="1"/>
  <c r="I23" i="7"/>
  <c r="G88" i="4"/>
  <c r="G104" i="4" s="1"/>
  <c r="G103" i="4"/>
  <c r="Y273" i="8"/>
  <c r="Y263" i="8" s="1"/>
  <c r="S176" i="8"/>
  <c r="R176" i="8"/>
  <c r="Q181" i="8"/>
  <c r="F148" i="8"/>
  <c r="X159" i="8"/>
  <c r="H19" i="7"/>
  <c r="K130" i="8"/>
  <c r="M87" i="4"/>
  <c r="M103" i="4" s="1"/>
  <c r="J82" i="4"/>
  <c r="J98" i="4" s="1"/>
  <c r="G118" i="22"/>
  <c r="Q103" i="4"/>
  <c r="W126" i="8"/>
  <c r="K135" i="8"/>
  <c r="X125" i="8"/>
  <c r="F115" i="8"/>
  <c r="K137" i="8"/>
  <c r="F141" i="8"/>
  <c r="T158" i="8"/>
  <c r="Y109" i="17"/>
  <c r="U122" i="8"/>
  <c r="M115" i="8"/>
  <c r="Q111" i="17"/>
  <c r="X152" i="8"/>
  <c r="J130" i="8"/>
  <c r="Q154" i="8"/>
  <c r="Z79" i="4"/>
  <c r="Z95" i="4" s="1"/>
  <c r="Z82" i="4"/>
  <c r="Z98" i="4" s="1"/>
  <c r="F130" i="8"/>
  <c r="Q156" i="8"/>
  <c r="O124" i="8"/>
  <c r="Q157" i="8"/>
  <c r="T160" i="8"/>
  <c r="Y158" i="8"/>
  <c r="Y119" i="8"/>
  <c r="K171" i="8"/>
  <c r="F134" i="8"/>
  <c r="F146" i="8"/>
  <c r="V122" i="8"/>
  <c r="E88" i="4"/>
  <c r="E104" i="4" s="1"/>
  <c r="D7" i="13"/>
  <c r="V119" i="8"/>
  <c r="G133" i="8"/>
  <c r="Y110" i="17"/>
  <c r="R111" i="17"/>
  <c r="U155" i="8"/>
  <c r="W152" i="8"/>
  <c r="G36" i="4"/>
  <c r="F137" i="8"/>
  <c r="X126" i="8"/>
  <c r="Y120" i="8"/>
  <c r="Y122" i="8"/>
  <c r="V121" i="8"/>
  <c r="G42" i="4"/>
  <c r="G137" i="8"/>
  <c r="F149" i="8"/>
  <c r="O157" i="8"/>
  <c r="W109" i="17"/>
  <c r="Q153" i="8"/>
  <c r="F138" i="8"/>
  <c r="U154" i="8"/>
  <c r="P124" i="8"/>
  <c r="T123" i="8"/>
  <c r="T124" i="8"/>
  <c r="S179" i="8"/>
  <c r="F182" i="8"/>
  <c r="P106" i="8"/>
  <c r="Q175" i="8" s="1"/>
  <c r="R157" i="8"/>
  <c r="G246" i="8"/>
  <c r="F96" i="4"/>
  <c r="T121" i="8"/>
  <c r="R119" i="17"/>
  <c r="AC55" i="4"/>
  <c r="AC104" i="4" s="1"/>
  <c r="E39" i="4"/>
  <c r="E85" i="4" s="1"/>
  <c r="E101" i="4" s="1"/>
  <c r="N115" i="8"/>
  <c r="Y154" i="8"/>
  <c r="U158" i="8"/>
  <c r="W160" i="8"/>
  <c r="G130" i="8"/>
  <c r="J134" i="8"/>
  <c r="L79" i="4"/>
  <c r="L95" i="4" s="1"/>
  <c r="E11" i="6"/>
  <c r="F131" i="8"/>
  <c r="L171" i="8"/>
  <c r="D4" i="2"/>
  <c r="D6" i="2" s="1"/>
  <c r="R158" i="8"/>
  <c r="U152" i="8"/>
  <c r="P159" i="8"/>
  <c r="E7" i="7"/>
  <c r="N149" i="8"/>
  <c r="G171" i="8"/>
  <c r="U124" i="8"/>
  <c r="E79" i="4"/>
  <c r="E95" i="4" s="1"/>
  <c r="H96" i="4"/>
  <c r="J131" i="8"/>
  <c r="N145" i="8"/>
  <c r="F171" i="8"/>
  <c r="X111" i="17"/>
  <c r="T126" i="8"/>
  <c r="T125" i="8"/>
  <c r="S154" i="8"/>
  <c r="S288" i="8"/>
  <c r="S290" i="8" s="1"/>
  <c r="T119" i="8"/>
  <c r="N144" i="8"/>
  <c r="AB82" i="4"/>
  <c r="AB98" i="4" s="1"/>
  <c r="F135" i="8"/>
  <c r="X82" i="4"/>
  <c r="X98" i="4" s="1"/>
  <c r="M146" i="8"/>
  <c r="H88" i="4"/>
  <c r="H104" i="4" s="1"/>
  <c r="J136" i="8"/>
  <c r="J115" i="8"/>
  <c r="X263" i="8"/>
  <c r="P123" i="8"/>
  <c r="T115" i="8"/>
  <c r="N147" i="8"/>
  <c r="F144" i="8"/>
  <c r="U120" i="8"/>
  <c r="G55" i="22"/>
  <c r="X110" i="17"/>
  <c r="P154" i="8"/>
  <c r="N146" i="8"/>
  <c r="AB79" i="4"/>
  <c r="AB95" i="4" s="1"/>
  <c r="R109" i="17"/>
  <c r="M142" i="8"/>
  <c r="K132" i="8"/>
  <c r="Y160" i="8"/>
  <c r="R125" i="8"/>
  <c r="V111" i="17"/>
  <c r="H171" i="8"/>
  <c r="P97" i="4"/>
  <c r="AA110" i="17"/>
  <c r="S155" i="8"/>
  <c r="T120" i="8"/>
  <c r="P153" i="8"/>
  <c r="K33" i="4"/>
  <c r="V120" i="8"/>
  <c r="F145" i="8"/>
  <c r="U123" i="8"/>
  <c r="D88" i="4"/>
  <c r="D104" i="4" s="1"/>
  <c r="P74" i="1"/>
  <c r="M182" i="8"/>
  <c r="K136" i="8"/>
  <c r="O123" i="8"/>
  <c r="Y123" i="8"/>
  <c r="V160" i="8"/>
  <c r="O156" i="8"/>
  <c r="O74" i="1"/>
  <c r="G138" i="8"/>
  <c r="G132" i="8"/>
  <c r="F147" i="8"/>
  <c r="V123" i="8"/>
  <c r="X264" i="8"/>
  <c r="Q96" i="4"/>
  <c r="W110" i="17"/>
  <c r="J88" i="4"/>
  <c r="J104" i="4" s="1"/>
  <c r="D3" i="2"/>
  <c r="D5" i="2" s="1"/>
  <c r="E3" i="7"/>
  <c r="E5" i="7" s="1"/>
  <c r="Q120" i="8"/>
  <c r="F133" i="8"/>
  <c r="O159" i="8"/>
  <c r="H82" i="4"/>
  <c r="H98" i="4" s="1"/>
  <c r="Y125" i="8"/>
  <c r="Y126" i="8"/>
  <c r="G182" i="8"/>
  <c r="V124" i="8"/>
  <c r="L73" i="1"/>
  <c r="N142" i="8"/>
  <c r="G134" i="8"/>
  <c r="F142" i="8"/>
  <c r="O253" i="8"/>
  <c r="O255" i="8" s="1"/>
  <c r="K134" i="8"/>
  <c r="J79" i="4"/>
  <c r="J95" i="4" s="1"/>
  <c r="D7" i="6"/>
  <c r="Y127" i="8"/>
  <c r="G135" i="8"/>
  <c r="P73" i="1"/>
  <c r="E11" i="26"/>
  <c r="E4" i="26" s="1"/>
  <c r="E6" i="26" s="1"/>
  <c r="AP4" i="26"/>
  <c r="AP6" i="26" s="1"/>
  <c r="D7" i="26"/>
  <c r="AP7" i="26"/>
  <c r="AR11" i="26"/>
  <c r="AQ4" i="26"/>
  <c r="AQ6" i="26" s="1"/>
  <c r="AQ7" i="26"/>
  <c r="AQ3" i="26"/>
  <c r="AQ5" i="26" s="1"/>
  <c r="S174" i="8"/>
  <c r="R174" i="8"/>
  <c r="O180" i="8"/>
  <c r="M79" i="4"/>
  <c r="M95" i="4" s="1"/>
  <c r="M96" i="4"/>
  <c r="F3" i="2"/>
  <c r="F5" i="2" s="1"/>
  <c r="F4" i="2"/>
  <c r="F6" i="2" s="1"/>
  <c r="G11" i="2"/>
  <c r="F7" i="2"/>
  <c r="Q177" i="8"/>
  <c r="Y121" i="17"/>
  <c r="Y119" i="17"/>
  <c r="P176" i="8"/>
  <c r="O176" i="8"/>
  <c r="R177" i="8"/>
  <c r="S177" i="8"/>
  <c r="Q180" i="8"/>
  <c r="K96" i="4"/>
  <c r="K79" i="4"/>
  <c r="K95" i="4" s="1"/>
  <c r="K82" i="4"/>
  <c r="K98" i="4" s="1"/>
  <c r="P180" i="8"/>
  <c r="R180" i="8"/>
  <c r="S180" i="8"/>
  <c r="AA141" i="17"/>
  <c r="AA134" i="17"/>
  <c r="G40" i="4"/>
  <c r="G86" i="4" s="1"/>
  <c r="G102" i="4" s="1"/>
  <c r="F86" i="4"/>
  <c r="F102" i="4" s="1"/>
  <c r="P120" i="17"/>
  <c r="P119" i="17"/>
  <c r="P121" i="17"/>
  <c r="D86" i="4"/>
  <c r="D102" i="4" s="1"/>
  <c r="I82" i="4"/>
  <c r="I98" i="4" s="1"/>
  <c r="I97" i="4"/>
  <c r="I79" i="4"/>
  <c r="I95" i="4" s="1"/>
  <c r="I94" i="4"/>
  <c r="M82" i="4"/>
  <c r="M98" i="4" s="1"/>
  <c r="U109" i="17"/>
  <c r="U111" i="17"/>
  <c r="U110" i="17"/>
  <c r="P177" i="8"/>
  <c r="O178" i="8"/>
  <c r="E4" i="2"/>
  <c r="E6" i="2" s="1"/>
  <c r="E7" i="2"/>
  <c r="E3" i="2"/>
  <c r="E5" i="2" s="1"/>
  <c r="G79" i="4"/>
  <c r="G95" i="4" s="1"/>
  <c r="G94" i="4"/>
  <c r="P178" i="8"/>
  <c r="Q178" i="8"/>
  <c r="O181" i="8"/>
  <c r="P181" i="8"/>
  <c r="Y274" i="8"/>
  <c r="Y253" i="8"/>
  <c r="S175" i="8"/>
  <c r="R175" i="8"/>
  <c r="Z109" i="17"/>
  <c r="Z111" i="17"/>
  <c r="Z110" i="17"/>
  <c r="S120" i="17"/>
  <c r="S119" i="17"/>
  <c r="S121" i="17"/>
  <c r="Y120" i="17"/>
  <c r="S178" i="8"/>
  <c r="R178" i="8"/>
  <c r="K88" i="4"/>
  <c r="K104" i="4" s="1"/>
  <c r="K103" i="4"/>
  <c r="E82" i="4"/>
  <c r="E98" i="4" s="1"/>
  <c r="E97" i="4"/>
  <c r="Q174" i="8"/>
  <c r="P174" i="8"/>
  <c r="O109" i="17"/>
  <c r="O111" i="17"/>
  <c r="O110" i="17"/>
  <c r="V121" i="17"/>
  <c r="V120" i="17"/>
  <c r="O82" i="4"/>
  <c r="O98" i="4" s="1"/>
  <c r="O96" i="4"/>
  <c r="Q94" i="4"/>
  <c r="O177" i="8"/>
  <c r="W120" i="17"/>
  <c r="W121" i="17"/>
  <c r="W119" i="17"/>
  <c r="I133" i="8"/>
  <c r="X98" i="17"/>
  <c r="X262" i="8"/>
  <c r="Z98" i="17"/>
  <c r="Q155" i="8"/>
  <c r="AA98" i="17"/>
  <c r="P158" i="8"/>
  <c r="M148" i="8"/>
  <c r="I137" i="8"/>
  <c r="U125" i="8"/>
  <c r="I138" i="8"/>
  <c r="I136" i="8"/>
  <c r="X119" i="17"/>
  <c r="I135" i="8"/>
  <c r="I134" i="8"/>
  <c r="I132" i="8"/>
  <c r="D7" i="2"/>
  <c r="I131" i="8"/>
  <c r="U160" i="8"/>
  <c r="U115" i="8"/>
  <c r="I246" i="8"/>
  <c r="U127" i="8"/>
  <c r="X120" i="17"/>
  <c r="AA142" i="17" l="1"/>
  <c r="E11" i="13"/>
  <c r="E7" i="13" s="1"/>
  <c r="R144" i="8"/>
  <c r="R141" i="8"/>
  <c r="R142" i="8"/>
  <c r="R147" i="8"/>
  <c r="R143" i="8"/>
  <c r="D4" i="13"/>
  <c r="D6" i="13" s="1"/>
  <c r="Y134" i="17"/>
  <c r="Y142" i="17"/>
  <c r="N121" i="17"/>
  <c r="Y141" i="17"/>
  <c r="N109" i="17"/>
  <c r="M109" i="17"/>
  <c r="N119" i="17"/>
  <c r="F7" i="4"/>
  <c r="M111" i="17"/>
  <c r="O148" i="8"/>
  <c r="G11" i="4"/>
  <c r="G3" i="4" s="1"/>
  <c r="G5" i="4" s="1"/>
  <c r="N111" i="17"/>
  <c r="M121" i="17"/>
  <c r="M120" i="17"/>
  <c r="M119" i="17"/>
  <c r="F3" i="4"/>
  <c r="F5" i="4" s="1"/>
  <c r="G6" i="27"/>
  <c r="G9" i="27"/>
  <c r="P15" i="28"/>
  <c r="P40" i="28" s="1"/>
  <c r="O76" i="28" s="1"/>
  <c r="R145" i="8"/>
  <c r="O66" i="28"/>
  <c r="R48" i="28"/>
  <c r="P64" i="28"/>
  <c r="T48" i="28"/>
  <c r="P66" i="28"/>
  <c r="V48" i="28"/>
  <c r="R149" i="8"/>
  <c r="R116" i="8"/>
  <c r="R115" i="8"/>
  <c r="R182" i="8"/>
  <c r="R146" i="8"/>
  <c r="Z741" i="8"/>
  <c r="Z752" i="8" s="1"/>
  <c r="Z755" i="8" s="1"/>
  <c r="Z758" i="8" s="1"/>
  <c r="P145" i="8"/>
  <c r="P147" i="8"/>
  <c r="D46" i="1"/>
  <c r="N255" i="8"/>
  <c r="P144" i="8"/>
  <c r="D36" i="1"/>
  <c r="F4" i="7"/>
  <c r="F6" i="7" s="1"/>
  <c r="E40" i="4"/>
  <c r="E86" i="4" s="1"/>
  <c r="E102" i="4" s="1"/>
  <c r="Q179" i="8"/>
  <c r="AB49" i="27"/>
  <c r="G11" i="7"/>
  <c r="H11" i="7" s="1"/>
  <c r="H7" i="7" s="1"/>
  <c r="F7" i="7"/>
  <c r="O115" i="8"/>
  <c r="O149" i="8"/>
  <c r="O146" i="8"/>
  <c r="Q116" i="8"/>
  <c r="O88" i="4"/>
  <c r="O104" i="4" s="1"/>
  <c r="Y275" i="8"/>
  <c r="Y277" i="8" s="1"/>
  <c r="Q104" i="4"/>
  <c r="O141" i="8"/>
  <c r="D16" i="1"/>
  <c r="P148" i="8"/>
  <c r="P182" i="8"/>
  <c r="P115" i="8"/>
  <c r="O147" i="8"/>
  <c r="P143" i="8"/>
  <c r="O143" i="8"/>
  <c r="O144" i="8"/>
  <c r="O116" i="8"/>
  <c r="O145" i="8"/>
  <c r="D94" i="1"/>
  <c r="Q142" i="8"/>
  <c r="Q149" i="8"/>
  <c r="Q182" i="8"/>
  <c r="Q95" i="4"/>
  <c r="Q144" i="8"/>
  <c r="Q147" i="8"/>
  <c r="Q146" i="8"/>
  <c r="Q141" i="8"/>
  <c r="F8" i="1" a="1"/>
  <c r="F8" i="1" s="1"/>
  <c r="M88" i="4"/>
  <c r="M104" i="4" s="1"/>
  <c r="F6" i="1"/>
  <c r="AD46" i="27"/>
  <c r="AD49" i="27" s="1"/>
  <c r="Z46" i="27"/>
  <c r="Z49" i="27" s="1"/>
  <c r="F5" i="1" a="1"/>
  <c r="F5" i="1" s="1"/>
  <c r="G3" i="1"/>
  <c r="G5" i="1" s="1" a="1"/>
  <c r="G5" i="1" s="1"/>
  <c r="S181" i="8"/>
  <c r="R148" i="8"/>
  <c r="R181" i="8"/>
  <c r="O70" i="28"/>
  <c r="P116" i="8"/>
  <c r="P149" i="8"/>
  <c r="AE40" i="28"/>
  <c r="S63" i="28"/>
  <c r="O142" i="8"/>
  <c r="O175" i="8"/>
  <c r="Q145" i="8"/>
  <c r="Q148" i="8"/>
  <c r="Q115" i="8"/>
  <c r="P146" i="8"/>
  <c r="T40" i="28"/>
  <c r="P76" i="28" s="1"/>
  <c r="P70" i="28"/>
  <c r="W60" i="27"/>
  <c r="W15" i="28"/>
  <c r="W48" i="28" s="1"/>
  <c r="Y40" i="28"/>
  <c r="Q77" i="28" s="1"/>
  <c r="Q65" i="28"/>
  <c r="X267" i="8"/>
  <c r="X60" i="27"/>
  <c r="X15" i="28"/>
  <c r="X48" i="28" s="1"/>
  <c r="AC40" i="28"/>
  <c r="R77" i="28" s="1"/>
  <c r="R65" i="28"/>
  <c r="AA60" i="27"/>
  <c r="AA15" i="28"/>
  <c r="AA48" i="28" s="1"/>
  <c r="AB60" i="27"/>
  <c r="AB15" i="28"/>
  <c r="AB48" i="28" s="1"/>
  <c r="Q143" i="8"/>
  <c r="P60" i="27"/>
  <c r="R49" i="27"/>
  <c r="R59" i="27"/>
  <c r="T60" i="27"/>
  <c r="V49" i="27"/>
  <c r="X49" i="27"/>
  <c r="F4" i="27"/>
  <c r="F7" i="27"/>
  <c r="F3" i="27"/>
  <c r="F5" i="27" s="1"/>
  <c r="G3" i="27"/>
  <c r="G5" i="27" s="1"/>
  <c r="G7" i="27"/>
  <c r="H13" i="27"/>
  <c r="H4" i="27" s="1"/>
  <c r="F19" i="7"/>
  <c r="H28" i="7"/>
  <c r="I19" i="7"/>
  <c r="I28" i="7" s="1"/>
  <c r="G23" i="7"/>
  <c r="F11" i="6"/>
  <c r="E7" i="6"/>
  <c r="E3" i="6"/>
  <c r="E5" i="6" s="1"/>
  <c r="E4" i="6"/>
  <c r="E6" i="6" s="1"/>
  <c r="E7" i="26"/>
  <c r="P175" i="8"/>
  <c r="P142" i="8"/>
  <c r="X265" i="8"/>
  <c r="E16" i="1"/>
  <c r="E2" i="1"/>
  <c r="E94" i="1"/>
  <c r="E36" i="1"/>
  <c r="E84" i="1" s="1"/>
  <c r="F11" i="26"/>
  <c r="E3" i="26"/>
  <c r="E5" i="26" s="1"/>
  <c r="AS11" i="26"/>
  <c r="AR4" i="26"/>
  <c r="AR6" i="26" s="1"/>
  <c r="AR7" i="26"/>
  <c r="AR3" i="26"/>
  <c r="AR5" i="26" s="1"/>
  <c r="G3" i="2"/>
  <c r="G5" i="2" s="1"/>
  <c r="G7" i="2"/>
  <c r="G4" i="2"/>
  <c r="G6" i="2" s="1"/>
  <c r="H11" i="2"/>
  <c r="Y264" i="8"/>
  <c r="Y255" i="8"/>
  <c r="E4" i="13" l="1"/>
  <c r="E6" i="13" s="1"/>
  <c r="F11" i="13"/>
  <c r="F7" i="13" s="1"/>
  <c r="E3" i="13"/>
  <c r="E5" i="13" s="1"/>
  <c r="G7" i="4"/>
  <c r="H11" i="4"/>
  <c r="H7" i="4" s="1"/>
  <c r="G4" i="4"/>
  <c r="G6" i="4" s="1"/>
  <c r="P48" i="28"/>
  <c r="O64" i="28"/>
  <c r="F6" i="27"/>
  <c r="F9" i="27"/>
  <c r="H6" i="27"/>
  <c r="H9" i="27"/>
  <c r="H3" i="7"/>
  <c r="H5" i="7" s="1"/>
  <c r="G4" i="7"/>
  <c r="G6" i="7" s="1"/>
  <c r="D66" i="1"/>
  <c r="G3" i="7"/>
  <c r="G5" i="7" s="1"/>
  <c r="D84" i="1"/>
  <c r="I11" i="7"/>
  <c r="I3" i="7" s="1"/>
  <c r="I5" i="7" s="1"/>
  <c r="H4" i="7"/>
  <c r="H6" i="7" s="1"/>
  <c r="G7" i="7"/>
  <c r="F7" i="1"/>
  <c r="F36" i="1" s="1"/>
  <c r="Y265" i="8"/>
  <c r="Y267" i="8"/>
  <c r="G10" i="1"/>
  <c r="AD15" i="28"/>
  <c r="AD48" i="28" s="1"/>
  <c r="G6" i="1"/>
  <c r="G7" i="1" s="1"/>
  <c r="G8" i="1" a="1"/>
  <c r="G8" i="1" s="1"/>
  <c r="H3" i="1"/>
  <c r="R64" i="28"/>
  <c r="AB40" i="28"/>
  <c r="R76" i="28" s="1"/>
  <c r="AA40" i="28"/>
  <c r="R75" i="28" s="1"/>
  <c r="R63" i="28"/>
  <c r="V60" i="27"/>
  <c r="V25" i="28"/>
  <c r="V49" i="28" s="1"/>
  <c r="Q64" i="28"/>
  <c r="X40" i="28"/>
  <c r="Q76" i="28" s="1"/>
  <c r="AP15" i="28"/>
  <c r="S75" i="28"/>
  <c r="R60" i="27"/>
  <c r="R25" i="28"/>
  <c r="R49" i="28" s="1"/>
  <c r="W40" i="28"/>
  <c r="Q75" i="28" s="1"/>
  <c r="Q63" i="28"/>
  <c r="I13" i="27"/>
  <c r="I7" i="27" s="1"/>
  <c r="Z60" i="27"/>
  <c r="Z15" i="28"/>
  <c r="Z48" i="28" s="1"/>
  <c r="H3" i="27"/>
  <c r="H5" i="27" s="1"/>
  <c r="H7" i="27"/>
  <c r="F3" i="6"/>
  <c r="F5" i="6" s="1"/>
  <c r="G11" i="6"/>
  <c r="F7" i="6"/>
  <c r="F4" i="6"/>
  <c r="F6" i="6" s="1"/>
  <c r="E66" i="1"/>
  <c r="F28" i="7"/>
  <c r="E37" i="1" s="1"/>
  <c r="G19" i="7"/>
  <c r="G28" i="7" s="1"/>
  <c r="G11" i="26"/>
  <c r="F4" i="26"/>
  <c r="F6" i="26" s="1"/>
  <c r="F7" i="26"/>
  <c r="F3" i="26"/>
  <c r="F5" i="26" s="1"/>
  <c r="AT11" i="26"/>
  <c r="AS4" i="26"/>
  <c r="AS6" i="26" s="1"/>
  <c r="AS7" i="26"/>
  <c r="AS3" i="26"/>
  <c r="AS5" i="26" s="1"/>
  <c r="H4" i="2"/>
  <c r="H6" i="2" s="1"/>
  <c r="H7" i="2"/>
  <c r="I11" i="2"/>
  <c r="H3" i="2"/>
  <c r="H5" i="2" s="1"/>
  <c r="F3" i="13" l="1"/>
  <c r="F5" i="13" s="1"/>
  <c r="G11" i="13"/>
  <c r="G4" i="13" s="1"/>
  <c r="G6" i="13" s="1"/>
  <c r="F4" i="13"/>
  <c r="F6" i="13" s="1"/>
  <c r="H3" i="4"/>
  <c r="H5" i="4" s="1"/>
  <c r="H4" i="4"/>
  <c r="H6" i="4" s="1"/>
  <c r="I11" i="4"/>
  <c r="J11" i="4" s="1"/>
  <c r="J7" i="4" s="1"/>
  <c r="G3" i="13"/>
  <c r="G5" i="13" s="1"/>
  <c r="F27" i="22" s="1"/>
  <c r="J11" i="7"/>
  <c r="K11" i="7" s="1"/>
  <c r="G7" i="13"/>
  <c r="F46" i="1"/>
  <c r="F84" i="1" s="1"/>
  <c r="I4" i="7"/>
  <c r="I6" i="7" s="1"/>
  <c r="F94" i="1"/>
  <c r="F37" i="1"/>
  <c r="I7" i="7"/>
  <c r="F16" i="1"/>
  <c r="F66" i="1" s="1"/>
  <c r="F39" i="1"/>
  <c r="AD60" i="27"/>
  <c r="F29" i="1"/>
  <c r="F2" i="1"/>
  <c r="F19" i="1"/>
  <c r="I4" i="27"/>
  <c r="J13" i="27"/>
  <c r="K13" i="27" s="1"/>
  <c r="AP40" i="28"/>
  <c r="I3" i="27"/>
  <c r="I5" i="27" s="1"/>
  <c r="I3" i="1"/>
  <c r="H10" i="1"/>
  <c r="H6" i="1"/>
  <c r="H8" i="1" a="1"/>
  <c r="H8" i="1" s="1"/>
  <c r="H5" i="1" a="1"/>
  <c r="H5" i="1" s="1"/>
  <c r="Z40" i="28"/>
  <c r="Q78" i="28" s="1"/>
  <c r="Q66" i="28"/>
  <c r="V40" i="28"/>
  <c r="P78" i="28" s="1"/>
  <c r="P72" i="28"/>
  <c r="AD40" i="28"/>
  <c r="R66" i="28"/>
  <c r="AQ15" i="28"/>
  <c r="R40" i="28"/>
  <c r="O78" i="28" s="1"/>
  <c r="O72" i="28"/>
  <c r="G48" i="22"/>
  <c r="G58" i="22" s="1"/>
  <c r="C48" i="22"/>
  <c r="G36" i="1"/>
  <c r="G16" i="1"/>
  <c r="G46" i="1"/>
  <c r="G94" i="1"/>
  <c r="G39" i="1"/>
  <c r="G37" i="1"/>
  <c r="G19" i="1"/>
  <c r="G2" i="1"/>
  <c r="G29" i="1"/>
  <c r="H11" i="6"/>
  <c r="G3" i="6"/>
  <c r="G5" i="6" s="1"/>
  <c r="G4" i="6"/>
  <c r="G6" i="6" s="1"/>
  <c r="G7" i="6"/>
  <c r="G3" i="26"/>
  <c r="G5" i="26" s="1"/>
  <c r="G7" i="26"/>
  <c r="H11" i="26"/>
  <c r="G4" i="26"/>
  <c r="G6" i="26" s="1"/>
  <c r="AU11" i="26"/>
  <c r="AT4" i="26"/>
  <c r="AT6" i="26" s="1"/>
  <c r="AT7" i="26"/>
  <c r="AT3" i="26"/>
  <c r="AT5" i="26" s="1"/>
  <c r="J11" i="2"/>
  <c r="I3" i="2"/>
  <c r="I5" i="2" s="1"/>
  <c r="I4" i="2"/>
  <c r="I6" i="2" s="1"/>
  <c r="I7" i="2"/>
  <c r="F106" i="1"/>
  <c r="K11" i="4" l="1"/>
  <c r="D27" i="22"/>
  <c r="I7" i="4"/>
  <c r="J7" i="7"/>
  <c r="I4" i="4"/>
  <c r="I6" i="4" s="1"/>
  <c r="H48" i="22"/>
  <c r="H58" i="22" s="1"/>
  <c r="J4" i="7"/>
  <c r="J6" i="7" s="1"/>
  <c r="I3" i="4"/>
  <c r="I5" i="4" s="1"/>
  <c r="C27" i="22"/>
  <c r="J4" i="4"/>
  <c r="J6" i="4" s="1"/>
  <c r="J3" i="7"/>
  <c r="J5" i="7" s="1"/>
  <c r="J3" i="4"/>
  <c r="J5" i="4" s="1"/>
  <c r="H27" i="22"/>
  <c r="H39" i="22" s="1"/>
  <c r="E48" i="22"/>
  <c r="G27" i="22"/>
  <c r="G39" i="22" s="1"/>
  <c r="D48" i="22"/>
  <c r="E27" i="22"/>
  <c r="F48" i="22"/>
  <c r="H7" i="1"/>
  <c r="H39" i="1" s="1"/>
  <c r="I6" i="27"/>
  <c r="I9" i="27"/>
  <c r="F60" i="1"/>
  <c r="J7" i="27"/>
  <c r="J4" i="27"/>
  <c r="J3" i="27"/>
  <c r="J5" i="27" s="1"/>
  <c r="F69" i="1"/>
  <c r="H29" i="1"/>
  <c r="H19" i="1"/>
  <c r="I6" i="1"/>
  <c r="I8" i="1" a="1"/>
  <c r="I8" i="1" s="1"/>
  <c r="I5" i="1" a="1"/>
  <c r="I5" i="1" s="1"/>
  <c r="J3" i="1"/>
  <c r="I10" i="1"/>
  <c r="R78" i="28"/>
  <c r="AQ40" i="28"/>
  <c r="G84" i="1"/>
  <c r="G60" i="1"/>
  <c r="K4" i="27"/>
  <c r="K7" i="27"/>
  <c r="K3" i="27"/>
  <c r="K5" i="27" s="1"/>
  <c r="L13" i="27"/>
  <c r="G69" i="1"/>
  <c r="I11" i="6"/>
  <c r="H4" i="6"/>
  <c r="H6" i="6" s="1"/>
  <c r="H7" i="6"/>
  <c r="H3" i="6"/>
  <c r="H5" i="6" s="1"/>
  <c r="G66" i="1"/>
  <c r="I11" i="26"/>
  <c r="H7" i="26"/>
  <c r="H3" i="26"/>
  <c r="H5" i="26" s="1"/>
  <c r="H4" i="26"/>
  <c r="H6" i="26" s="1"/>
  <c r="AV11" i="26"/>
  <c r="AU4" i="26"/>
  <c r="AU6" i="26" s="1"/>
  <c r="AU7" i="26"/>
  <c r="AU3" i="26"/>
  <c r="AU5" i="26" s="1"/>
  <c r="K3" i="7"/>
  <c r="K5" i="7" s="1"/>
  <c r="L11" i="7"/>
  <c r="K7" i="7"/>
  <c r="K4" i="7"/>
  <c r="K6" i="7" s="1"/>
  <c r="J3" i="2"/>
  <c r="J5" i="2" s="1"/>
  <c r="J4" i="2"/>
  <c r="J6" i="2" s="1"/>
  <c r="J7" i="2"/>
  <c r="K11" i="2"/>
  <c r="K4" i="4"/>
  <c r="K6" i="4" s="1"/>
  <c r="K3" i="4"/>
  <c r="K5" i="4" s="1"/>
  <c r="K7" i="4"/>
  <c r="L11" i="4"/>
  <c r="H36" i="1" l="1"/>
  <c r="H16" i="1"/>
  <c r="H37" i="1"/>
  <c r="H46" i="1"/>
  <c r="H2" i="1"/>
  <c r="H94" i="1"/>
  <c r="K6" i="27"/>
  <c r="K9" i="27"/>
  <c r="J6" i="27"/>
  <c r="J9" i="27"/>
  <c r="H69" i="1"/>
  <c r="F78" i="1"/>
  <c r="I7" i="1"/>
  <c r="I16" i="1" s="1"/>
  <c r="G78" i="1"/>
  <c r="J6" i="1"/>
  <c r="J5" i="1" a="1"/>
  <c r="J5" i="1" s="1"/>
  <c r="K3" i="1"/>
  <c r="J10" i="1"/>
  <c r="J8" i="1" a="1"/>
  <c r="J8" i="1" s="1"/>
  <c r="H60" i="1"/>
  <c r="L7" i="27"/>
  <c r="L3" i="27"/>
  <c r="L5" i="27" s="1"/>
  <c r="M13" i="27"/>
  <c r="L4" i="27"/>
  <c r="I7" i="6"/>
  <c r="J11" i="6"/>
  <c r="I3" i="6"/>
  <c r="I5" i="6" s="1"/>
  <c r="I4" i="6"/>
  <c r="I6" i="6" s="1"/>
  <c r="I3" i="26"/>
  <c r="I5" i="26" s="1"/>
  <c r="I7" i="26"/>
  <c r="I4" i="26"/>
  <c r="I6" i="26" s="1"/>
  <c r="J11" i="26"/>
  <c r="AV4" i="26"/>
  <c r="AV6" i="26" s="1"/>
  <c r="AV7" i="26"/>
  <c r="AW11" i="26"/>
  <c r="AV3" i="26"/>
  <c r="AV5" i="26" s="1"/>
  <c r="L4" i="7"/>
  <c r="L6" i="7" s="1"/>
  <c r="M11" i="7"/>
  <c r="L3" i="7"/>
  <c r="L5" i="7" s="1"/>
  <c r="L7" i="7"/>
  <c r="L11" i="2"/>
  <c r="K7" i="2"/>
  <c r="K4" i="2"/>
  <c r="K6" i="2" s="1"/>
  <c r="K3" i="2"/>
  <c r="K5" i="2" s="1"/>
  <c r="G106" i="1"/>
  <c r="L4" i="4"/>
  <c r="L6" i="4" s="1"/>
  <c r="M11" i="4"/>
  <c r="L3" i="4"/>
  <c r="L5" i="4" s="1"/>
  <c r="L7" i="4"/>
  <c r="H84" i="1" l="1"/>
  <c r="H66" i="1"/>
  <c r="I46" i="1"/>
  <c r="I19" i="1"/>
  <c r="I2" i="1"/>
  <c r="I39" i="1"/>
  <c r="H78" i="1"/>
  <c r="L6" i="27"/>
  <c r="L9" i="27"/>
  <c r="I94" i="1"/>
  <c r="I29" i="1"/>
  <c r="I37" i="1"/>
  <c r="I36" i="1"/>
  <c r="I66" i="1" s="1"/>
  <c r="J7" i="1"/>
  <c r="J37" i="1" s="1"/>
  <c r="K10" i="1"/>
  <c r="L3" i="1"/>
  <c r="K5" i="1" a="1"/>
  <c r="K5" i="1" s="1"/>
  <c r="K6" i="1"/>
  <c r="K8" i="1" a="1"/>
  <c r="K8" i="1" s="1"/>
  <c r="M3" i="27"/>
  <c r="M5" i="27" s="1"/>
  <c r="M7" i="27"/>
  <c r="N13" i="27"/>
  <c r="M4" i="27"/>
  <c r="K11" i="6"/>
  <c r="J3" i="6"/>
  <c r="J5" i="6" s="1"/>
  <c r="J7" i="6"/>
  <c r="J4" i="6"/>
  <c r="J6" i="6" s="1"/>
  <c r="J4" i="26"/>
  <c r="J6" i="26" s="1"/>
  <c r="J7" i="26"/>
  <c r="J3" i="26"/>
  <c r="J5" i="26" s="1"/>
  <c r="K11" i="26"/>
  <c r="AW4" i="26"/>
  <c r="AW6" i="26" s="1"/>
  <c r="AW7" i="26"/>
  <c r="AX11" i="26"/>
  <c r="AW3" i="26"/>
  <c r="AW5" i="26" s="1"/>
  <c r="M3" i="7"/>
  <c r="M5" i="7" s="1"/>
  <c r="M4" i="7"/>
  <c r="M6" i="7" s="1"/>
  <c r="M7" i="7"/>
  <c r="N11" i="7"/>
  <c r="L7" i="2"/>
  <c r="L3" i="2"/>
  <c r="L5" i="2" s="1"/>
  <c r="M11" i="2"/>
  <c r="H106" i="1" s="1"/>
  <c r="L4" i="2"/>
  <c r="L6" i="2" s="1"/>
  <c r="N11" i="4"/>
  <c r="M7" i="4"/>
  <c r="M4" i="4"/>
  <c r="M6" i="4" s="1"/>
  <c r="M3" i="4"/>
  <c r="M5" i="4" s="1"/>
  <c r="I60" i="1" l="1"/>
  <c r="I69" i="1"/>
  <c r="J16" i="1"/>
  <c r="J30" i="1"/>
  <c r="J39" i="1"/>
  <c r="M6" i="27"/>
  <c r="M9" i="27"/>
  <c r="I84" i="1"/>
  <c r="J94" i="1"/>
  <c r="J40" i="1"/>
  <c r="J97" i="1"/>
  <c r="J36" i="1"/>
  <c r="J46" i="1"/>
  <c r="J29" i="1"/>
  <c r="J19" i="1"/>
  <c r="J20" i="1"/>
  <c r="J2" i="1"/>
  <c r="K7" i="1"/>
  <c r="L10" i="1"/>
  <c r="M3" i="1"/>
  <c r="L6" i="1"/>
  <c r="L5" i="1" a="1"/>
  <c r="L5" i="1" s="1"/>
  <c r="L8" i="1" a="1"/>
  <c r="L8" i="1" s="1"/>
  <c r="N3" i="27"/>
  <c r="N5" i="27" s="1"/>
  <c r="O13" i="27"/>
  <c r="N4" i="27"/>
  <c r="N7" i="27"/>
  <c r="K4" i="6"/>
  <c r="K6" i="6" s="1"/>
  <c r="K3" i="6"/>
  <c r="K5" i="6" s="1"/>
  <c r="L11" i="6"/>
  <c r="K7" i="6"/>
  <c r="K7" i="26"/>
  <c r="K4" i="26"/>
  <c r="K6" i="26" s="1"/>
  <c r="K3" i="26"/>
  <c r="K5" i="26" s="1"/>
  <c r="L11" i="26"/>
  <c r="AX4" i="26"/>
  <c r="AX6" i="26" s="1"/>
  <c r="AX7" i="26"/>
  <c r="AX3" i="26"/>
  <c r="AX5" i="26" s="1"/>
  <c r="AY11" i="26"/>
  <c r="N3" i="4"/>
  <c r="N5" i="4" s="1"/>
  <c r="N7" i="4"/>
  <c r="O11" i="4"/>
  <c r="N4" i="4"/>
  <c r="N6" i="4" s="1"/>
  <c r="M3" i="2"/>
  <c r="M5" i="2" s="1"/>
  <c r="N11" i="2"/>
  <c r="M7" i="2"/>
  <c r="M4" i="2"/>
  <c r="M6" i="2" s="1"/>
  <c r="N4" i="7"/>
  <c r="N6" i="7" s="1"/>
  <c r="N3" i="7"/>
  <c r="N5" i="7" s="1"/>
  <c r="O11" i="7"/>
  <c r="N7" i="7"/>
  <c r="J69" i="1" l="1"/>
  <c r="I78" i="1"/>
  <c r="J61" i="1"/>
  <c r="J66" i="1"/>
  <c r="L7" i="1"/>
  <c r="L19" i="1" s="1"/>
  <c r="N6" i="27"/>
  <c r="N9" i="27"/>
  <c r="J60" i="1"/>
  <c r="J78" i="1" s="1"/>
  <c r="J84" i="1"/>
  <c r="J70" i="1"/>
  <c r="J79" i="1" s="1"/>
  <c r="M5" i="1" a="1"/>
  <c r="M5" i="1" s="1"/>
  <c r="N3" i="1"/>
  <c r="M10" i="1"/>
  <c r="M8" i="1" a="1"/>
  <c r="M8" i="1" s="1"/>
  <c r="M6" i="1"/>
  <c r="K20" i="1"/>
  <c r="K30" i="1"/>
  <c r="K39" i="1"/>
  <c r="K29" i="1"/>
  <c r="K19" i="1"/>
  <c r="K40" i="1"/>
  <c r="K97" i="1"/>
  <c r="K46" i="1"/>
  <c r="K2" i="1"/>
  <c r="K36" i="1"/>
  <c r="K94" i="1"/>
  <c r="K16" i="1"/>
  <c r="K37" i="1"/>
  <c r="O3" i="27"/>
  <c r="O5" i="27" s="1"/>
  <c r="P13" i="27"/>
  <c r="O4" i="27"/>
  <c r="O7" i="27"/>
  <c r="L4" i="6"/>
  <c r="L6" i="6" s="1"/>
  <c r="M11" i="6"/>
  <c r="L3" i="6"/>
  <c r="L5" i="6" s="1"/>
  <c r="L7" i="6"/>
  <c r="L4" i="26"/>
  <c r="L6" i="26" s="1"/>
  <c r="L7" i="26"/>
  <c r="L3" i="26"/>
  <c r="L5" i="26" s="1"/>
  <c r="M11" i="26"/>
  <c r="AY4" i="26"/>
  <c r="AY6" i="26" s="1"/>
  <c r="AY7" i="26"/>
  <c r="AY3" i="26"/>
  <c r="AY5" i="26" s="1"/>
  <c r="AZ11" i="26"/>
  <c r="N4" i="2"/>
  <c r="N6" i="2" s="1"/>
  <c r="O11" i="2"/>
  <c r="I106" i="1" s="1"/>
  <c r="N3" i="2"/>
  <c r="N5" i="2" s="1"/>
  <c r="N7" i="2"/>
  <c r="O7" i="4"/>
  <c r="O4" i="4"/>
  <c r="O6" i="4" s="1"/>
  <c r="O3" i="4"/>
  <c r="O5" i="4" s="1"/>
  <c r="P11" i="4"/>
  <c r="O7" i="7"/>
  <c r="P11" i="7"/>
  <c r="O4" i="7"/>
  <c r="O6" i="7" s="1"/>
  <c r="O3" i="7"/>
  <c r="O5" i="7" s="1"/>
  <c r="L29" i="1" l="1"/>
  <c r="L30" i="1"/>
  <c r="L46" i="1"/>
  <c r="L20" i="1"/>
  <c r="L61" i="1" s="1"/>
  <c r="L97" i="1"/>
  <c r="L16" i="1"/>
  <c r="L39" i="1"/>
  <c r="L69" i="1" s="1"/>
  <c r="L94" i="1"/>
  <c r="L36" i="1"/>
  <c r="L66" i="1" s="1"/>
  <c r="L40" i="1"/>
  <c r="L70" i="1" s="1"/>
  <c r="L37" i="1"/>
  <c r="L2" i="1"/>
  <c r="K70" i="1"/>
  <c r="O6" i="27"/>
  <c r="O9" i="27"/>
  <c r="K61" i="1"/>
  <c r="K66" i="1"/>
  <c r="K84" i="1"/>
  <c r="K60" i="1"/>
  <c r="K69" i="1"/>
  <c r="L60" i="1"/>
  <c r="N5" i="1" a="1"/>
  <c r="N5" i="1" s="1"/>
  <c r="N6" i="1"/>
  <c r="N8" i="1" a="1"/>
  <c r="N8" i="1" s="1"/>
  <c r="N10" i="1"/>
  <c r="O3" i="1"/>
  <c r="M7" i="1"/>
  <c r="P3" i="27"/>
  <c r="P5" i="27" s="1"/>
  <c r="Q13" i="27"/>
  <c r="P4" i="27"/>
  <c r="P7" i="27"/>
  <c r="M3" i="6"/>
  <c r="M5" i="6" s="1"/>
  <c r="N11" i="6"/>
  <c r="M4" i="6"/>
  <c r="M6" i="6" s="1"/>
  <c r="M7" i="6"/>
  <c r="M3" i="26"/>
  <c r="M5" i="26" s="1"/>
  <c r="N11" i="26"/>
  <c r="M4" i="26"/>
  <c r="M6" i="26" s="1"/>
  <c r="M7" i="26"/>
  <c r="AZ4" i="26"/>
  <c r="AZ6" i="26" s="1"/>
  <c r="AZ7" i="26"/>
  <c r="AZ3" i="26"/>
  <c r="AZ5" i="26" s="1"/>
  <c r="BA11" i="26"/>
  <c r="Q11" i="7"/>
  <c r="P7" i="7"/>
  <c r="P4" i="7"/>
  <c r="P6" i="7" s="1"/>
  <c r="P3" i="7"/>
  <c r="P5" i="7" s="1"/>
  <c r="O7" i="2"/>
  <c r="P11" i="2"/>
  <c r="O3" i="2"/>
  <c r="O5" i="2" s="1"/>
  <c r="O4" i="2"/>
  <c r="O6" i="2" s="1"/>
  <c r="P4" i="4"/>
  <c r="P6" i="4" s="1"/>
  <c r="P7" i="4"/>
  <c r="P3" i="4"/>
  <c r="P5" i="4" s="1"/>
  <c r="Q11" i="4"/>
  <c r="L84" i="1" l="1"/>
  <c r="K79" i="1"/>
  <c r="L79" i="1"/>
  <c r="L78" i="1"/>
  <c r="P6" i="27"/>
  <c r="P9" i="27"/>
  <c r="N7" i="1"/>
  <c r="N97" i="1" s="1"/>
  <c r="M40" i="1"/>
  <c r="R40" i="1" s="1"/>
  <c r="M30" i="1"/>
  <c r="M2" i="1"/>
  <c r="M97" i="1"/>
  <c r="M29" i="1"/>
  <c r="M39" i="1"/>
  <c r="R39" i="1" s="1"/>
  <c r="M37" i="1"/>
  <c r="R37" i="1" s="1"/>
  <c r="M46" i="1"/>
  <c r="M19" i="1"/>
  <c r="M94" i="1"/>
  <c r="M16" i="1"/>
  <c r="M20" i="1"/>
  <c r="M36" i="1"/>
  <c r="R36" i="1" s="1"/>
  <c r="K78" i="1"/>
  <c r="O6" i="1"/>
  <c r="O5" i="1" a="1"/>
  <c r="O5" i="1" s="1"/>
  <c r="O8" i="1" a="1"/>
  <c r="O8" i="1" s="1"/>
  <c r="P3" i="1"/>
  <c r="O10" i="1"/>
  <c r="R13" i="27"/>
  <c r="Q4" i="27"/>
  <c r="Q7" i="27"/>
  <c r="Q3" i="27"/>
  <c r="Q5" i="27" s="1"/>
  <c r="N4" i="6"/>
  <c r="N6" i="6" s="1"/>
  <c r="N3" i="6"/>
  <c r="N5" i="6" s="1"/>
  <c r="N7" i="6"/>
  <c r="O11" i="6"/>
  <c r="N7" i="26"/>
  <c r="N4" i="26"/>
  <c r="N6" i="26" s="1"/>
  <c r="O11" i="26"/>
  <c r="N3" i="26"/>
  <c r="N5" i="26" s="1"/>
  <c r="BA7" i="26"/>
  <c r="BA4" i="26"/>
  <c r="BA6" i="26" s="1"/>
  <c r="BA3" i="26"/>
  <c r="BA5" i="26" s="1"/>
  <c r="BB11" i="26"/>
  <c r="P4" i="2"/>
  <c r="P6" i="2" s="1"/>
  <c r="P7" i="2"/>
  <c r="P3" i="2"/>
  <c r="P5" i="2" s="1"/>
  <c r="Q11" i="2"/>
  <c r="Q4" i="7"/>
  <c r="Q6" i="7" s="1"/>
  <c r="Q3" i="7"/>
  <c r="Q5" i="7" s="1"/>
  <c r="Q7" i="7"/>
  <c r="R11" i="7"/>
  <c r="Q3" i="4"/>
  <c r="Q5" i="4" s="1"/>
  <c r="Q4" i="4"/>
  <c r="Q6" i="4" s="1"/>
  <c r="R11" i="4"/>
  <c r="Q7" i="4"/>
  <c r="N30" i="1" l="1"/>
  <c r="N29" i="1"/>
  <c r="N37" i="1"/>
  <c r="N16" i="1"/>
  <c r="N39" i="1"/>
  <c r="N46" i="1"/>
  <c r="N40" i="1"/>
  <c r="N20" i="1"/>
  <c r="N19" i="1"/>
  <c r="N94" i="1"/>
  <c r="Q6" i="27"/>
  <c r="Q9" i="27"/>
  <c r="N2" i="1"/>
  <c r="N36" i="1"/>
  <c r="O7" i="1"/>
  <c r="O20" i="1" s="1"/>
  <c r="P8" i="1" a="1"/>
  <c r="P8" i="1" s="1"/>
  <c r="P10" i="1"/>
  <c r="P5" i="1" a="1"/>
  <c r="P5" i="1" s="1"/>
  <c r="Q3" i="1"/>
  <c r="P6" i="1"/>
  <c r="M66" i="1"/>
  <c r="M84" i="1"/>
  <c r="M69" i="1"/>
  <c r="M60" i="1"/>
  <c r="M61" i="1"/>
  <c r="M70" i="1"/>
  <c r="S13" i="27"/>
  <c r="R4" i="27"/>
  <c r="R7" i="27"/>
  <c r="R3" i="27"/>
  <c r="R5" i="27" s="1"/>
  <c r="P11" i="6"/>
  <c r="O7" i="6"/>
  <c r="O3" i="6"/>
  <c r="O5" i="6" s="1"/>
  <c r="O4" i="6"/>
  <c r="O6" i="6" s="1"/>
  <c r="O4" i="26"/>
  <c r="O6" i="26" s="1"/>
  <c r="O3" i="26"/>
  <c r="O5" i="26" s="1"/>
  <c r="P11" i="26"/>
  <c r="O7" i="26"/>
  <c r="BB3" i="26"/>
  <c r="BB5" i="26" s="1"/>
  <c r="BB7" i="26"/>
  <c r="BC11" i="26"/>
  <c r="BB4" i="26"/>
  <c r="BB6" i="26" s="1"/>
  <c r="Q7" i="2"/>
  <c r="Q3" i="2"/>
  <c r="Q5" i="2" s="1"/>
  <c r="Q4" i="2"/>
  <c r="Q6" i="2" s="1"/>
  <c r="R11" i="2"/>
  <c r="S11" i="7"/>
  <c r="R3" i="7"/>
  <c r="R5" i="7" s="1"/>
  <c r="R7" i="7"/>
  <c r="R4" i="7"/>
  <c r="R6" i="7" s="1"/>
  <c r="R4" i="4"/>
  <c r="R6" i="4" s="1"/>
  <c r="S11" i="4"/>
  <c r="R3" i="4"/>
  <c r="R5" i="4" s="1"/>
  <c r="R7" i="4"/>
  <c r="N84" i="1" l="1"/>
  <c r="N61" i="1"/>
  <c r="N69" i="1"/>
  <c r="N60" i="1"/>
  <c r="N70" i="1"/>
  <c r="N79" i="1" s="1"/>
  <c r="O2" i="1"/>
  <c r="O30" i="1"/>
  <c r="O61" i="1" s="1"/>
  <c r="R6" i="27"/>
  <c r="R9" i="27"/>
  <c r="N66" i="1"/>
  <c r="O19" i="1"/>
  <c r="O97" i="1"/>
  <c r="O37" i="1"/>
  <c r="T37" i="1" s="1"/>
  <c r="O40" i="1"/>
  <c r="T40" i="1" s="1"/>
  <c r="O39" i="1"/>
  <c r="T39" i="1" s="1"/>
  <c r="O36" i="1"/>
  <c r="T36" i="1" s="1"/>
  <c r="O94" i="1"/>
  <c r="M78" i="1"/>
  <c r="O29" i="1"/>
  <c r="O46" i="1"/>
  <c r="O16" i="1"/>
  <c r="P7" i="1"/>
  <c r="P20" i="1" s="1"/>
  <c r="M79" i="1"/>
  <c r="Q5" i="1" a="1"/>
  <c r="Q5" i="1" s="1"/>
  <c r="Q8" i="1" a="1"/>
  <c r="Q8" i="1" s="1"/>
  <c r="R3" i="1"/>
  <c r="Q6" i="1"/>
  <c r="Q10" i="1"/>
  <c r="T13" i="27"/>
  <c r="S4" i="27"/>
  <c r="S7" i="27"/>
  <c r="S3" i="27"/>
  <c r="S5" i="27" s="1"/>
  <c r="P3" i="6"/>
  <c r="P5" i="6" s="1"/>
  <c r="P4" i="6"/>
  <c r="P6" i="6" s="1"/>
  <c r="Q11" i="6"/>
  <c r="J107" i="1" s="1"/>
  <c r="P7" i="6"/>
  <c r="P4" i="26"/>
  <c r="P6" i="26" s="1"/>
  <c r="P3" i="26"/>
  <c r="P5" i="26" s="1"/>
  <c r="Q11" i="26"/>
  <c r="P7" i="26"/>
  <c r="BC3" i="26"/>
  <c r="BC5" i="26" s="1"/>
  <c r="BD11" i="26"/>
  <c r="BC4" i="26"/>
  <c r="BC6" i="26" s="1"/>
  <c r="BC7" i="26"/>
  <c r="S4" i="4"/>
  <c r="S6" i="4" s="1"/>
  <c r="S3" i="4"/>
  <c r="S5" i="4" s="1"/>
  <c r="T11" i="4"/>
  <c r="S7" i="4"/>
  <c r="S3" i="7"/>
  <c r="S5" i="7" s="1"/>
  <c r="S4" i="7"/>
  <c r="S6" i="7" s="1"/>
  <c r="S7" i="7"/>
  <c r="T11" i="7"/>
  <c r="S11" i="2"/>
  <c r="R3" i="2"/>
  <c r="R5" i="2" s="1"/>
  <c r="R4" i="2"/>
  <c r="R6" i="2" s="1"/>
  <c r="R7" i="2"/>
  <c r="N78" i="1" l="1"/>
  <c r="O60" i="1"/>
  <c r="S6" i="27"/>
  <c r="S9" i="27"/>
  <c r="O69" i="1"/>
  <c r="O78" i="1" s="1"/>
  <c r="O70" i="1"/>
  <c r="O79" i="1" s="1"/>
  <c r="O66" i="1"/>
  <c r="O84" i="1"/>
  <c r="P41" i="1"/>
  <c r="P2" i="1"/>
  <c r="P97" i="1"/>
  <c r="P30" i="1"/>
  <c r="P61" i="1" s="1"/>
  <c r="P36" i="1"/>
  <c r="P51" i="1"/>
  <c r="P37" i="1"/>
  <c r="P19" i="1"/>
  <c r="P31" i="1"/>
  <c r="P21" i="1"/>
  <c r="P39" i="1"/>
  <c r="P16" i="1"/>
  <c r="P29" i="1"/>
  <c r="P40" i="1"/>
  <c r="P70" i="1" s="1"/>
  <c r="R10" i="1"/>
  <c r="R8" i="1" a="1"/>
  <c r="R8" i="1" s="1"/>
  <c r="R6" i="1"/>
  <c r="S3" i="1"/>
  <c r="R5" i="1" a="1"/>
  <c r="R5" i="1" s="1"/>
  <c r="Q7" i="1"/>
  <c r="Q2" i="1" s="1"/>
  <c r="U13" i="27"/>
  <c r="T4" i="27"/>
  <c r="T7" i="27"/>
  <c r="T3" i="27"/>
  <c r="T5" i="27" s="1"/>
  <c r="Q3" i="6"/>
  <c r="Q5" i="6" s="1"/>
  <c r="Q7" i="6"/>
  <c r="Q4" i="6"/>
  <c r="Q6" i="6" s="1"/>
  <c r="R11" i="6"/>
  <c r="Q3" i="26"/>
  <c r="Q5" i="26" s="1"/>
  <c r="Q4" i="26"/>
  <c r="Q6" i="26" s="1"/>
  <c r="Q7" i="26"/>
  <c r="R11" i="26"/>
  <c r="BD3" i="26"/>
  <c r="BD5" i="26" s="1"/>
  <c r="BD4" i="26"/>
  <c r="BD6" i="26" s="1"/>
  <c r="BD7" i="26"/>
  <c r="BE11" i="26"/>
  <c r="T7" i="4"/>
  <c r="T4" i="4"/>
  <c r="T6" i="4" s="1"/>
  <c r="U11" i="4"/>
  <c r="T3" i="4"/>
  <c r="T5" i="4" s="1"/>
  <c r="S3" i="2"/>
  <c r="S5" i="2" s="1"/>
  <c r="S7" i="2"/>
  <c r="T11" i="2"/>
  <c r="S4" i="2"/>
  <c r="S6" i="2" s="1"/>
  <c r="U11" i="7"/>
  <c r="T4" i="7"/>
  <c r="T6" i="7" s="1"/>
  <c r="T7" i="7"/>
  <c r="T3" i="7"/>
  <c r="T5" i="7" s="1"/>
  <c r="T6" i="27" l="1"/>
  <c r="T9" i="27"/>
  <c r="P66" i="1"/>
  <c r="P60" i="1"/>
  <c r="P69" i="1"/>
  <c r="R7" i="1"/>
  <c r="R2" i="1" s="1"/>
  <c r="P79" i="1"/>
  <c r="S8" i="1" a="1"/>
  <c r="S8" i="1" s="1"/>
  <c r="S10" i="1"/>
  <c r="S6" i="1"/>
  <c r="T3" i="1"/>
  <c r="S5" i="1" a="1"/>
  <c r="S5" i="1" s="1"/>
  <c r="V13" i="27"/>
  <c r="U4" i="27"/>
  <c r="U7" i="27"/>
  <c r="U3" i="27"/>
  <c r="U5" i="27" s="1"/>
  <c r="R3" i="6"/>
  <c r="R5" i="6" s="1"/>
  <c r="R4" i="6"/>
  <c r="R6" i="6" s="1"/>
  <c r="S11" i="6"/>
  <c r="K107" i="1" s="1"/>
  <c r="R7" i="6"/>
  <c r="R3" i="26"/>
  <c r="R5" i="26" s="1"/>
  <c r="S11" i="26"/>
  <c r="R4" i="26"/>
  <c r="R6" i="26" s="1"/>
  <c r="R7" i="26"/>
  <c r="BE3" i="26"/>
  <c r="BE5" i="26" s="1"/>
  <c r="BE4" i="26"/>
  <c r="BE6" i="26" s="1"/>
  <c r="BE7" i="26"/>
  <c r="BF11" i="26"/>
  <c r="U3" i="4"/>
  <c r="U5" i="4" s="1"/>
  <c r="I25" i="22" s="1"/>
  <c r="U4" i="4"/>
  <c r="U6" i="4" s="1"/>
  <c r="U7" i="4"/>
  <c r="U7" i="7"/>
  <c r="U4" i="7"/>
  <c r="U6" i="7" s="1"/>
  <c r="U3" i="7"/>
  <c r="U5" i="7" s="1"/>
  <c r="T4" i="2"/>
  <c r="T6" i="2" s="1"/>
  <c r="U11" i="2"/>
  <c r="T3" i="2"/>
  <c r="T5" i="2" s="1"/>
  <c r="T7" i="2"/>
  <c r="U6" i="27" l="1"/>
  <c r="U9" i="27"/>
  <c r="P78" i="1"/>
  <c r="S7" i="1"/>
  <c r="S2" i="1" s="1"/>
  <c r="T10" i="1"/>
  <c r="T8" i="1" a="1"/>
  <c r="T8" i="1" s="1"/>
  <c r="U3" i="1"/>
  <c r="T6" i="1"/>
  <c r="T5" i="1" a="1"/>
  <c r="T5" i="1" s="1"/>
  <c r="W13" i="27"/>
  <c r="V4" i="27"/>
  <c r="V7" i="27"/>
  <c r="V3" i="27"/>
  <c r="V5" i="27" s="1"/>
  <c r="S3" i="6"/>
  <c r="S5" i="6" s="1"/>
  <c r="S4" i="6"/>
  <c r="S6" i="6" s="1"/>
  <c r="T11" i="6"/>
  <c r="S7" i="6"/>
  <c r="T11" i="26"/>
  <c r="S3" i="26"/>
  <c r="S5" i="26" s="1"/>
  <c r="S7" i="26"/>
  <c r="S4" i="26"/>
  <c r="S6" i="26" s="1"/>
  <c r="BG11" i="26"/>
  <c r="BF3" i="26"/>
  <c r="BF5" i="26" s="1"/>
  <c r="BF4" i="26"/>
  <c r="BF6" i="26" s="1"/>
  <c r="BF7" i="26"/>
  <c r="C26" i="22"/>
  <c r="G26" i="22"/>
  <c r="G38" i="22" s="1"/>
  <c r="H26" i="22"/>
  <c r="H38" i="22" s="1"/>
  <c r="D26" i="22"/>
  <c r="F47" i="22"/>
  <c r="E26" i="22"/>
  <c r="C47" i="22"/>
  <c r="F26" i="22"/>
  <c r="G47" i="22"/>
  <c r="G57" i="22" s="1"/>
  <c r="H47" i="22"/>
  <c r="H57" i="22" s="1"/>
  <c r="D47" i="22"/>
  <c r="E47" i="22"/>
  <c r="F25" i="22"/>
  <c r="E109" i="22"/>
  <c r="F46" i="22"/>
  <c r="G25" i="22"/>
  <c r="G46" i="22"/>
  <c r="E25" i="22"/>
  <c r="C25" i="22"/>
  <c r="F109" i="22"/>
  <c r="D25" i="22"/>
  <c r="H25" i="22"/>
  <c r="H109" i="22"/>
  <c r="H46" i="22"/>
  <c r="G109" i="22"/>
  <c r="C109" i="22"/>
  <c r="D46" i="22"/>
  <c r="E46" i="22"/>
  <c r="D109" i="22"/>
  <c r="C46" i="22"/>
  <c r="M109" i="22"/>
  <c r="Q109" i="22"/>
  <c r="R109" i="22"/>
  <c r="M18" i="22"/>
  <c r="N109" i="22"/>
  <c r="P109" i="22"/>
  <c r="O109" i="22"/>
  <c r="U4" i="2"/>
  <c r="U6" i="2" s="1"/>
  <c r="U7" i="2"/>
  <c r="V11" i="2"/>
  <c r="U3" i="2"/>
  <c r="U5" i="2" s="1"/>
  <c r="T7" i="1" l="1"/>
  <c r="T2" i="1" s="1"/>
  <c r="V6" i="27"/>
  <c r="V9" i="27"/>
  <c r="U6" i="1"/>
  <c r="V3" i="1"/>
  <c r="U8" i="1" a="1"/>
  <c r="U8" i="1" s="1"/>
  <c r="U5" i="1" a="1"/>
  <c r="U5" i="1" s="1"/>
  <c r="U10" i="1"/>
  <c r="X13" i="27"/>
  <c r="W4" i="27"/>
  <c r="W7" i="27"/>
  <c r="W3" i="27"/>
  <c r="W5" i="27" s="1"/>
  <c r="U11" i="6"/>
  <c r="T7" i="6"/>
  <c r="T3" i="6"/>
  <c r="T5" i="6" s="1"/>
  <c r="T4" i="6"/>
  <c r="T6" i="6" s="1"/>
  <c r="U11" i="26"/>
  <c r="T7" i="26"/>
  <c r="T3" i="26"/>
  <c r="T5" i="26" s="1"/>
  <c r="T4" i="26"/>
  <c r="T6" i="26" s="1"/>
  <c r="BG4" i="26"/>
  <c r="BG6" i="26" s="1"/>
  <c r="BG7" i="26"/>
  <c r="BG3" i="26"/>
  <c r="BG5" i="26" s="1"/>
  <c r="G119" i="22"/>
  <c r="H56" i="22"/>
  <c r="O18" i="22"/>
  <c r="O19" i="22"/>
  <c r="G56" i="22"/>
  <c r="G37" i="22"/>
  <c r="H119" i="22"/>
  <c r="H37" i="22"/>
  <c r="Q19" i="22"/>
  <c r="R19" i="22"/>
  <c r="V4" i="2"/>
  <c r="V6" i="2" s="1"/>
  <c r="V7" i="2"/>
  <c r="W11" i="2"/>
  <c r="V3" i="2"/>
  <c r="V5" i="2" s="1"/>
  <c r="P19" i="22"/>
  <c r="N19" i="22"/>
  <c r="N18" i="22"/>
  <c r="U7" i="1" l="1"/>
  <c r="U2" i="1" s="1"/>
  <c r="O33" i="22"/>
  <c r="O39" i="22" s="1"/>
  <c r="P33" i="22"/>
  <c r="P37" i="22" s="1"/>
  <c r="W6" i="27"/>
  <c r="W9" i="27"/>
  <c r="V8" i="1" a="1"/>
  <c r="V8" i="1" s="1"/>
  <c r="V5" i="1" a="1"/>
  <c r="V5" i="1" s="1"/>
  <c r="V6" i="1"/>
  <c r="W3" i="1"/>
  <c r="V10" i="1"/>
  <c r="X4" i="27"/>
  <c r="X7" i="27"/>
  <c r="X3" i="27"/>
  <c r="X5" i="27" s="1"/>
  <c r="Y13" i="27"/>
  <c r="U3" i="6"/>
  <c r="U5" i="6" s="1"/>
  <c r="U7" i="6"/>
  <c r="U4" i="6"/>
  <c r="U6" i="6" s="1"/>
  <c r="V11" i="6"/>
  <c r="L107" i="1"/>
  <c r="V11" i="26"/>
  <c r="U4" i="26"/>
  <c r="U6" i="26" s="1"/>
  <c r="U7" i="26"/>
  <c r="U3" i="26"/>
  <c r="U5" i="26" s="1"/>
  <c r="X11" i="2"/>
  <c r="W4" i="2"/>
  <c r="W6" i="2" s="1"/>
  <c r="W3" i="2"/>
  <c r="W5" i="2" s="1"/>
  <c r="W7" i="2"/>
  <c r="O38" i="22" l="1"/>
  <c r="P43" i="22"/>
  <c r="P39" i="22"/>
  <c r="P42" i="22"/>
  <c r="P38" i="22"/>
  <c r="O37" i="22"/>
  <c r="X6" i="27"/>
  <c r="X9" i="27"/>
  <c r="X3" i="1"/>
  <c r="W10" i="1"/>
  <c r="W6" i="1"/>
  <c r="W8" i="1" a="1"/>
  <c r="W8" i="1" s="1"/>
  <c r="W5" i="1" a="1"/>
  <c r="W5" i="1" s="1"/>
  <c r="V7" i="1"/>
  <c r="V2" i="1" s="1"/>
  <c r="Y4" i="27"/>
  <c r="Y7" i="27"/>
  <c r="Y3" i="27"/>
  <c r="Y5" i="27" s="1"/>
  <c r="Z13" i="27"/>
  <c r="W11" i="6"/>
  <c r="V3" i="6"/>
  <c r="V5" i="6" s="1"/>
  <c r="V4" i="6"/>
  <c r="V6" i="6" s="1"/>
  <c r="V7" i="6"/>
  <c r="W11" i="26"/>
  <c r="V3" i="26"/>
  <c r="V5" i="26" s="1"/>
  <c r="V4" i="26"/>
  <c r="V6" i="26" s="1"/>
  <c r="V7" i="26"/>
  <c r="X7" i="2"/>
  <c r="X4" i="2"/>
  <c r="X6" i="2" s="1"/>
  <c r="Y11" i="2"/>
  <c r="X3" i="2"/>
  <c r="X5" i="2" s="1"/>
  <c r="W7" i="1" l="1"/>
  <c r="W2" i="1" s="1"/>
  <c r="Y6" i="27"/>
  <c r="Y9" i="27"/>
  <c r="Y3" i="1"/>
  <c r="X8" i="1" a="1"/>
  <c r="X8" i="1" s="1"/>
  <c r="X6" i="1"/>
  <c r="X5" i="1" a="1"/>
  <c r="X5" i="1" s="1"/>
  <c r="X10" i="1"/>
  <c r="Z4" i="27"/>
  <c r="Z7" i="27"/>
  <c r="Z3" i="27"/>
  <c r="Z5" i="27" s="1"/>
  <c r="AA13" i="27"/>
  <c r="W3" i="6"/>
  <c r="W5" i="6" s="1"/>
  <c r="W7" i="6"/>
  <c r="W4" i="6"/>
  <c r="W6" i="6" s="1"/>
  <c r="X11" i="6"/>
  <c r="X11" i="26"/>
  <c r="W4" i="26"/>
  <c r="W6" i="26" s="1"/>
  <c r="W7" i="26"/>
  <c r="W3" i="26"/>
  <c r="W5" i="26" s="1"/>
  <c r="Y4" i="2"/>
  <c r="Y6" i="2" s="1"/>
  <c r="Z11" i="2"/>
  <c r="Y3" i="2"/>
  <c r="Y5" i="2" s="1"/>
  <c r="Y7" i="2"/>
  <c r="X7" i="1" l="1"/>
  <c r="X2" i="1" s="1"/>
  <c r="Z6" i="27"/>
  <c r="Z9" i="27"/>
  <c r="Y6" i="1"/>
  <c r="Y10" i="1"/>
  <c r="Y5" i="1" a="1"/>
  <c r="Y5" i="1" s="1"/>
  <c r="Z3" i="1"/>
  <c r="Y8" i="1" a="1"/>
  <c r="Y8" i="1" s="1"/>
  <c r="AA4" i="27"/>
  <c r="AA7" i="27"/>
  <c r="AA3" i="27"/>
  <c r="AA5" i="27" s="1"/>
  <c r="AB13" i="27"/>
  <c r="X3" i="6"/>
  <c r="X5" i="6" s="1"/>
  <c r="Y11" i="6"/>
  <c r="X4" i="6"/>
  <c r="X6" i="6" s="1"/>
  <c r="X7" i="6"/>
  <c r="X7" i="26"/>
  <c r="X3" i="26"/>
  <c r="X5" i="26" s="1"/>
  <c r="X4" i="26"/>
  <c r="X6" i="26" s="1"/>
  <c r="Y11" i="26"/>
  <c r="AA11" i="2"/>
  <c r="Z4" i="2"/>
  <c r="Z6" i="2" s="1"/>
  <c r="Z7" i="2"/>
  <c r="Z3" i="2"/>
  <c r="Z5" i="2" s="1"/>
  <c r="Y7" i="1" l="1"/>
  <c r="Y2" i="1" s="1"/>
  <c r="AA6" i="27"/>
  <c r="AA9" i="27"/>
  <c r="Z8" i="1" a="1"/>
  <c r="Z8" i="1" s="1"/>
  <c r="Z10" i="1"/>
  <c r="AA3" i="1"/>
  <c r="Z5" i="1" a="1"/>
  <c r="Z5" i="1" s="1"/>
  <c r="Z6" i="1"/>
  <c r="AB7" i="27"/>
  <c r="AB3" i="27"/>
  <c r="AB5" i="27" s="1"/>
  <c r="AC13" i="27"/>
  <c r="AB4" i="27"/>
  <c r="Y4" i="6"/>
  <c r="Y6" i="6" s="1"/>
  <c r="Y7" i="6"/>
  <c r="Z11" i="6"/>
  <c r="Y3" i="6"/>
  <c r="Y5" i="6" s="1"/>
  <c r="Y4" i="26"/>
  <c r="Y6" i="26" s="1"/>
  <c r="Y7" i="26"/>
  <c r="Z11" i="26"/>
  <c r="Y3" i="26"/>
  <c r="Y5" i="26" s="1"/>
  <c r="AA7" i="2"/>
  <c r="AA4" i="2"/>
  <c r="AA6" i="2" s="1"/>
  <c r="AA3" i="2"/>
  <c r="AA5" i="2" s="1"/>
  <c r="AB11" i="2"/>
  <c r="AB6" i="27" l="1"/>
  <c r="AB9" i="27"/>
  <c r="Z7" i="1"/>
  <c r="Z2" i="1" s="1"/>
  <c r="AB3" i="1"/>
  <c r="AA8" i="1" a="1"/>
  <c r="AA8" i="1" s="1"/>
  <c r="AA5" i="1" a="1"/>
  <c r="AA5" i="1" s="1"/>
  <c r="AA10" i="1"/>
  <c r="AA6" i="1"/>
  <c r="AC3" i="27"/>
  <c r="AC5" i="27" s="1"/>
  <c r="AD13" i="27"/>
  <c r="AC7" i="27"/>
  <c r="AC4" i="27"/>
  <c r="Z7" i="6"/>
  <c r="Z4" i="6"/>
  <c r="Z6" i="6" s="1"/>
  <c r="AA11" i="6"/>
  <c r="Z3" i="6"/>
  <c r="Z5" i="6" s="1"/>
  <c r="Z7" i="26"/>
  <c r="AA11" i="26"/>
  <c r="Z4" i="26"/>
  <c r="Z6" i="26" s="1"/>
  <c r="Z3" i="26"/>
  <c r="Z5" i="26" s="1"/>
  <c r="AB3" i="2"/>
  <c r="AB5" i="2" s="1"/>
  <c r="AB4" i="2"/>
  <c r="AB6" i="2" s="1"/>
  <c r="AC11" i="2"/>
  <c r="AB7" i="2"/>
  <c r="AC6" i="27" l="1"/>
  <c r="AC9" i="27"/>
  <c r="AA7" i="1"/>
  <c r="AA2" i="1" s="1"/>
  <c r="AB6" i="1"/>
  <c r="AC3" i="1"/>
  <c r="AB8" i="1" a="1"/>
  <c r="AB8" i="1" s="1"/>
  <c r="AB10" i="1"/>
  <c r="AB5" i="1" a="1"/>
  <c r="AB5" i="1" s="1"/>
  <c r="AD3" i="27"/>
  <c r="AD5" i="27" s="1"/>
  <c r="AE13" i="27"/>
  <c r="AD4" i="27"/>
  <c r="AD7" i="27"/>
  <c r="AA7" i="6"/>
  <c r="AB11" i="6"/>
  <c r="AA4" i="6"/>
  <c r="AA6" i="6" s="1"/>
  <c r="AA3" i="6"/>
  <c r="AA5" i="6" s="1"/>
  <c r="AA4" i="26"/>
  <c r="AA6" i="26" s="1"/>
  <c r="AA7" i="26"/>
  <c r="AB11" i="26"/>
  <c r="AA3" i="26"/>
  <c r="AA5" i="26" s="1"/>
  <c r="AD11" i="2"/>
  <c r="AC7" i="2"/>
  <c r="AC3" i="2"/>
  <c r="AC5" i="2" s="1"/>
  <c r="AC4" i="2"/>
  <c r="AC6" i="2" s="1"/>
  <c r="AB7" i="1" l="1"/>
  <c r="AB2" i="1" s="1"/>
  <c r="AD6" i="27"/>
  <c r="AD9" i="27"/>
  <c r="AC8" i="1" a="1"/>
  <c r="AC8" i="1" s="1"/>
  <c r="AD3" i="1"/>
  <c r="AC5" i="1" a="1"/>
  <c r="AC5" i="1" s="1"/>
  <c r="AC10" i="1"/>
  <c r="AC6" i="1"/>
  <c r="AE3" i="27"/>
  <c r="AE5" i="27" s="1"/>
  <c r="AF13" i="27"/>
  <c r="AE4" i="27"/>
  <c r="AE7" i="27"/>
  <c r="AB3" i="6"/>
  <c r="AB5" i="6" s="1"/>
  <c r="AB4" i="6"/>
  <c r="AB6" i="6" s="1"/>
  <c r="AC11" i="6"/>
  <c r="AB7" i="6"/>
  <c r="AB4" i="26"/>
  <c r="AB6" i="26" s="1"/>
  <c r="AB7" i="26"/>
  <c r="AB3" i="26"/>
  <c r="AB5" i="26" s="1"/>
  <c r="AC11" i="26"/>
  <c r="AE11" i="2"/>
  <c r="AD7" i="2"/>
  <c r="AD3" i="2"/>
  <c r="AD5" i="2" s="1"/>
  <c r="AD4" i="2"/>
  <c r="AD6" i="2" s="1"/>
  <c r="AE6" i="27" l="1"/>
  <c r="AE9" i="27"/>
  <c r="AC7" i="1"/>
  <c r="AC2" i="1" s="1"/>
  <c r="AD10" i="1"/>
  <c r="AD6" i="1"/>
  <c r="AE3" i="1"/>
  <c r="AD8" i="1" a="1"/>
  <c r="AD8" i="1" s="1"/>
  <c r="AD5" i="1" a="1"/>
  <c r="AD5" i="1" s="1"/>
  <c r="AF3" i="27"/>
  <c r="AF5" i="27" s="1"/>
  <c r="AG13" i="27"/>
  <c r="AF4" i="27"/>
  <c r="AF7" i="27"/>
  <c r="AD11" i="6"/>
  <c r="AC7" i="6"/>
  <c r="AC4" i="6"/>
  <c r="AC6" i="6" s="1"/>
  <c r="AC3" i="6"/>
  <c r="AC5" i="6" s="1"/>
  <c r="AC7" i="26"/>
  <c r="AC3" i="26"/>
  <c r="AC5" i="26" s="1"/>
  <c r="AD11" i="26"/>
  <c r="AC4" i="26"/>
  <c r="AC6" i="26" s="1"/>
  <c r="AE7" i="2"/>
  <c r="AE4" i="2"/>
  <c r="AE6" i="2" s="1"/>
  <c r="AF11" i="2"/>
  <c r="AE3" i="2"/>
  <c r="AE5" i="2" s="1"/>
  <c r="AF6" i="27" l="1"/>
  <c r="AF9" i="27"/>
  <c r="AD7" i="1"/>
  <c r="AD2" i="1" s="1"/>
  <c r="AE8" i="1" a="1"/>
  <c r="AE8" i="1" s="1"/>
  <c r="AE10" i="1"/>
  <c r="AF3" i="1"/>
  <c r="AE5" i="1" a="1"/>
  <c r="AE5" i="1" s="1"/>
  <c r="AE6" i="1"/>
  <c r="AH13" i="27"/>
  <c r="AG4" i="27"/>
  <c r="AG7" i="27"/>
  <c r="AG3" i="27"/>
  <c r="AG5" i="27" s="1"/>
  <c r="AE11" i="6"/>
  <c r="AD7" i="6"/>
  <c r="AD3" i="6"/>
  <c r="AD5" i="6" s="1"/>
  <c r="AD4" i="6"/>
  <c r="AD6" i="6" s="1"/>
  <c r="AD3" i="26"/>
  <c r="AD5" i="26" s="1"/>
  <c r="AD4" i="26"/>
  <c r="AD6" i="26" s="1"/>
  <c r="AD7" i="26"/>
  <c r="AE11" i="26"/>
  <c r="AF7" i="2"/>
  <c r="AF3" i="2"/>
  <c r="AF5" i="2" s="1"/>
  <c r="AF4" i="2"/>
  <c r="AF6" i="2" s="1"/>
  <c r="AG11" i="2"/>
  <c r="AG6" i="27" l="1"/>
  <c r="AG9" i="27"/>
  <c r="AE7" i="1"/>
  <c r="AE2" i="1" s="1"/>
  <c r="AF6" i="1"/>
  <c r="AF8" i="1" a="1"/>
  <c r="AF8" i="1" s="1"/>
  <c r="AG3" i="1"/>
  <c r="AF5" i="1" a="1"/>
  <c r="AF5" i="1" s="1"/>
  <c r="AF10" i="1"/>
  <c r="AI13" i="27"/>
  <c r="AH4" i="27"/>
  <c r="AH7" i="27"/>
  <c r="AH3" i="27"/>
  <c r="AH5" i="27" s="1"/>
  <c r="AE4" i="6"/>
  <c r="AE6" i="6" s="1"/>
  <c r="AE7" i="6"/>
  <c r="AE3" i="6"/>
  <c r="AE5" i="6" s="1"/>
  <c r="AF11" i="6"/>
  <c r="AE3" i="26"/>
  <c r="AE5" i="26" s="1"/>
  <c r="AF11" i="26"/>
  <c r="AE4" i="26"/>
  <c r="AE6" i="26" s="1"/>
  <c r="AE7" i="26"/>
  <c r="AG3" i="2"/>
  <c r="AG5" i="2" s="1"/>
  <c r="AG4" i="2"/>
  <c r="AG6" i="2" s="1"/>
  <c r="AG7" i="2"/>
  <c r="AH11" i="2"/>
  <c r="AF7" i="1" l="1"/>
  <c r="AF2" i="1" s="1"/>
  <c r="AH6" i="27"/>
  <c r="AH9" i="27"/>
  <c r="AG6" i="1"/>
  <c r="AG8" i="1" a="1"/>
  <c r="AG8" i="1" s="1"/>
  <c r="AG5" i="1" a="1"/>
  <c r="AG5" i="1" s="1"/>
  <c r="AG10" i="1"/>
  <c r="AH3" i="1"/>
  <c r="AJ13" i="27"/>
  <c r="AI4" i="27"/>
  <c r="AI7" i="27"/>
  <c r="AI3" i="27"/>
  <c r="AI5" i="27" s="1"/>
  <c r="AG11" i="6"/>
  <c r="AF7" i="6"/>
  <c r="AF4" i="6"/>
  <c r="AF6" i="6" s="1"/>
  <c r="AF3" i="6"/>
  <c r="AF5" i="6" s="1"/>
  <c r="AF4" i="26"/>
  <c r="AF6" i="26" s="1"/>
  <c r="AG11" i="26"/>
  <c r="AF3" i="26"/>
  <c r="AF5" i="26" s="1"/>
  <c r="AF7" i="26"/>
  <c r="AH7" i="2"/>
  <c r="AI11" i="2"/>
  <c r="AH3" i="2"/>
  <c r="AH5" i="2" s="1"/>
  <c r="AH4" i="2"/>
  <c r="AH6" i="2" s="1"/>
  <c r="AI6" i="27" l="1"/>
  <c r="AI9" i="27"/>
  <c r="AG7" i="1"/>
  <c r="AG2" i="1" s="1"/>
  <c r="AH10" i="1"/>
  <c r="AH8" i="1" a="1"/>
  <c r="AH8" i="1" s="1"/>
  <c r="AH5" i="1" a="1"/>
  <c r="AH5" i="1" s="1"/>
  <c r="AH6" i="1"/>
  <c r="AI3" i="1"/>
  <c r="AK13" i="27"/>
  <c r="AJ4" i="27"/>
  <c r="AJ7" i="27"/>
  <c r="AJ3" i="27"/>
  <c r="AJ5" i="27" s="1"/>
  <c r="AG7" i="6"/>
  <c r="AG3" i="6"/>
  <c r="AG5" i="6" s="1"/>
  <c r="AH11" i="6"/>
  <c r="AG4" i="6"/>
  <c r="AG6" i="6" s="1"/>
  <c r="AG3" i="26"/>
  <c r="AG5" i="26" s="1"/>
  <c r="AG7" i="26"/>
  <c r="AH11" i="26"/>
  <c r="AG4" i="26"/>
  <c r="AG6" i="26" s="1"/>
  <c r="M107" i="1"/>
  <c r="P107" i="1"/>
  <c r="O107" i="1"/>
  <c r="N107" i="1"/>
  <c r="AI7" i="2"/>
  <c r="AJ11" i="2"/>
  <c r="AI3" i="2"/>
  <c r="AI5" i="2" s="1"/>
  <c r="AI4" i="2"/>
  <c r="AI6" i="2" s="1"/>
  <c r="AJ6" i="27" l="1"/>
  <c r="AJ9" i="27"/>
  <c r="AH7" i="1"/>
  <c r="AH2" i="1" s="1"/>
  <c r="AI5" i="1" a="1"/>
  <c r="AI5" i="1" s="1"/>
  <c r="AI10" i="1"/>
  <c r="AI8" i="1" a="1"/>
  <c r="AI8" i="1" s="1"/>
  <c r="AJ3" i="1"/>
  <c r="AI6" i="1"/>
  <c r="AL13" i="27"/>
  <c r="AK4" i="27"/>
  <c r="AK7" i="27"/>
  <c r="AK3" i="27"/>
  <c r="AK5" i="27" s="1"/>
  <c r="AH7" i="6"/>
  <c r="AI11" i="6"/>
  <c r="AH3" i="6"/>
  <c r="AH5" i="6" s="1"/>
  <c r="AH4" i="6"/>
  <c r="AH6" i="6" s="1"/>
  <c r="AI11" i="26"/>
  <c r="AH3" i="26"/>
  <c r="AH5" i="26" s="1"/>
  <c r="AH4" i="26"/>
  <c r="AH6" i="26" s="1"/>
  <c r="AH7" i="26"/>
  <c r="AJ4" i="2"/>
  <c r="AJ6" i="2" s="1"/>
  <c r="AK11" i="2"/>
  <c r="AJ3" i="2"/>
  <c r="AJ5" i="2" s="1"/>
  <c r="AJ7" i="2"/>
  <c r="AK6" i="27" l="1"/>
  <c r="AK9" i="27"/>
  <c r="AJ8" i="1" a="1"/>
  <c r="AJ8" i="1" s="1"/>
  <c r="AK3" i="1"/>
  <c r="AJ6" i="1"/>
  <c r="AJ5" i="1" a="1"/>
  <c r="AJ5" i="1" s="1"/>
  <c r="AJ10" i="1"/>
  <c r="AI7" i="1"/>
  <c r="AI2" i="1" s="1"/>
  <c r="AM13" i="27"/>
  <c r="AL4" i="27"/>
  <c r="AL7" i="27"/>
  <c r="AL3" i="27"/>
  <c r="AL5" i="27" s="1"/>
  <c r="AJ11" i="6"/>
  <c r="AI3" i="6"/>
  <c r="AI5" i="6" s="1"/>
  <c r="AI4" i="6"/>
  <c r="AI6" i="6" s="1"/>
  <c r="AI7" i="6"/>
  <c r="AI3" i="26"/>
  <c r="AI5" i="26" s="1"/>
  <c r="AI4" i="26"/>
  <c r="AI6" i="26" s="1"/>
  <c r="AI7" i="26"/>
  <c r="AJ11" i="26"/>
  <c r="AK4" i="2"/>
  <c r="AK6" i="2" s="1"/>
  <c r="AK3" i="2"/>
  <c r="AK5" i="2" s="1"/>
  <c r="AL11" i="2"/>
  <c r="AK7" i="2"/>
  <c r="AJ7" i="1" l="1"/>
  <c r="AJ2" i="1" s="1"/>
  <c r="AL6" i="27"/>
  <c r="AL9" i="27"/>
  <c r="AK8" i="1" a="1"/>
  <c r="AK8" i="1" s="1"/>
  <c r="AK10" i="1"/>
  <c r="AK5" i="1" a="1"/>
  <c r="AK5" i="1" s="1"/>
  <c r="AK6" i="1"/>
  <c r="AN13" i="27"/>
  <c r="AM4" i="27"/>
  <c r="AM7" i="27"/>
  <c r="AM3" i="27"/>
  <c r="AM5" i="27" s="1"/>
  <c r="AK11" i="6"/>
  <c r="AJ7" i="6"/>
  <c r="AJ3" i="6"/>
  <c r="AJ5" i="6" s="1"/>
  <c r="AJ4" i="6"/>
  <c r="AJ6" i="6" s="1"/>
  <c r="AJ4" i="26"/>
  <c r="AJ6" i="26" s="1"/>
  <c r="AJ7" i="26"/>
  <c r="AJ3" i="26"/>
  <c r="AJ5" i="26" s="1"/>
  <c r="AK11" i="26"/>
  <c r="AL4" i="2"/>
  <c r="AL6" i="2" s="1"/>
  <c r="AM11" i="2"/>
  <c r="AL7" i="2"/>
  <c r="AL3" i="2"/>
  <c r="AL5" i="2" s="1"/>
  <c r="AM6" i="27" l="1"/>
  <c r="AM9" i="27"/>
  <c r="AK7" i="1"/>
  <c r="AK2" i="1" s="1"/>
  <c r="AN4" i="27"/>
  <c r="AN7" i="27"/>
  <c r="AN3" i="27"/>
  <c r="AN5" i="27" s="1"/>
  <c r="AK7" i="6"/>
  <c r="AK3" i="6"/>
  <c r="AK5" i="6" s="1"/>
  <c r="AK4" i="6"/>
  <c r="AK6" i="6" s="1"/>
  <c r="AL11" i="6"/>
  <c r="AK4" i="26"/>
  <c r="AK6" i="26" s="1"/>
  <c r="AL11" i="26"/>
  <c r="AK7" i="26"/>
  <c r="AK3" i="26"/>
  <c r="AK5" i="26" s="1"/>
  <c r="AM3" i="2"/>
  <c r="AM5" i="2" s="1"/>
  <c r="AM7" i="2"/>
  <c r="AM4" i="2"/>
  <c r="AM6" i="2" s="1"/>
  <c r="N106" i="1"/>
  <c r="J106" i="1"/>
  <c r="M106" i="1"/>
  <c r="K106" i="1"/>
  <c r="P106" i="1"/>
  <c r="L106" i="1"/>
  <c r="O106" i="1"/>
  <c r="BL37" i="2" l="1"/>
  <c r="BL32" i="2"/>
  <c r="BL31" i="2"/>
  <c r="BI34" i="2"/>
  <c r="BM32" i="2"/>
  <c r="BJ31" i="2"/>
  <c r="BN32" i="2"/>
  <c r="BJ32" i="2"/>
  <c r="BJ34" i="2"/>
  <c r="BM31" i="2"/>
  <c r="BN31" i="2"/>
  <c r="BG32" i="2"/>
  <c r="BI31" i="2"/>
  <c r="BK12" i="2"/>
  <c r="BJ12" i="2"/>
  <c r="BG37" i="2"/>
  <c r="BN14" i="2"/>
  <c r="BG14" i="2"/>
  <c r="BG31" i="2"/>
  <c r="BH12" i="2"/>
  <c r="BH32" i="2"/>
  <c r="BI32" i="2"/>
  <c r="BG34" i="2"/>
  <c r="BI12" i="2"/>
  <c r="BG19" i="2"/>
  <c r="BK14" i="2"/>
  <c r="BH14" i="2"/>
  <c r="BJ37" i="2"/>
  <c r="BH34" i="2"/>
  <c r="BK19" i="2"/>
  <c r="BH19" i="2"/>
  <c r="BH37" i="2"/>
  <c r="BK34" i="2"/>
  <c r="BI19" i="2"/>
  <c r="BK32" i="2"/>
  <c r="BM37" i="2"/>
  <c r="BN37" i="2"/>
  <c r="BN34" i="2"/>
  <c r="BG12" i="2"/>
  <c r="BK37" i="2"/>
  <c r="BJ19" i="2"/>
  <c r="BJ14" i="2"/>
  <c r="BN19" i="2"/>
  <c r="BI37" i="2"/>
  <c r="BK31" i="2"/>
  <c r="BH31" i="2"/>
  <c r="BI14" i="2"/>
  <c r="BN12" i="2"/>
  <c r="AN6" i="27"/>
  <c r="AN9" i="27"/>
  <c r="AL3" i="6"/>
  <c r="AL5" i="6" s="1"/>
  <c r="AM11" i="6"/>
  <c r="AL7" i="6"/>
  <c r="AL4" i="6"/>
  <c r="AL6" i="6" s="1"/>
  <c r="AM11" i="26"/>
  <c r="AL3" i="26"/>
  <c r="AL5" i="26" s="1"/>
  <c r="AL7" i="26"/>
  <c r="AL4" i="26"/>
  <c r="AL6" i="26" s="1"/>
  <c r="R112" i="22"/>
  <c r="P112" i="22"/>
  <c r="O112" i="22"/>
  <c r="Q112" i="22"/>
  <c r="G49" i="22"/>
  <c r="G112" i="22"/>
  <c r="F112" i="22"/>
  <c r="G28" i="22"/>
  <c r="E112" i="22"/>
  <c r="F28" i="22"/>
  <c r="E49" i="22"/>
  <c r="E28" i="22"/>
  <c r="H49" i="22"/>
  <c r="H28" i="22"/>
  <c r="H112" i="22"/>
  <c r="F49" i="22"/>
  <c r="BG39" i="2" l="1"/>
  <c r="BJ39" i="2"/>
  <c r="AA122" i="4"/>
  <c r="Z122" i="4"/>
  <c r="AC122" i="4"/>
  <c r="AB122" i="4"/>
  <c r="AD122" i="4"/>
  <c r="Y122" i="4"/>
  <c r="AE122" i="4"/>
  <c r="X122" i="4"/>
  <c r="BN27" i="2"/>
  <c r="BN20" i="2"/>
  <c r="BN15" i="2"/>
  <c r="BH20" i="2"/>
  <c r="O28" i="22"/>
  <c r="O40" i="22" s="1"/>
  <c r="BH27" i="2"/>
  <c r="N28" i="22"/>
  <c r="BG27" i="2"/>
  <c r="R28" i="22"/>
  <c r="BK27" i="2"/>
  <c r="P28" i="22"/>
  <c r="P40" i="22" s="1"/>
  <c r="BI27" i="2"/>
  <c r="Q28" i="22"/>
  <c r="BJ27" i="2"/>
  <c r="BK15" i="2"/>
  <c r="BK39" i="2"/>
  <c r="BG20" i="2"/>
  <c r="BI20" i="2"/>
  <c r="BI15" i="2"/>
  <c r="BK20" i="2"/>
  <c r="BJ15" i="2"/>
  <c r="BJ20" i="2"/>
  <c r="BG15" i="2"/>
  <c r="BI39" i="2"/>
  <c r="BH39" i="2"/>
  <c r="BH15" i="2"/>
  <c r="AB58" i="4"/>
  <c r="AD58" i="4"/>
  <c r="AC58" i="4"/>
  <c r="AA58" i="4"/>
  <c r="AB64" i="4"/>
  <c r="AA64" i="4"/>
  <c r="AA61" i="4"/>
  <c r="AC64" i="4"/>
  <c r="AC61" i="4"/>
  <c r="AD64" i="4"/>
  <c r="AA60" i="4"/>
  <c r="AB60" i="4"/>
  <c r="AB67" i="4"/>
  <c r="AD60" i="4"/>
  <c r="AB61" i="4"/>
  <c r="AC60" i="4"/>
  <c r="AC67" i="4"/>
  <c r="AD67" i="4"/>
  <c r="AD61" i="4"/>
  <c r="AA67" i="4"/>
  <c r="Z58" i="4"/>
  <c r="AM3" i="6"/>
  <c r="AM5" i="6" s="1"/>
  <c r="AM7" i="6"/>
  <c r="AM4" i="6"/>
  <c r="AM6" i="6" s="1"/>
  <c r="AM4" i="26"/>
  <c r="AM6" i="26" s="1"/>
  <c r="AM7" i="26"/>
  <c r="AM3" i="26"/>
  <c r="AM5" i="26" s="1"/>
  <c r="G40" i="22"/>
  <c r="G122" i="22"/>
  <c r="H40" i="22"/>
  <c r="G59" i="22"/>
  <c r="H122" i="22"/>
  <c r="H59" i="22"/>
  <c r="T30" i="22" l="1"/>
  <c r="R29" i="22"/>
  <c r="Q29" i="22"/>
  <c r="S29" i="22"/>
  <c r="AD63" i="4"/>
  <c r="AD65" i="4" s="1"/>
  <c r="AD66" i="4" s="1"/>
  <c r="AC63" i="4"/>
  <c r="AC65" i="4" s="1"/>
  <c r="AC66" i="4" s="1"/>
  <c r="AA63" i="4"/>
  <c r="AA65" i="4" s="1"/>
  <c r="AA66" i="4" s="1"/>
  <c r="AB62" i="4"/>
  <c r="AB68" i="4"/>
  <c r="AA62" i="4"/>
  <c r="AB63" i="4"/>
  <c r="AB65" i="4" s="1"/>
  <c r="AB66" i="4" s="1"/>
  <c r="AA68" i="4"/>
  <c r="AD62" i="4"/>
  <c r="AD68" i="4"/>
  <c r="AC62" i="4"/>
  <c r="AC68" i="4"/>
  <c r="Q113" i="22"/>
  <c r="R113" i="22"/>
  <c r="G113" i="22"/>
  <c r="F50" i="22"/>
  <c r="H50" i="22"/>
  <c r="G50" i="22"/>
  <c r="H113" i="22"/>
  <c r="H29" i="22"/>
  <c r="F113" i="22"/>
  <c r="G29" i="22"/>
  <c r="F29" i="22"/>
  <c r="P113" i="22"/>
  <c r="P29" i="22"/>
  <c r="P41" i="22" s="1"/>
  <c r="Q33" i="22" l="1"/>
  <c r="H41" i="22"/>
  <c r="H32" i="22"/>
  <c r="H42" i="22" s="1"/>
  <c r="H123" i="22"/>
  <c r="H114" i="22"/>
  <c r="H124" i="22" s="1"/>
  <c r="G60" i="22"/>
  <c r="G51" i="22"/>
  <c r="G61" i="22" s="1"/>
  <c r="H60" i="22"/>
  <c r="H51" i="22"/>
  <c r="H61" i="22" s="1"/>
  <c r="G41" i="22"/>
  <c r="G32" i="22"/>
  <c r="G42" i="22" s="1"/>
  <c r="G123" i="22"/>
  <c r="G114" i="22"/>
  <c r="G124" i="22" s="1"/>
  <c r="Z131" i="17"/>
  <c r="Z141" i="17" s="1"/>
  <c r="Z22" i="17"/>
  <c r="Q38" i="22" l="1"/>
  <c r="Q36" i="22"/>
  <c r="Q42" i="22"/>
  <c r="Q43" i="22"/>
  <c r="Q39" i="22"/>
  <c r="Q37" i="22"/>
  <c r="Q40" i="22"/>
  <c r="Q41" i="22"/>
  <c r="Z134" i="17"/>
  <c r="Z142" i="17"/>
  <c r="Z140" i="17"/>
  <c r="S33" i="22" l="1"/>
  <c r="T33" i="22"/>
  <c r="T44" i="22" s="1"/>
  <c r="R33" i="22"/>
  <c r="T43" i="22" l="1"/>
  <c r="T36" i="22"/>
  <c r="T39" i="22"/>
  <c r="T37" i="22"/>
  <c r="T41" i="22"/>
  <c r="T38" i="22"/>
  <c r="T40" i="22"/>
  <c r="T42" i="22"/>
  <c r="S42" i="22"/>
  <c r="S36" i="22"/>
  <c r="S37" i="22"/>
  <c r="S38" i="22"/>
  <c r="S43" i="22"/>
  <c r="S39" i="22"/>
  <c r="S40" i="22"/>
  <c r="S41" i="22"/>
  <c r="R43" i="22"/>
  <c r="R42" i="22"/>
  <c r="R37" i="22"/>
  <c r="R39" i="22"/>
  <c r="R38" i="22"/>
  <c r="R41" i="22"/>
  <c r="R40" i="22"/>
  <c r="R36" i="22"/>
  <c r="E5" i="46" l="1"/>
  <c r="D10" i="46"/>
  <c r="C10" i="46"/>
  <c r="C5" i="46"/>
  <c r="G5" i="46"/>
  <c r="E10" i="46"/>
  <c r="F10" i="46"/>
  <c r="D5" i="46"/>
  <c r="F5"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K15" authorId="0" shapeId="0" xr:uid="{3AFA8EA7-18BF-46A6-A97C-9A5D54C7EFB3}">
      <text>
        <r>
          <rPr>
            <b/>
            <sz val="9"/>
            <color indexed="81"/>
            <rFont val="Tahoma"/>
            <family val="2"/>
          </rPr>
          <t>Sam Bradshaw:</t>
        </r>
        <r>
          <rPr>
            <sz val="9"/>
            <color indexed="81"/>
            <rFont val="Tahoma"/>
            <family val="2"/>
          </rPr>
          <t xml:space="preserve">
Pre Demerger, less consistent, includes UBet</t>
        </r>
      </text>
    </comment>
    <comment ref="B24" authorId="0" shapeId="0" xr:uid="{F43DA1BE-40C3-46D9-A469-456FB94D049D}">
      <text>
        <r>
          <rPr>
            <b/>
            <sz val="9"/>
            <color indexed="81"/>
            <rFont val="Tahoma"/>
            <family val="2"/>
          </rPr>
          <t>Sam Bradshaw:</t>
        </r>
        <r>
          <rPr>
            <sz val="9"/>
            <color indexed="81"/>
            <rFont val="Tahoma"/>
            <family val="2"/>
          </rPr>
          <t xml:space="preserve">
 Per VRI Share</t>
        </r>
      </text>
    </comment>
    <comment ref="B25" authorId="0" shapeId="0" xr:uid="{97B244CD-B8F0-4E7E-8438-5695C7186A42}">
      <text>
        <r>
          <rPr>
            <b/>
            <sz val="9"/>
            <color indexed="81"/>
            <rFont val="Tahoma"/>
            <family val="2"/>
          </rPr>
          <t>Sam Bradshaw:</t>
        </r>
        <r>
          <rPr>
            <sz val="9"/>
            <color indexed="81"/>
            <rFont val="Tahoma"/>
            <family val="2"/>
          </rPr>
          <t xml:space="preserve">
 Per VRI Share</t>
        </r>
      </text>
    </comment>
    <comment ref="B34" authorId="0" shapeId="0" xr:uid="{F2E8B97D-8129-402B-A6D7-55817D50346B}">
      <text>
        <r>
          <rPr>
            <b/>
            <sz val="9"/>
            <color indexed="81"/>
            <rFont val="Tahoma"/>
            <family val="2"/>
          </rPr>
          <t>Sam Bradshaw:</t>
        </r>
        <r>
          <rPr>
            <sz val="9"/>
            <color indexed="81"/>
            <rFont val="Tahoma"/>
            <family val="2"/>
          </rPr>
          <t xml:space="preserve">
 Per VRI Share</t>
        </r>
      </text>
    </comment>
    <comment ref="B35" authorId="0" shapeId="0" xr:uid="{25C7D90E-F1CF-4EC0-874E-CB4DD175EA56}">
      <text>
        <r>
          <rPr>
            <b/>
            <sz val="9"/>
            <color indexed="81"/>
            <rFont val="Tahoma"/>
            <family val="2"/>
          </rPr>
          <t>Sam Bradshaw:</t>
        </r>
        <r>
          <rPr>
            <sz val="9"/>
            <color indexed="81"/>
            <rFont val="Tahoma"/>
            <family val="2"/>
          </rPr>
          <t xml:space="preserve">
 Per VRI Share</t>
        </r>
      </text>
    </comment>
    <comment ref="B44" authorId="0" shapeId="0" xr:uid="{2366DFBC-8687-4F2F-ABA2-BE8AF5C7D940}">
      <text>
        <r>
          <rPr>
            <b/>
            <sz val="9"/>
            <color indexed="81"/>
            <rFont val="Tahoma"/>
            <family val="2"/>
          </rPr>
          <t>Sam Bradshaw:</t>
        </r>
        <r>
          <rPr>
            <sz val="9"/>
            <color indexed="81"/>
            <rFont val="Tahoma"/>
            <family val="2"/>
          </rPr>
          <t xml:space="preserve">
 Per VRI Share</t>
        </r>
      </text>
    </comment>
    <comment ref="B45" authorId="0" shapeId="0" xr:uid="{C5A6858F-0D4E-4440-9FD8-967785ABE8A9}">
      <text>
        <r>
          <rPr>
            <b/>
            <sz val="9"/>
            <color indexed="81"/>
            <rFont val="Tahoma"/>
            <family val="2"/>
          </rPr>
          <t>Sam Bradshaw:</t>
        </r>
        <r>
          <rPr>
            <sz val="9"/>
            <color indexed="81"/>
            <rFont val="Tahoma"/>
            <family val="2"/>
          </rPr>
          <t xml:space="preserve">
 Per VRI Share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L27" authorId="0" shapeId="0" xr:uid="{4B0F759B-E9A9-449F-8666-EAF4A96B005E}">
      <text>
        <r>
          <rPr>
            <b/>
            <sz val="9"/>
            <color indexed="81"/>
            <rFont val="Tahoma"/>
            <family val="2"/>
          </rPr>
          <t>Sam Bradshaw:</t>
        </r>
        <r>
          <rPr>
            <sz val="9"/>
            <color indexed="81"/>
            <rFont val="Tahoma"/>
            <family val="2"/>
          </rPr>
          <t xml:space="preserve">
March YE</t>
        </r>
      </text>
    </comment>
    <comment ref="L30" authorId="0" shapeId="0" xr:uid="{565CBAB0-FA91-42F7-81B4-9336E9E1DF37}">
      <text>
        <r>
          <rPr>
            <b/>
            <sz val="9"/>
            <color indexed="81"/>
            <rFont val="Tahoma"/>
            <family val="2"/>
          </rPr>
          <t>Sam Bradshaw:</t>
        </r>
        <r>
          <rPr>
            <sz val="9"/>
            <color indexed="81"/>
            <rFont val="Tahoma"/>
            <family val="2"/>
          </rPr>
          <t xml:space="preserve">
June YE (6m early)</t>
        </r>
      </text>
    </comment>
    <comment ref="L63" authorId="0" shapeId="0" xr:uid="{18C305A2-8B20-406D-AB48-89E18EEBE27B}">
      <text>
        <r>
          <rPr>
            <b/>
            <sz val="9"/>
            <color indexed="81"/>
            <rFont val="Tahoma"/>
            <family val="2"/>
          </rPr>
          <t>Sam Bradshaw:</t>
        </r>
        <r>
          <rPr>
            <sz val="9"/>
            <color indexed="81"/>
            <rFont val="Tahoma"/>
            <family val="2"/>
          </rPr>
          <t xml:space="preserve">
https://www.flutter.com/media/pzuc0n0y/flutter-entertainment-plc-annual-report-accounts-2022.pdf</t>
        </r>
      </text>
    </comment>
    <comment ref="B133" authorId="0" shapeId="0" xr:uid="{E59849F8-3198-452B-966B-9E9618D51DCC}">
      <text>
        <r>
          <rPr>
            <b/>
            <sz val="9"/>
            <color indexed="81"/>
            <rFont val="Tahoma"/>
            <family val="2"/>
          </rPr>
          <t>Sam Bradshaw:</t>
        </r>
        <r>
          <rPr>
            <sz val="9"/>
            <color indexed="81"/>
            <rFont val="Tahoma"/>
            <family val="2"/>
          </rPr>
          <t xml:space="preserve">
https://www.abc.net.au/news/2023-02-25/sports-betting-australia-50-billion-house-representatives/102021668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B15" authorId="0" shapeId="0" xr:uid="{9AAADDA6-E846-4AC0-9746-77123AABD060}">
      <text>
        <r>
          <rPr>
            <b/>
            <sz val="9"/>
            <color indexed="81"/>
            <rFont val="Tahoma"/>
            <family val="2"/>
          </rPr>
          <t>Sam Bradshaw:</t>
        </r>
        <r>
          <rPr>
            <sz val="9"/>
            <color indexed="81"/>
            <rFont val="Tahoma"/>
            <family val="2"/>
          </rPr>
          <t xml:space="preserve">
KPI Excel Files</t>
        </r>
      </text>
    </comment>
    <comment ref="B35" authorId="0" shapeId="0" xr:uid="{9DE82C85-8121-440A-86C5-3325606E53CF}">
      <text>
        <r>
          <rPr>
            <b/>
            <sz val="9"/>
            <color indexed="81"/>
            <rFont val="Tahoma"/>
            <family val="2"/>
          </rPr>
          <t>Sam Bradshaw:</t>
        </r>
        <r>
          <rPr>
            <sz val="9"/>
            <color indexed="81"/>
            <rFont val="Tahoma"/>
            <family val="2"/>
          </rPr>
          <t xml:space="preserve">
000's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AA19" authorId="0" shapeId="0" xr:uid="{B9B4B6A2-79C3-426A-93F0-6C7174C0AF28}">
      <text>
        <r>
          <rPr>
            <b/>
            <sz val="9"/>
            <color indexed="81"/>
            <rFont val="Tahoma"/>
            <family val="2"/>
          </rPr>
          <t>Sam Bradshaw:</t>
        </r>
        <r>
          <rPr>
            <sz val="9"/>
            <color indexed="81"/>
            <rFont val="Tahoma"/>
            <family val="2"/>
          </rPr>
          <t xml:space="preserve">
significantly restated to include NZ</t>
        </r>
      </text>
    </comment>
    <comment ref="AC19" authorId="0" shapeId="0" xr:uid="{DDEABCD4-60D2-4F3F-90BA-CD80E05764A8}">
      <text>
        <r>
          <rPr>
            <b/>
            <sz val="9"/>
            <color indexed="81"/>
            <rFont val="Tahoma"/>
            <family val="2"/>
          </rPr>
          <t>Sam Bradshaw:</t>
        </r>
        <r>
          <rPr>
            <sz val="9"/>
            <color indexed="81"/>
            <rFont val="Tahoma"/>
            <family val="2"/>
          </rPr>
          <t xml:space="preserve">
Includes NZ</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N34" authorId="0" shapeId="0" xr:uid="{89002721-338E-4979-A6EA-43B469A4C2A7}">
      <text>
        <r>
          <rPr>
            <b/>
            <sz val="9"/>
            <color indexed="81"/>
            <rFont val="Tahoma"/>
            <family val="2"/>
          </rPr>
          <t>Sam Bradshaw:</t>
        </r>
        <r>
          <rPr>
            <sz val="9"/>
            <color indexed="81"/>
            <rFont val="Tahoma"/>
            <family val="2"/>
          </rPr>
          <t xml:space="preserve">
7m aussie - 1.2m US</t>
        </r>
      </text>
    </comment>
    <comment ref="O34" authorId="0" shapeId="0" xr:uid="{9F82703D-2DBF-4C2A-8BC0-A12495A9BA1A}">
      <text>
        <r>
          <rPr>
            <b/>
            <sz val="9"/>
            <color indexed="81"/>
            <rFont val="Tahoma"/>
            <family val="2"/>
          </rPr>
          <t>Sam Bradshaw:</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AD33" authorId="0" shapeId="0" xr:uid="{1174D336-4574-482F-95E4-9BCAAD78F586}">
      <text>
        <r>
          <rPr>
            <b/>
            <sz val="9"/>
            <color indexed="81"/>
            <rFont val="Tahoma"/>
            <family val="2"/>
          </rPr>
          <t>Sam Bradshaw:</t>
        </r>
        <r>
          <rPr>
            <sz val="9"/>
            <color indexed="81"/>
            <rFont val="Tahoma"/>
            <family val="2"/>
          </rPr>
          <t xml:space="preserve">
For the six months ending 31 December 2023</t>
        </r>
      </text>
    </comment>
    <comment ref="B54" authorId="0" shapeId="0" xr:uid="{70789C63-F08A-416C-9D5E-5C8AEFD3A10C}">
      <text>
        <r>
          <rPr>
            <b/>
            <sz val="9"/>
            <color indexed="81"/>
            <rFont val="Tahoma"/>
            <family val="2"/>
          </rPr>
          <t>Sam Bradshaw:</t>
        </r>
        <r>
          <rPr>
            <sz val="9"/>
            <color indexed="81"/>
            <rFont val="Tahoma"/>
            <family val="2"/>
          </rPr>
          <t xml:space="preserve">
Super inconsistent reporting
Cost per First Time Depositor (CFTD) is defined as the cost of acquiring a Registered Customer that has deposited money into their account for the Quarter. </t>
        </r>
      </text>
    </comment>
    <comment ref="B55" authorId="0" shapeId="0" xr:uid="{55BBB255-06F5-4C89-A18D-1AE7BED5FC4C}">
      <text>
        <r>
          <rPr>
            <b/>
            <sz val="9"/>
            <color indexed="81"/>
            <rFont val="Tahoma"/>
            <family val="2"/>
          </rPr>
          <t>Sam Bradshaw:</t>
        </r>
        <r>
          <rPr>
            <sz val="9"/>
            <color indexed="81"/>
            <rFont val="Tahoma"/>
            <family val="2"/>
          </rPr>
          <t xml:space="preserve">
Annual Customer Value is defined as Net Win divided by Active Customers for the 12 months ending 30 June 2023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BB22" authorId="0" shapeId="0" xr:uid="{F4471245-8C6E-4584-B864-848B3CD7401F}">
      <text>
        <r>
          <rPr>
            <b/>
            <sz val="9"/>
            <color indexed="81"/>
            <rFont val="Tahoma"/>
            <family val="2"/>
          </rPr>
          <t>Sam Bradshaw:</t>
        </r>
        <r>
          <rPr>
            <sz val="9"/>
            <color indexed="81"/>
            <rFont val="Tahoma"/>
            <family val="2"/>
          </rPr>
          <t xml:space="preserve">
CY23</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5" authorId="0" shapeId="0" xr:uid="{00000000-0006-0000-0000-000005000000}">
      <text>
        <r>
          <rPr>
            <sz val="10"/>
            <rFont val="Arial"/>
            <family val="2"/>
          </rPr>
          <t>FY23 shown on the RESTATED basis per the FY24 report (Revenue 2,188,859; Results from Operating Activities 288,108). Originally reported in the FY23 filing as Revenue 2,184,628 (Form 388); the FY24 report reclassified ~4,231 from Finance Income into Revenue. Nil impact on profit before tax / NPAT.</t>
        </r>
      </text>
    </comment>
    <comment ref="H8" authorId="0" shapeId="0" xr:uid="{00000000-0006-0000-0000-000004000000}">
      <text>
        <r>
          <rPr>
            <sz val="10"/>
            <rFont val="Arial"/>
            <family val="2"/>
          </rPr>
          <t>FY22 A&amp;M and D&amp;A shown on the FY23-report restated basis (A&amp;M 218,299-&gt;217,928; D&amp;A 88,489-&gt;88,447). Minor reclassification among operating-expense lines; nil impact on Results from Operating Activities (residual Other Opex absorbs the offset).</t>
        </r>
      </text>
    </comment>
    <comment ref="B9" authorId="0" shapeId="0" xr:uid="{00000000-0006-0000-0000-000001000000}">
      <text>
        <r>
          <rPr>
            <sz val="10"/>
            <rFont val="Arial"/>
            <family val="2"/>
          </rPr>
          <t>Residual = Other Income + Salary &amp; Employee Benefits + Occupancy + IT &amp; Telecoms + Professional &amp; Consulting + Administration (net). Computed as Results from Operating Activities - Gross Profit - A&amp;M - D&amp;A so it always reconciles to the reported operating result.</t>
        </r>
      </text>
    </comment>
    <comment ref="B12" authorId="0" shapeId="0" xr:uid="{00000000-0006-0000-0000-000002000000}">
      <text>
        <r>
          <rPr>
            <sz val="10"/>
            <rFont val="Arial"/>
            <family val="2"/>
          </rPr>
          <t>EBITDA is NOT reported in the accounts (statutory IFRS statements, no adjusted measures). Statutory EBITDA = Results from Operating Activities + D&amp;A. Differs from Flutter group "adjusted EBITDA": still includes the share-based-payment recharge (within employee costs) and any separately-disclosed items; the D&amp;A add-back is mostly acquisition-intangible amortisation (brand &amp; customer relationships).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100-000001000000}">
      <text>
        <r>
          <rPr>
            <sz val="10"/>
            <rFont val="Arial"/>
            <family val="2"/>
          </rPr>
          <t>Source: LB Australia Holdings Pty Ltd ASIC financial statements, Note 3(a) Net gaming revenue. FY23–FY25 from FY25 report; FY22 &amp; prior all Australian (NZ first consolidated FY23). FY18–FY22 net gaming = total net gaming (single line).</t>
        </r>
      </text>
    </comment>
    <comment ref="D10" authorId="0" shapeId="0" xr:uid="{00000000-0006-0000-0100-000002000000}">
      <text>
        <r>
          <rPr>
            <sz val="10"/>
            <rFont val="Arial"/>
            <family val="2"/>
          </rPr>
          <t>Source: LB Australia Holdings ASIC statements, Note 3(a). New Zealand net gaming revenue first recognised FY23 (A$168.3m, partial year); nil in prior years. Blank FY18–FY22.</t>
        </r>
      </text>
    </comment>
    <comment ref="D12" authorId="0" shapeId="0" xr:uid="{00000000-0006-0000-0100-000003000000}">
      <text>
        <r>
          <rPr>
            <sz val="10"/>
            <rFont val="Arial"/>
            <family val="2"/>
          </rPr>
          <t>Residual = Total revenue − Net gaming revenue. Comprises overseas (NZ) racing revenue, interest income, royalty income and sundry other revenue (Note 3(b) &amp; Note 4). Pre-FY23 this was almost entirely interest income.</t>
        </r>
      </text>
    </comment>
    <comment ref="J13" authorId="0" shapeId="0" xr:uid="{00000000-0006-0000-0100-00000D000000}">
      <text>
        <r>
          <rPr>
            <sz val="10"/>
            <rFont val="Arial"/>
            <family val="2"/>
          </rPr>
          <t>FY24 on the FY25-report restated basis (A$1,107.0m). ~A$14.7m reclassified from overseas racing revenue into Net changes in fair value vs the original FY24 filing (A$1,121.7m). Nil impact on loss before tax.</t>
        </r>
      </text>
    </comment>
    <comment ref="D21" authorId="0" shapeId="0" xr:uid="{00000000-0006-0000-0100-000004000000}">
      <text>
        <r>
          <rPr>
            <sz val="10"/>
            <rFont val="Arial"/>
            <family val="2"/>
          </rPr>
          <t>Source: LB Australia Holdings ASIC statements, Note 5 Expenses (cost of sales breakdown). Licence fees.</t>
        </r>
      </text>
    </comment>
    <comment ref="F21" authorId="0" shapeId="0" xr:uid="{00000000-0006-0000-0100-00000C000000}">
      <text>
        <r>
          <rPr>
            <sz val="10"/>
            <rFont val="Arial"/>
            <family val="2"/>
          </rPr>
          <t>FY20 on the FY21-report restated basis. The FY21 report reclassified ~A$13.2m into cost of sales (landing in Other cost of sales) and separated finance costs out of Operating expenses. Nil impact on profit before tax.</t>
        </r>
      </text>
    </comment>
    <comment ref="D23" authorId="0" shapeId="0" xr:uid="{00000000-0006-0000-0100-000005000000}">
      <text>
        <r>
          <rPr>
            <sz val="10"/>
            <rFont val="Arial"/>
            <family val="2"/>
          </rPr>
          <t>Source: Note 5 Expenses. Point of consumption taxes paid to state revenue authorities. Predominantly Australian; NZ wagering is not subject to an Australian-style POCT.</t>
        </r>
      </text>
    </comment>
    <comment ref="D32" authorId="0" shapeId="0" xr:uid="{00000000-0006-0000-0100-000006000000}">
      <text>
        <r>
          <rPr>
            <sz val="10"/>
            <rFont val="Arial"/>
            <family val="2"/>
          </rPr>
          <t>Residual = Total operating expenses − Marketing − Depreciation &amp; amortisation. Captures employment, technology, office &amp; other, legal/professional, royalty fees, impairment and one-off provisions. MATERIAL ONE-OFFS: FY24 includes A$308.1m non-cash NZ-CGU impairment; FY25 includes the A$100.0m AUSTRAC legal-dispute provision plus A$7.9m impairment (Full House Group CGU).</t>
        </r>
      </text>
    </comment>
    <comment ref="D35" authorId="0" shapeId="0" xr:uid="{00000000-0006-0000-0100-000007000000}">
      <text>
        <r>
          <rPr>
            <sz val="10"/>
            <rFont val="Arial"/>
            <family val="2"/>
          </rPr>
          <t>Source: face of the P&amp;L. FY20–FY25 disclosed as a separate line. FY18–FY19 blank: those filings did not separate finance costs, which sat within Operating expenses (A$7.6m FY18, A$11.0m FY19). FY23–FY25 dominated by TAB NZ deferred/contingent consideration interest (A$106.2m FY23, A$189.5m FY24, A$155.6m FY25).</t>
        </r>
      </text>
    </comment>
    <comment ref="D36" authorId="0" shapeId="0" xr:uid="{00000000-0006-0000-0100-000008000000}">
      <text>
        <r>
          <rPr>
            <sz val="10"/>
            <rFont val="Arial"/>
            <family val="2"/>
          </rPr>
          <t>Introduced as a separate line in the FY25 report (FY25 A$107.5m gain; FY24 restated to A$14.7m). Largely remeasurement of the TAB NZ contingent consideration. Not separately disclosed pre-FY24.</t>
        </r>
      </text>
    </comment>
    <comment ref="D43" authorId="0" shapeId="0" xr:uid="{00000000-0006-0000-0100-000009000000}">
      <text>
        <r>
          <rPr>
            <sz val="10"/>
            <rFont val="Arial"/>
            <family val="2"/>
          </rPr>
          <t>Memo input. FY20–FY25 equal the disclosed Finance expenses line; FY18–FY19 are the finance costs embedded within Operating expenses (A$7.6m / A$11.0m). Used so the EBITDA bridge is consistent across the FY18–19 presentation boundary.</t>
        </r>
      </text>
    </comment>
    <comment ref="D46" authorId="0" shapeId="0" xr:uid="{00000000-0006-0000-0100-00000A000000}">
      <text>
        <r>
          <rPr>
            <sz val="10"/>
            <rFont val="Arial"/>
            <family val="2"/>
          </rPr>
          <t>Statutory EBITDA defined as Loss before tax + total finance + D&amp;A − net fair-value gain. Will NOT reconcile to any Entain plc group 'ANZ underlying EBITDA': the group strips share-based payments, separately-disclosed items and central cost allocations, and reports on a different basis.</t>
        </r>
      </text>
    </comment>
    <comment ref="D48" authorId="0" shapeId="0" xr:uid="{00000000-0006-0000-0100-00000B000000}">
      <text>
        <r>
          <rPr>
            <sz val="10"/>
            <rFont val="Arial"/>
            <family val="2"/>
          </rPr>
          <t>Source: Note 13 Provisions / Note 17 Contingencies, FY25 report. A$100m provision for the AUSTRAC matter (alleged AML/CTF breaches Dec-2018–Aug-2024). Treated as non-deductible. Quantum may differ materially from any final penalty.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8" authorId="0" shapeId="0" xr:uid="{00000000-0006-0000-0200-000001000000}">
      <text>
        <r>
          <rPr>
            <sz val="10"/>
            <rFont val="Arial"/>
            <family val="2"/>
          </rPr>
          <t>Source: Hillside (Australia New Media) Pty Ltd — ASIC financial statements, Statement of profit or loss, 'Revenue from contracts with customers' (net betting revenue / net win, stated net of GST). FY20-FY24 from the text-readable filings; FY25 from the FY25 filing via OCR, validated line-by-line against its FY24 comparative; FY18-FY19 from the FY19/FY20 filings (FY19 on the FY20-filing AASB 16-restated basis).</t>
        </r>
      </text>
    </comment>
    <comment ref="K8" authorId="0" shapeId="0" xr:uid="{00000000-0006-0000-0200-000009000000}">
      <text>
        <r>
          <rPr>
            <sz val="10"/>
            <rFont val="Arial"/>
            <family val="2"/>
          </rPr>
          <t>FY25 = period ended 30 March 2025. Net betting revenue A$292.6m, a record high (directors' report). FY25 statement pages are scanned images; figures OCR'd and cross-checked against the FY24 comparative column (which matches the FY24 filing exactly).</t>
        </r>
      </text>
    </comment>
    <comment ref="D18" authorId="0" shapeId="0" xr:uid="{00000000-0006-0000-0200-000002000000}">
      <text>
        <r>
          <rPr>
            <sz val="10"/>
            <rFont val="Arial"/>
            <family val="2"/>
          </rPr>
          <t>'Government taxes &amp; levies' is a SINGLE disclosed line. It bundles point-of-consumption wagering taxes, GST and statutory racing levies (race-field / product fees) — none are separately disclosed. In the FY19 filing (FY18-FY19) the equivalent line was labelled 'Levy expense'. This line is the only place race-field / product fees appear.</t>
        </r>
      </text>
    </comment>
    <comment ref="D21" authorId="0" shapeId="0" xr:uid="{00000000-0006-0000-0200-000003000000}">
      <text>
        <r>
          <rPr>
            <sz val="10"/>
            <rFont val="Arial"/>
            <family val="2"/>
          </rPr>
          <t>Intercompany recharge from the bet365 group. Highly volatile and not an operating cost in the usual sense: a A$24.7m charge in FY20 vs a A$1.1m credit in FY23. The 'EBITDA before group-cost allocation' memo strips it out to show the standalone Australian operating result.</t>
        </r>
      </text>
    </comment>
    <comment ref="D22" authorId="0" shapeId="0" xr:uid="{00000000-0006-0000-0200-000004000000}">
      <text>
        <r>
          <rPr>
            <sz val="10"/>
            <rFont val="Arial"/>
            <family val="2"/>
          </rPr>
          <t>Depreciation &amp; amortisation. FY20 onward includes right-of-use asset depreciation (AASB 16, adopted FY20). FY18 (pre-AASB 16) excludes leases; occupancy was expensed separately that year (see Other expenses comment).</t>
        </r>
      </text>
    </comment>
    <comment ref="D23" authorId="0" shapeId="0" xr:uid="{00000000-0006-0000-0200-000005000000}">
      <text>
        <r>
          <rPr>
            <sz val="10"/>
            <rFont val="Arial"/>
            <family val="2"/>
          </rPr>
          <t>Finance costs. FY18 blank: the FY19 filing (pre-AASB 16) did not present a separate finance line. From FY19 finance costs are mainly lease-liability interest under AASB 16.</t>
        </r>
      </text>
    </comment>
    <comment ref="D24" authorId="0" shapeId="0" xr:uid="{00000000-0006-0000-0200-000006000000}">
      <text>
        <r>
          <rPr>
            <sz val="10"/>
            <rFont val="Arial"/>
            <family val="2"/>
          </rPr>
          <t>Other expenses. For FY18 this aggregates occupancy, travel &amp; accommodation, IT &amp; communications, legal &amp; professional and sundry other costs, which the FY19 filing presented as separate lines pre-AASB 16; from FY19 the filing presents a single 'Other expenses' line.</t>
        </r>
      </text>
    </comment>
    <comment ref="D27" authorId="0" shapeId="0" xr:uid="{00000000-0006-0000-0200-000007000000}">
      <text>
        <r>
          <rPr>
            <sz val="10"/>
            <rFont val="Arial"/>
            <family val="2"/>
          </rPr>
          <t>Built profit/(loss) before tax = Total revenue &amp; other income − Total expenses. The check row ties this to the figure on the face of each filing (nil difference every year).</t>
        </r>
      </text>
    </comment>
    <comment ref="D37" authorId="0" shapeId="0" xr:uid="{00000000-0006-0000-0200-000008000000}">
      <text>
        <r>
          <rPr>
            <sz val="10"/>
            <rFont val="Arial"/>
            <family val="2"/>
          </rPr>
          <t>Statutory EBITDA = profit/(loss) before tax + D&amp;A + finance costs. bet365 Australia carries no impairment or fair-value items, so the bridge is clean. EBITDA is not a disclosed measure.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Sam Bradshaw</author>
    <author>Unknown Author</author>
  </authors>
  <commentList>
    <comment ref="I6" authorId="0" shapeId="0" xr:uid="{AFFDF2D4-87C9-436C-8630-9D091ED99754}">
      <text>
        <r>
          <rPr>
            <b/>
            <sz val="9"/>
            <color indexed="81"/>
            <rFont val="Tahoma"/>
            <family val="2"/>
          </rPr>
          <t>Sam Bradshaw:</t>
        </r>
        <r>
          <rPr>
            <sz val="9"/>
            <color indexed="81"/>
            <rFont val="Tahoma"/>
            <family val="2"/>
          </rPr>
          <t xml:space="preserve">
includes USA but USA has no sport</t>
        </r>
      </text>
    </comment>
    <comment ref="K7" authorId="1" shapeId="0" xr:uid="{00000000-0006-0000-0300-000001000000}">
      <text>
        <r>
          <rPr>
            <sz val="10"/>
            <rFont val="Arial"/>
            <family val="2"/>
          </rPr>
          <t>Source: Dabble Sports Pty Ltd FY25 ASIC financial statements (year ended 30 June 2025), Note 3 'Profit and loss &amp; Balance sheet breakdown' (geographical). Australia / USA / UK / Total columns; UK shown only within Total here. Figures in whole A$. Total revenues = sum of the five rows above (ties to the filing).</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Y22" authorId="0" shapeId="0" xr:uid="{94CA5293-B5F5-4BE8-A5EC-D2E37EDA3735}">
      <text>
        <r>
          <rPr>
            <b/>
            <sz val="9"/>
            <color indexed="81"/>
            <rFont val="Tahoma"/>
            <family val="2"/>
          </rPr>
          <t>Sam Bradshaw:</t>
        </r>
        <r>
          <rPr>
            <sz val="9"/>
            <color indexed="81"/>
            <rFont val="Tahoma"/>
            <family val="2"/>
          </rPr>
          <t xml:space="preserve">
Restated</t>
        </r>
      </text>
    </comment>
    <comment ref="R199" authorId="0" shapeId="0" xr:uid="{047C4B90-3931-4627-9982-1E904FA5233C}">
      <text>
        <r>
          <rPr>
            <b/>
            <sz val="9"/>
            <color indexed="81"/>
            <rFont val="Tahoma"/>
            <family val="2"/>
          </rPr>
          <t>Sam Bradshaw:</t>
        </r>
        <r>
          <rPr>
            <sz val="9"/>
            <color indexed="81"/>
            <rFont val="Tahoma"/>
            <family val="2"/>
          </rPr>
          <t xml:space="preserve">
Needs Updating</t>
        </r>
      </text>
    </comment>
    <comment ref="Y199" authorId="0" shapeId="0" xr:uid="{095639CE-02FB-483B-8654-5A1553789639}">
      <text>
        <r>
          <rPr>
            <b/>
            <sz val="9"/>
            <color indexed="81"/>
            <rFont val="Tahoma"/>
            <family val="2"/>
          </rPr>
          <t>Sam Bradshaw:</t>
        </r>
        <r>
          <rPr>
            <sz val="9"/>
            <color indexed="81"/>
            <rFont val="Tahoma"/>
            <family val="2"/>
          </rPr>
          <t xml:space="preserve">
Needs Updating</t>
        </r>
      </text>
    </comment>
    <comment ref="X754" authorId="0" shapeId="0" xr:uid="{F61B0BF6-E09D-4D02-BE20-6F8F5CC2725E}">
      <text>
        <r>
          <rPr>
            <b/>
            <sz val="9"/>
            <color indexed="81"/>
            <rFont val="Tahoma"/>
            <family val="2"/>
          </rPr>
          <t>Sam Bradshaw:</t>
        </r>
        <r>
          <rPr>
            <sz val="9"/>
            <color indexed="81"/>
            <rFont val="Tahoma"/>
            <family val="2"/>
          </rPr>
          <t xml:space="preserve">
Tax free up to $1m</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B16" authorId="0" shapeId="0" xr:uid="{A52BDB67-39DB-4737-A749-09271D9EF0B6}">
      <text>
        <r>
          <rPr>
            <b/>
            <sz val="9"/>
            <color indexed="81"/>
            <rFont val="Tahoma"/>
            <family val="2"/>
          </rPr>
          <t>Sam Bradshaw:</t>
        </r>
        <r>
          <rPr>
            <sz val="9"/>
            <color indexed="81"/>
            <rFont val="Tahoma"/>
            <family val="2"/>
          </rPr>
          <t xml:space="preserve">
Following the enactment of the Betting Tax Legislation
Amendment Act 2015, the NSW Thoroughbred Racing
Industry continues to receive the benefits of parity
with the Victorian Racing Industry in respect of the
sharing of TAB gross wagering revenue between the
Government and the NSW Racing Industry.
The 2020 financial year was the fifth year of
wagering tax parity and the NSW Thoroughbred Racing
Industry’s 77.3% share was $47.87 million taking the
total amount received to date to $182.14 million.
The legislation provided for a staged introduction of
the concessions over 5 years commencing from 1 July
2015. </t>
        </r>
      </text>
    </comment>
    <comment ref="Z16" authorId="0" shapeId="0" xr:uid="{429C7F5B-4B26-4E8A-A406-D9BCE2E1B31B}">
      <text>
        <r>
          <rPr>
            <b/>
            <sz val="9"/>
            <color indexed="81"/>
            <rFont val="Tahoma"/>
            <family val="2"/>
          </rPr>
          <t>Sam Bradshaw:</t>
        </r>
        <r>
          <rPr>
            <sz val="9"/>
            <color indexed="81"/>
            <rFont val="Tahoma"/>
            <family val="2"/>
          </rPr>
          <t xml:space="preserve">
The 2022 financial year was therefore the
seventh year of wagering tax parity. The NSW
Thoroughbred Racing Industry’s 77.3% share
was $67.02 million taking the total amount
received to date to $321.56 million. This was a
decrease from the previous year given that the
NSW TAB’s retail network (retail agencies, pubs
and clubs) was closed for over a quarter of the
year due to COVID-19 lockdowns.</t>
        </r>
      </text>
    </comment>
    <comment ref="AB16" authorId="0" shapeId="0" xr:uid="{D2433101-DE8C-4C38-804C-AD82A9321A49}">
      <text>
        <r>
          <rPr>
            <b/>
            <sz val="9"/>
            <color indexed="81"/>
            <rFont val="Tahoma"/>
            <family val="2"/>
          </rPr>
          <t>Sam Bradshaw:</t>
        </r>
        <r>
          <rPr>
            <sz val="9"/>
            <color indexed="81"/>
            <rFont val="Tahoma"/>
            <family val="2"/>
          </rPr>
          <t xml:space="preserve">
$63.6 million in this financial year.</t>
        </r>
      </text>
    </comment>
    <comment ref="B17" authorId="0" shapeId="0" xr:uid="{7112C2C3-8A14-4BA4-9803-C810468F6E26}">
      <text>
        <r>
          <rPr>
            <b/>
            <sz val="9"/>
            <color indexed="81"/>
            <rFont val="Tahoma"/>
            <family val="2"/>
          </rPr>
          <t>Sam Bradshaw:</t>
        </r>
        <r>
          <rPr>
            <sz val="9"/>
            <color indexed="81"/>
            <rFont val="Tahoma"/>
            <family val="2"/>
          </rPr>
          <t xml:space="preserve">
Pleasingly, the legislation introduced by the NSW
Government addressed Racing NSW’s concerns.
Accordingly, the NSW Racing Industry now receives a
20% share of the PoCT with 72% of this being paid to
NSW Thoroughbred Racing Industry. Importantly, that
share is enshrined in the legislation which enables the
NSW Racing Industry to be able to budget for certainty.
The PoCT commenced on 1 January 2019 with
the revenue payable to NSW Thoroughbred Racing
Industry for the initial six-month period being $12.834
million. Revenue paid to NSW Thoroughbred Racing
Industry from the PoCT for the year ended 30 June
2020 was $29.329 million taking the total amount
received to date to $42.163 million.</t>
        </r>
      </text>
    </comment>
    <comment ref="W17" authorId="0" shapeId="0" xr:uid="{0A0B6C4B-E94B-475C-B47A-AA4C714EC6C9}">
      <text>
        <r>
          <rPr>
            <b/>
            <sz val="9"/>
            <color indexed="81"/>
            <rFont val="Tahoma"/>
            <family val="2"/>
          </rPr>
          <t>Sam Bradshaw:</t>
        </r>
        <r>
          <rPr>
            <sz val="9"/>
            <color indexed="81"/>
            <rFont val="Tahoma"/>
            <family val="2"/>
          </rPr>
          <t xml:space="preserve">
six month period</t>
        </r>
      </text>
    </comment>
    <comment ref="B18" authorId="0" shapeId="0" xr:uid="{3EFD18B6-5C47-454A-B44F-C8C23E60E2DD}">
      <text>
        <r>
          <rPr>
            <b/>
            <sz val="9"/>
            <color indexed="81"/>
            <rFont val="Tahoma"/>
            <family val="2"/>
          </rPr>
          <t>Sam Bradshaw:</t>
        </r>
        <r>
          <rPr>
            <sz val="9"/>
            <color indexed="81"/>
            <rFont val="Tahoma"/>
            <family val="2"/>
          </rPr>
          <t xml:space="preserve">
Following the enactment of the Betting Tax Legislation
Amendment Act 2015, the NSW Thoroughbred Racing
Industry continues to receive the benefits of parity
with the Victorian Racing Industry in respect of the
sharing of TAB gross wagering revenue between the
Government and the NSW Racing Industry.
The 2020 financial year was the fifth year of
wagering tax parity and the NSW Thoroughbred Racing
Industry’s 77.3% share was $47.87 million taking the
total amount received to date to $182.14 million.
The legislation provided for a staged introduction of
the concessions over 5 years commencing from 1 July
2015. </t>
        </r>
      </text>
    </comment>
    <comment ref="S18" authorId="0" shapeId="0" xr:uid="{C533B8DF-0246-490D-AFB4-5C7519E12582}">
      <text>
        <r>
          <rPr>
            <b/>
            <sz val="9"/>
            <color indexed="81"/>
            <rFont val="Tahoma"/>
            <family val="2"/>
          </rPr>
          <t>Sam Bradshaw:</t>
        </r>
        <r>
          <rPr>
            <sz val="9"/>
            <color indexed="81"/>
            <rFont val="Tahoma"/>
            <family val="2"/>
          </rPr>
          <t xml:space="preserve">
On 31 July 2015 the NSW Government released details of an amendment to the regulations that govern approvals to use Race Field information.
Commencing 1 August 2015, the Racing Administration Amendment (Race Fields Information Fees) Regulation 2015 amended the Racing Administration
Regulation 2012 to provide for an increase of fees as follows:
- First $5 million of turnover: a 1% fee on turnover under this amount (or applicable threshold if there are related wagering operators); (no change from
2014/15 fees)
- Standard Race Meetings:
• Above $5 million (or applicable threshold if there are related wagering operators) for turnover derived from wagers laid at odds other than totalizator odds:
remains at 1.5%
• Above $5 million (or applicable threshold if there are related wagering operators) for turnover derived from wagers laid at totalizator derived odds: 2.5%
(increased from 1.5%)
- Premium Race Meetings:
• Above $5 million (or applicable threshold if there are related wagering operators) for turnover derived from wagers laid at odds other than totalizator odds:
2.5% (increased from 2%)
• Above $5 million (or applicable threshold if there are related wagering operators) for turnover derived from wagers laid at totalizator derived odds: 3.0%
(increased from 2%)</t>
        </r>
      </text>
    </comment>
    <comment ref="AA18" authorId="0" shapeId="0" xr:uid="{57F2DCC4-D778-42C5-8B64-F9C6B981DBFB}">
      <text>
        <r>
          <rPr>
            <b/>
            <sz val="9"/>
            <color indexed="81"/>
            <rFont val="Tahoma"/>
            <family val="2"/>
          </rPr>
          <t>Sam Bradshaw:</t>
        </r>
        <r>
          <rPr>
            <sz val="9"/>
            <color indexed="81"/>
            <rFont val="Tahoma"/>
            <family val="2"/>
          </rPr>
          <t xml:space="preserve">
Total revenue collected from the Race
Fields scheme since its inception passed $1
billion during the reporting year, evidencing
the critical importance of Racing NSW’s
prosecution of the Race Fields scheme in
the High Court of Australia.
</t>
        </r>
      </text>
    </comment>
    <comment ref="B24" authorId="0" shapeId="0" xr:uid="{41A6FFAB-C3F4-4B2D-AAF5-9C723F1D0B4E}">
      <text>
        <r>
          <rPr>
            <b/>
            <sz val="9"/>
            <color indexed="81"/>
            <rFont val="Tahoma"/>
            <family val="2"/>
          </rPr>
          <t>Sam Bradshaw:</t>
        </r>
        <r>
          <rPr>
            <sz val="9"/>
            <color indexed="81"/>
            <rFont val="Tahoma"/>
            <family val="2"/>
          </rPr>
          <t xml:space="preserve">
Sale of Services represents income derived from the sale of services to the racing industry - including stewards, handicapping, laboratory, veterinary, race results, syndicates and stakes payments.</t>
        </r>
      </text>
    </comment>
    <comment ref="B25" authorId="0" shapeId="0" xr:uid="{7C2894E0-991B-4CC2-9F5A-08738CB545CD}">
      <text>
        <r>
          <rPr>
            <b/>
            <sz val="9"/>
            <color indexed="81"/>
            <rFont val="Tahoma"/>
            <family val="2"/>
          </rPr>
          <t>Sam Bradshaw:</t>
        </r>
        <r>
          <rPr>
            <sz val="9"/>
            <color indexed="81"/>
            <rFont val="Tahoma"/>
            <family val="2"/>
          </rPr>
          <t xml:space="preserve">
First Charge represents a charge to the industry based on the budgeted expenditure for the year
Racing NSW received 2.17% (2022: 2.62%) of its income via a First Charge on the TAB distributions to the Thoroughbred Racing
Industry. This distribution is governed by the NSW Racing Distribution Agreement as entered into by Racingcorp Pty Limited and
TAB Limited. Consequently, Racing NSW is economically dependent on TAB Limited.
</t>
        </r>
      </text>
    </comment>
    <comment ref="B29" authorId="0" shapeId="0" xr:uid="{B84A5357-4754-4E5F-8214-B50284F17239}">
      <text>
        <r>
          <rPr>
            <b/>
            <sz val="9"/>
            <color indexed="81"/>
            <rFont val="Tahoma"/>
            <family val="2"/>
          </rPr>
          <t>Sam Bradshaw:</t>
        </r>
        <r>
          <rPr>
            <sz val="9"/>
            <color indexed="81"/>
            <rFont val="Tahoma"/>
            <family val="2"/>
          </rPr>
          <t xml:space="preserve">
TAB distributions to Race Clubs</t>
        </r>
      </text>
    </comment>
    <comment ref="R29" authorId="0" shapeId="0" xr:uid="{A1BF8667-6544-416B-ADE1-A4758EC41935}">
      <text>
        <r>
          <rPr>
            <b/>
            <sz val="9"/>
            <color indexed="81"/>
            <rFont val="Tahoma"/>
            <family val="2"/>
          </rPr>
          <t>Sam Bradshaw:</t>
        </r>
        <r>
          <rPr>
            <sz val="9"/>
            <color indexed="81"/>
            <rFont val="Tahoma"/>
            <family val="2"/>
          </rPr>
          <t xml:space="preserve">
During the year Racing NSW was able to successfully
negotiate four new agreements with Tabcorp regarding
a PGI (Premier Gateway International Joint Venture)
Product fee, On-course Exclusivity, Race Field RDA
Damages Claim settlement and Saddle Up Sundays.
Collectively these will secure additional funding of
approximately $20 million annually for the NSW
Thoroughbred Racing Industry.
The revenue from those agreements has been
distributed to the NSW Thoroughbred Racing Industry
including by means of a formula intended to incentivise
race clubs.</t>
        </r>
      </text>
    </comment>
    <comment ref="B46" authorId="0" shapeId="0" xr:uid="{899131C2-2FD0-48CC-93A7-87B2A1A84645}">
      <text>
        <r>
          <rPr>
            <b/>
            <sz val="9"/>
            <color indexed="81"/>
            <rFont val="Tahoma"/>
            <family val="2"/>
          </rPr>
          <t>Sam Bradshaw:</t>
        </r>
        <r>
          <rPr>
            <sz val="9"/>
            <color indexed="81"/>
            <rFont val="Tahoma"/>
            <family val="2"/>
          </rPr>
          <t xml:space="preserve">
Paramutual Component</t>
        </r>
      </text>
    </comment>
    <comment ref="B47" authorId="0" shapeId="0" xr:uid="{1F1C3986-DA4F-4F83-8FF0-7F39FE931BA8}">
      <text>
        <r>
          <rPr>
            <b/>
            <sz val="9"/>
            <color indexed="81"/>
            <rFont val="Tahoma"/>
            <family val="2"/>
          </rPr>
          <t>Sam Bradshaw:</t>
        </r>
        <r>
          <rPr>
            <sz val="9"/>
            <color indexed="81"/>
            <rFont val="Tahoma"/>
            <family val="2"/>
          </rPr>
          <t xml:space="preserve">
I think Fixed Odds</t>
        </r>
      </text>
    </comment>
    <comment ref="B48" authorId="0" shapeId="0" xr:uid="{AB034C16-8483-4DBD-A35E-A242D007D776}">
      <text>
        <r>
          <rPr>
            <b/>
            <sz val="9"/>
            <color indexed="81"/>
            <rFont val="Tahoma"/>
            <family val="2"/>
          </rPr>
          <t>Sam Bradshaw:</t>
        </r>
        <r>
          <rPr>
            <sz val="9"/>
            <color indexed="81"/>
            <rFont val="Tahoma"/>
            <family val="2"/>
          </rPr>
          <t xml:space="preserve">
HRNSW's share of the TAB Distribution is paid by NSW Racing Pty Ltd. HRNSW's share is determined by the Intercode Deed. Product fees (Daily, and quarterly) are based on wagering turnover (all codes) and Wagering Incentive Fees (WIF), paid half yearly, are based on wagering profitability (All Codes).</t>
        </r>
      </text>
    </comment>
    <comment ref="B49" authorId="0" shapeId="0" xr:uid="{8FEB2C8B-05A7-41B1-B1B9-7AF957286B67}">
      <text>
        <r>
          <rPr>
            <b/>
            <sz val="9"/>
            <color indexed="81"/>
            <rFont val="Tahoma"/>
            <family val="2"/>
          </rPr>
          <t>Sam Bradshaw:</t>
        </r>
        <r>
          <rPr>
            <sz val="9"/>
            <color indexed="81"/>
            <rFont val="Tahoma"/>
            <family val="2"/>
          </rPr>
          <t xml:space="preserve">
From various Corporate Wagering Operators
</t>
        </r>
      </text>
    </comment>
    <comment ref="P49" authorId="0" shapeId="0" xr:uid="{D90D30D7-4A3E-4B99-B616-185214073936}">
      <text>
        <r>
          <rPr>
            <b/>
            <sz val="9"/>
            <color indexed="81"/>
            <rFont val="Tahoma"/>
            <family val="2"/>
          </rPr>
          <t>Sam Bradshaw:</t>
        </r>
        <r>
          <rPr>
            <sz val="9"/>
            <color indexed="81"/>
            <rFont val="Tahoma"/>
            <family val="2"/>
          </rPr>
          <t xml:space="preserve">
Race Fields Income recognised following the High Court decision
including fees received in FY2012.</t>
        </r>
      </text>
    </comment>
    <comment ref="B50" authorId="0" shapeId="0" xr:uid="{34365015-C25B-4224-8D53-53AAD3EDBB56}">
      <text>
        <r>
          <rPr>
            <b/>
            <sz val="9"/>
            <color indexed="81"/>
            <rFont val="Tahoma"/>
            <family val="2"/>
          </rPr>
          <t>Sam Bradshaw:</t>
        </r>
        <r>
          <rPr>
            <sz val="9"/>
            <color indexed="81"/>
            <rFont val="Tahoma"/>
            <family val="2"/>
          </rPr>
          <t xml:space="preserve">
Revenue from reduction in NSW betting tax
Following the enactment of the Betting Tax Legislation Amendment Act 2015, the NSW Harness Racing Industry continues to receive the benefits of parity with the Victorian Racing Industry in respect of the sharing of TAB gross wagering revenue between the Government and the NSW racing Industry. The legislation provided for a staged introduction of the concessions over 5 years commencing from July 2015.
The effect of the Act is to reduce the tax paid on wagers placed through
the TAB. The legislation will facilitate tax parity with Victoria over a five
year period and thereby ensure that additional funds are available for
the industry. The final reduction in the tax rate occurred in FY2021.
According to that analysis, the economic output generated by
each of the codes of racing in NSW was 77.3% thoroughbred,
12.7% harness and 10% greyhound. The Government had
an additional requirement that the delivery of funding by
the Controlling Bodies to the industry was to be in general
accordance with the Industry Strategic Plans. </t>
        </r>
      </text>
    </comment>
    <comment ref="B51" authorId="0" shapeId="0" xr:uid="{C42A199D-BA28-4E19-8B5F-0827E7026E67}">
      <text>
        <r>
          <rPr>
            <b/>
            <sz val="9"/>
            <color indexed="81"/>
            <rFont val="Tahoma"/>
            <family val="2"/>
          </rPr>
          <t>Sam Bradshaw:</t>
        </r>
        <r>
          <rPr>
            <sz val="9"/>
            <color indexed="81"/>
            <rFont val="Tahoma"/>
            <family val="2"/>
          </rPr>
          <t xml:space="preserve">
A Point of Consumption Tax is levied on all Wagering Operators accepting bets from NSW residents and applies to all online, telephone and face-to-face betting. Effective from 1 July 2022, the rate of Point of Consumption Tax was increased from 10% to 15% with the NSW Racing Industry (all racing codes) now receiving 33% of the Point of Consumption Tax collected.</t>
        </r>
      </text>
    </comment>
    <comment ref="B74" authorId="0" shapeId="0" xr:uid="{C3AF9AF6-39CE-4719-A7C0-C443A36AF8A3}">
      <text>
        <r>
          <rPr>
            <b/>
            <sz val="9"/>
            <color indexed="81"/>
            <rFont val="Tahoma"/>
            <family val="2"/>
          </rPr>
          <t>Sam Bradshaw:</t>
        </r>
        <r>
          <rPr>
            <sz val="9"/>
            <color indexed="81"/>
            <rFont val="Tahoma"/>
            <family val="2"/>
          </rPr>
          <t xml:space="preserve">
Product Fees are payable by TAB under the Racing Distribution Agreement dated 11 December 1997, as amended. The Product
Fee in respect of each financial year will be paid by TAB as follows:
(i) Within 3 business days of each race, 33% of the Product Fee payable on the On-Course Race Receipts and Off-Course Race
 Receipts from that race. The Product Fee for this activity has been accrued as at 30 June 2011.
(ii) Within 3 business days of the end of a quarter the estimated balance of the Product Fee calculated based on TAB’s
 management accounts payable on the Net Wagering Revenue (whether actual or accrued) received during that quarter</t>
        </r>
      </text>
    </comment>
    <comment ref="B75" authorId="0" shapeId="0" xr:uid="{30338180-859F-4A34-B128-68E4FD948AD6}">
      <text>
        <r>
          <rPr>
            <b/>
            <sz val="9"/>
            <color indexed="81"/>
            <rFont val="Tahoma"/>
            <family val="2"/>
          </rPr>
          <t>Sam Bradshaw:</t>
        </r>
        <r>
          <rPr>
            <sz val="9"/>
            <color indexed="81"/>
            <rFont val="Tahoma"/>
            <family val="2"/>
          </rPr>
          <t xml:space="preserve">
The Wagering Incentive Fee is calculated in accordance with the Racing Distribution Agreement.
An amount equal to 100% of the estimated Wagering Incentive Fee payable by the TAB will be due on 31 December and 30 June
in each financial year. Payment by the TAB is to be made within 20 business days after 31 December and 30 June in each
financial year</t>
        </r>
      </text>
    </comment>
    <comment ref="B76" authorId="0" shapeId="0" xr:uid="{736CEE89-76B5-416F-A6CC-40A444FBCBE3}">
      <text>
        <r>
          <rPr>
            <b/>
            <sz val="9"/>
            <color indexed="81"/>
            <rFont val="Tahoma"/>
            <family val="2"/>
          </rPr>
          <t>Sam Bradshaw:</t>
        </r>
        <r>
          <rPr>
            <sz val="9"/>
            <color indexed="81"/>
            <rFont val="Tahoma"/>
            <family val="2"/>
          </rPr>
          <t xml:space="preserve">
The Trackside Fee is calculated in accordance with the Racing Distribution Agreement as amended by the third RDA Amending
Deed.
An amount equal to 100% of the estimated Wagering Incentive Fee payable by the TAB will be due on 31 December and 30 June
in each financial year. Payment by the TAB is to be made within 20 business days after 31 December and 30 June in each
financial year</t>
        </r>
      </text>
    </comment>
    <comment ref="B77" authorId="0" shapeId="0" xr:uid="{A4657A7D-E9FF-48FB-BD72-416B75911F53}">
      <text>
        <r>
          <rPr>
            <b/>
            <sz val="9"/>
            <color indexed="81"/>
            <rFont val="Tahoma"/>
            <family val="2"/>
          </rPr>
          <t>Sam Bradshaw:</t>
        </r>
        <r>
          <rPr>
            <sz val="9"/>
            <color indexed="81"/>
            <rFont val="Tahoma"/>
            <family val="2"/>
          </rPr>
          <t xml:space="preserve">
Formerly Product Fees</t>
        </r>
      </text>
    </comment>
    <comment ref="R77" authorId="0" shapeId="0" xr:uid="{61E58CBA-A694-45BF-8013-190025B88425}">
      <text>
        <r>
          <rPr>
            <b/>
            <sz val="9"/>
            <color indexed="81"/>
            <rFont val="Tahoma"/>
            <family val="2"/>
          </rPr>
          <t>Sam Bradshaw:</t>
        </r>
        <r>
          <rPr>
            <sz val="9"/>
            <color indexed="81"/>
            <rFont val="Tahoma"/>
            <family val="2"/>
          </rPr>
          <t xml:space="preserve">
This outcome reflects the ever increasing
competitive landscape that the NSW TAB operates in and
the continued shift from pari-mutuel betting to fixed odds
betting which does not contribute the same level of return
to the racing industry. The reason for this is purely based on
the increased risk involved in fixed odds betting resulting in a
lower margin as compared to the guaranteed take-out from
a pari-mutuel wager.</t>
        </r>
      </text>
    </comment>
    <comment ref="B78" authorId="0" shapeId="0" xr:uid="{E76F4644-E3BB-4E8E-A6C9-265E0DA92375}">
      <text>
        <r>
          <rPr>
            <b/>
            <sz val="9"/>
            <color indexed="81"/>
            <rFont val="Tahoma"/>
            <family val="2"/>
          </rPr>
          <t>Sam Bradshaw:</t>
        </r>
        <r>
          <rPr>
            <sz val="9"/>
            <color indexed="81"/>
            <rFont val="Tahoma"/>
            <family val="2"/>
          </rPr>
          <t xml:space="preserve">
Corporate Bookmaket Contributions</t>
        </r>
      </text>
    </comment>
    <comment ref="L78" authorId="0" shapeId="0" xr:uid="{84466CF0-B723-47EC-B429-187593699C48}">
      <text>
        <r>
          <rPr>
            <b/>
            <sz val="9"/>
            <color indexed="81"/>
            <rFont val="Tahoma"/>
            <family val="2"/>
          </rPr>
          <t>Sam Bradshaw:</t>
        </r>
        <r>
          <rPr>
            <sz val="9"/>
            <color indexed="81"/>
            <rFont val="Tahoma"/>
            <family val="2"/>
          </rPr>
          <t xml:space="preserve">
The introduction of Race Fields Legislation in 2008 means that all
Australian wagering operators pay GRNSW a fee for using NSW
greyhound race field information. This fee is payable directly
to GRNSW and as such there is a direct correlation between
the performance of NSW greyhound racing and the race fields
revenue GRNSW receives from Australian wagering operators.</t>
        </r>
      </text>
    </comment>
    <comment ref="M78" authorId="0" shapeId="0" xr:uid="{02A9A0FB-F9D8-428A-BCFB-A4359FD43AA1}">
      <text>
        <r>
          <rPr>
            <b/>
            <sz val="9"/>
            <color indexed="81"/>
            <rFont val="Tahoma"/>
            <family val="2"/>
          </rPr>
          <t>Sam Bradshaw:</t>
        </r>
        <r>
          <rPr>
            <sz val="9"/>
            <color indexed="81"/>
            <rFont val="Tahoma"/>
            <family val="2"/>
          </rPr>
          <t xml:space="preserve">
The 2009 balance includes the settlement of a dispute with TAB Ltd with respect to the Racing Distribution Agreement and the
payment of Racefield Information Use Fees.</t>
        </r>
      </text>
    </comment>
    <comment ref="R78" authorId="0" shapeId="0" xr:uid="{EAB37900-9B2C-4E2E-8E0A-F2C31527EC0A}">
      <text>
        <r>
          <rPr>
            <b/>
            <sz val="9"/>
            <color indexed="81"/>
            <rFont val="Tahoma"/>
            <family val="2"/>
          </rPr>
          <t>Sam Bradshaw:</t>
        </r>
        <r>
          <rPr>
            <sz val="9"/>
            <color indexed="81"/>
            <rFont val="Tahoma"/>
            <family val="2"/>
          </rPr>
          <t xml:space="preserve">
During the year GRNSW settled the dispute with Tabcorp Holdings and TAB Ltd in respect of Racefield information use
 fees and received the amount of $2,846,211 which is non-recurring revenue. </t>
        </r>
      </text>
    </comment>
    <comment ref="B93" authorId="0" shapeId="0" xr:uid="{355189DC-C474-4DDD-8A1E-51AE1643433A}">
      <text>
        <r>
          <rPr>
            <b/>
            <sz val="9"/>
            <color indexed="81"/>
            <rFont val="Tahoma"/>
            <family val="2"/>
          </rPr>
          <t>Sam Bradshaw:</t>
        </r>
        <r>
          <rPr>
            <sz val="9"/>
            <color indexed="81"/>
            <rFont val="Tahoma"/>
            <family val="2"/>
          </rPr>
          <t xml:space="preserve">
e betting exchange activity, tournament concept betting, and on course bookmaker turnover.</t>
        </r>
      </text>
    </comment>
    <comment ref="R97" authorId="0" shapeId="0" xr:uid="{E6257BAC-55E4-4C07-8AF2-03D66AC4B34C}">
      <text>
        <r>
          <rPr>
            <b/>
            <sz val="9"/>
            <color indexed="81"/>
            <rFont val="Tahoma"/>
            <family val="2"/>
          </rPr>
          <t>Sam Bradshaw:</t>
        </r>
        <r>
          <rPr>
            <sz val="9"/>
            <color indexed="81"/>
            <rFont val="Tahoma"/>
            <family val="2"/>
          </rPr>
          <t xml:space="preserve">
GRNSW’s fees remain subject to a Government
imposed cap of 1.5% of each wagering operator’s turnover.
Without this cap GRNSW would have realised a further $5.7
million in revenue. NSW remains the only racing jurisdiction
in the country whose capacity to determine its own fee regime
is restricted by Government in this manner.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5" authorId="0" shapeId="0" xr:uid="{DCDEC71A-7496-4B39-961C-63D7B4457E55}">
      <text>
        <r>
          <rPr>
            <sz val="10"/>
            <rFont val="Arial"/>
            <family val="2"/>
          </rPr>
          <t>RV Annual Report 2016, Note 2(a) Wagering revenue – VicTAB joint venture distributions. AUD '000.</t>
        </r>
      </text>
    </comment>
    <comment ref="E5" authorId="0" shapeId="0" xr:uid="{0EB74F2C-A73F-4229-BAE1-CCFEDD25C833}">
      <text>
        <r>
          <rPr>
            <sz val="10"/>
            <rFont val="Arial"/>
            <family val="2"/>
          </rPr>
          <t>RV Annual Report 2017, Note 2(a) Wagering revenue – VicTAB joint venture distributions. AUD '000.</t>
        </r>
      </text>
    </comment>
    <comment ref="F5" authorId="0" shapeId="0" xr:uid="{AA7F678F-AC63-4295-B93B-D89854491F9D}">
      <text>
        <r>
          <rPr>
            <sz val="10"/>
            <rFont val="Arial"/>
            <family val="2"/>
          </rPr>
          <t>RV Annual Report 2018, Note 2(a) Wagering revenue – VicTAB joint venture distributions. AUD '000.</t>
        </r>
      </text>
    </comment>
    <comment ref="G5" authorId="0" shapeId="0" xr:uid="{6F9FC07D-696A-42E3-AC03-45D24825578C}">
      <text>
        <r>
          <rPr>
            <sz val="10"/>
            <rFont val="Arial"/>
            <family val="2"/>
          </rPr>
          <t>RV Annual Report 2019, Note 2(a) Wagering revenue – VicTAB joint venture distributions. AUD '000.</t>
        </r>
      </text>
    </comment>
    <comment ref="H5" authorId="0" shapeId="0" xr:uid="{7ECD1E2D-79D9-4CEC-A943-41B065FAACD7}">
      <text>
        <r>
          <rPr>
            <sz val="10"/>
            <rFont val="Arial"/>
            <family val="2"/>
          </rPr>
          <t>RV Annual Report 2020, Note 2(a) Wagering revenue – VicTAB joint venture distributions. AUD '000.</t>
        </r>
      </text>
    </comment>
    <comment ref="I5" authorId="0" shapeId="0" xr:uid="{6C44D470-7365-4DA2-B7A3-49A928E24021}">
      <text>
        <r>
          <rPr>
            <sz val="10"/>
            <rFont val="Arial"/>
            <family val="2"/>
          </rPr>
          <t>RV Annual Report 2021, Note 2(a) Wagering revenue – VicTAB joint venture distributions. AUD '000.</t>
        </r>
      </text>
    </comment>
    <comment ref="J5" authorId="0" shapeId="0" xr:uid="{DC3AA01B-D5D5-4602-B78E-7C631267ADD4}">
      <text>
        <r>
          <rPr>
            <sz val="10"/>
            <rFont val="Arial"/>
            <family val="2"/>
          </rPr>
          <t>RV Annual Report 2022, Note 2(a) Wagering revenue – VicTAB joint venture distributions. AUD '000.</t>
        </r>
      </text>
    </comment>
    <comment ref="K5" authorId="0" shapeId="0" xr:uid="{BC4EE5FA-8C6D-4BEC-975D-342B82FE9776}">
      <text>
        <r>
          <rPr>
            <sz val="10"/>
            <rFont val="Arial"/>
            <family val="2"/>
          </rPr>
          <t>RV Annual Report 2023, Note 2(a) Wagering revenue – VicTAB joint venture distributions. AUD '000.</t>
        </r>
      </text>
    </comment>
    <comment ref="L5" authorId="0" shapeId="0" xr:uid="{9480BA29-1C52-4533-9001-A4F1E53986B7}">
      <text>
        <r>
          <rPr>
            <sz val="10"/>
            <rFont val="Arial"/>
            <family val="2"/>
          </rPr>
          <t>RV Annual Report 2024, Note 2(a) Wagering revenue – VicTAB joint venture distributions. AUD '000. FY23 = 128,577 per AR2024 (incl. JV international returns folded in); AR2023 had shown 122,644 + 5,933 international separately. Reclassification, not an economic restatement.</t>
        </r>
      </text>
    </comment>
    <comment ref="M5" authorId="0" shapeId="0" xr:uid="{8EE42785-CEB5-4CD8-916C-944C98B4B001}">
      <text>
        <r>
          <rPr>
            <sz val="10"/>
            <rFont val="Arial"/>
            <family val="2"/>
          </rPr>
          <t>RV Annual Report 2025, Note 2(a) Wagering revenue – VicTAB joint venture distributions. AUD '000.</t>
        </r>
      </text>
    </comment>
    <comment ref="N5" authorId="0" shapeId="0" xr:uid="{23E91602-867A-4ADB-8AD6-9E1EC3387714}">
      <text>
        <r>
          <rPr>
            <sz val="10"/>
            <rFont val="Arial"/>
            <family val="2"/>
          </rPr>
          <t>RV Annual Report 2025, Note 2(a) Wagering revenue – VicTAB joint venture distributions. AUD '000. Sharp decline: Tabcorp/VicTAB joint venture ceased 15 Aug 2024 with expiry of the previous Victorian wagering licence; FY25 captures ~6 weeks of JV distributions only, then transition to new model (race fields-led).</t>
        </r>
      </text>
    </comment>
    <comment ref="D6" authorId="0" shapeId="0" xr:uid="{BD123FB8-2570-4688-A00F-0CBA61E9C21F}">
      <text>
        <r>
          <rPr>
            <sz val="10"/>
            <rFont val="Arial"/>
            <family val="2"/>
          </rPr>
          <t>RV Annual Report 2016, Note 2(a) Wagering revenue – Race fields fees. AUD '000.</t>
        </r>
      </text>
    </comment>
    <comment ref="E6" authorId="0" shapeId="0" xr:uid="{758DA2F8-E7DE-48F0-901C-9632848090F5}">
      <text>
        <r>
          <rPr>
            <sz val="10"/>
            <rFont val="Arial"/>
            <family val="2"/>
          </rPr>
          <t>RV Annual Report 2017, Note 2(a) Wagering revenue – Race fields fees. AUD '000.</t>
        </r>
      </text>
    </comment>
    <comment ref="F6" authorId="0" shapeId="0" xr:uid="{154841A6-F93D-4674-9BDA-3BA0DAC6A628}">
      <text>
        <r>
          <rPr>
            <sz val="10"/>
            <rFont val="Arial"/>
            <family val="2"/>
          </rPr>
          <t>RV Annual Report 2018, Note 2(a) Wagering revenue – Race fields fees. AUD '000.</t>
        </r>
      </text>
    </comment>
    <comment ref="G6" authorId="0" shapeId="0" xr:uid="{0AC27E78-2C32-4A2B-AE0F-55134DE74E67}">
      <text>
        <r>
          <rPr>
            <sz val="10"/>
            <rFont val="Arial"/>
            <family val="2"/>
          </rPr>
          <t>RV Annual Report 2019, Note 2(a) Wagering revenue – Race fields fees. AUD '000. FY18 = 171,778 per AR2019 (restated from 168,130 in AR2018 following race fields revenue audit recoveries reallocated to correct periods).</t>
        </r>
      </text>
    </comment>
    <comment ref="H6" authorId="0" shapeId="0" xr:uid="{8FC8A4DD-D334-4CD4-A971-8E516AD0A478}">
      <text>
        <r>
          <rPr>
            <sz val="10"/>
            <rFont val="Arial"/>
            <family val="2"/>
          </rPr>
          <t>RV Annual Report 2020, Note 2(a) Wagering revenue – Race fields fees. AUD '000.</t>
        </r>
      </text>
    </comment>
    <comment ref="I6" authorId="0" shapeId="0" xr:uid="{82D13220-8FF4-46ED-AAF3-6A0D8EC5A0FA}">
      <text>
        <r>
          <rPr>
            <sz val="10"/>
            <rFont val="Arial"/>
            <family val="2"/>
          </rPr>
          <t>RV Annual Report 2021, Note 2(a) Wagering revenue – Race fields fees. AUD '000.</t>
        </r>
      </text>
    </comment>
    <comment ref="J6" authorId="0" shapeId="0" xr:uid="{BC66C6CB-0CAC-44A5-B9B2-A016F84F8BCA}">
      <text>
        <r>
          <rPr>
            <sz val="10"/>
            <rFont val="Arial"/>
            <family val="2"/>
          </rPr>
          <t>RV Annual Report 2022, Note 2(a) Wagering revenue – Race fields fees. AUD '000.</t>
        </r>
      </text>
    </comment>
    <comment ref="K6" authorId="0" shapeId="0" xr:uid="{C01C2C2B-E418-422C-A909-32FBCFE14B09}">
      <text>
        <r>
          <rPr>
            <sz val="10"/>
            <rFont val="Arial"/>
            <family val="2"/>
          </rPr>
          <t>RV Annual Report 2023, Note 2(a) Wagering revenue – Race fields fees. AUD '000.</t>
        </r>
      </text>
    </comment>
    <comment ref="L6" authorId="0" shapeId="0" xr:uid="{2FDF217C-4F16-4358-BF59-CB24BDBADC89}">
      <text>
        <r>
          <rPr>
            <sz val="10"/>
            <rFont val="Arial"/>
            <family val="2"/>
          </rPr>
          <t>RV Annual Report 2024, Note 2(a) Wagering revenue – Race fields fees. AUD '000.</t>
        </r>
      </text>
    </comment>
    <comment ref="M6" authorId="0" shapeId="0" xr:uid="{727AFAE9-FEBB-4EB6-B11D-DDD51B65477D}">
      <text>
        <r>
          <rPr>
            <sz val="10"/>
            <rFont val="Arial"/>
            <family val="2"/>
          </rPr>
          <t>RV Annual Report 2025, Note 2(a) Wagering revenue – Race fields fees. AUD '000.</t>
        </r>
      </text>
    </comment>
    <comment ref="N6" authorId="0" shapeId="0" xr:uid="{951FBBCA-9D4B-49CB-B6B2-B274EF533531}">
      <text>
        <r>
          <rPr>
            <sz val="10"/>
            <rFont val="Arial"/>
            <family val="2"/>
          </rPr>
          <t>RV Annual Report 2025, Note 2(a) Wagering revenue – Race fields fees. AUD '000. Step-up reflects new Victorian wagering funding model post VicTAB JV cessation (race fields now the dominant wagering revenue source).</t>
        </r>
      </text>
    </comment>
    <comment ref="D7" authorId="0" shapeId="0" xr:uid="{9766800B-05F9-4A00-8C90-150F8F0A8860}">
      <text>
        <r>
          <rPr>
            <sz val="10"/>
            <rFont val="Arial"/>
            <family val="2"/>
          </rPr>
          <t>RV Annual Report 2016, consolidated statement of surplus/deficit – Wagering revenue (reported). AUD '000. STRUCTURAL FLAG: reported wagering = VicTAB JV (205,085) + JV international distributions/returns (5,872) + Race fields (129,395). The international line has no template row, so rows 5+6 understate this subtotal by 5,872.</t>
        </r>
      </text>
    </comment>
    <comment ref="E7" authorId="0" shapeId="0" xr:uid="{BAE4F9A4-C10E-4D9F-B8B7-DE83145109B0}">
      <text>
        <r>
          <rPr>
            <sz val="10"/>
            <rFont val="Arial"/>
            <family val="2"/>
          </rPr>
          <t>RV Annual Report 2017, consolidated statement of surplus/deficit – Wagering revenue (reported). AUD '000. STRUCTURAL FLAG: reported wagering = VicTAB JV (192,549) + JV international distributions/returns (7,076) + Race fields (139,914). The international line has no template row, so rows 5+6 understate this subtotal by 7,076.</t>
        </r>
      </text>
    </comment>
    <comment ref="F7" authorId="0" shapeId="0" xr:uid="{3A5893B6-51CE-48B8-B39C-85DB702738FE}">
      <text>
        <r>
          <rPr>
            <sz val="10"/>
            <rFont val="Arial"/>
            <family val="2"/>
          </rPr>
          <t>RV Annual Report 2018, consolidated statement of surplus/deficit – Wagering revenue (reported). AUD '000. STRUCTURAL FLAG: reported wagering = VicTAB JV (186,205) + JV international distributions/returns (7,681) + Race fields (157,489). The international line has no template row, so rows 5+6 understate this subtotal by 7,681.</t>
        </r>
      </text>
    </comment>
    <comment ref="G7" authorId="0" shapeId="0" xr:uid="{CFEA902D-EE27-4EF4-AC64-D3175ADD7409}">
      <text>
        <r>
          <rPr>
            <sz val="10"/>
            <rFont val="Arial"/>
            <family val="2"/>
          </rPr>
          <t>RV Annual Report 2019, consolidated statement of surplus/deficit – Wagering revenue (reported). AUD '000. STRUCTURAL FLAG: reported wagering = VicTAB JV (180,178) + JV international distributions/returns (7,064) + Race fields (171,778). The international line has no template row, so rows 5+6 understate this subtotal by 7,064.</t>
        </r>
      </text>
    </comment>
    <comment ref="H7" authorId="0" shapeId="0" xr:uid="{D83AD2C3-F5C1-4FAB-B402-260C2FAAE7C9}">
      <text>
        <r>
          <rPr>
            <sz val="10"/>
            <rFont val="Arial"/>
            <family val="2"/>
          </rPr>
          <t>RV Annual Report 2020, consolidated statement of surplus/deficit – Wagering revenue (reported). AUD '000. STRUCTURAL FLAG: reported wagering = VicTAB JV (168,372) + JV international distributions/returns (7,665) + Race fields (188,131). The international line has no template row, so rows 5+6 understate this subtotal by 7,665.</t>
        </r>
      </text>
    </comment>
    <comment ref="I7" authorId="0" shapeId="0" xr:uid="{521C7795-6551-456D-AFF5-B73BA0464269}">
      <text>
        <r>
          <rPr>
            <sz val="10"/>
            <rFont val="Arial"/>
            <family val="2"/>
          </rPr>
          <t>RV Annual Report 2021, consolidated statement of surplus/deficit – Wagering revenue (reported). AUD '000. STRUCTURAL FLAG: reported wagering = VicTAB JV (148,138) + JV international distributions/returns (6,465) + Race fields (201,000). The international line has no template row, so rows 5+6 understate this subtotal by 6,465.</t>
        </r>
      </text>
    </comment>
    <comment ref="J7" authorId="0" shapeId="0" xr:uid="{F7A5874C-0912-445E-93C7-0771B1002673}">
      <text>
        <r>
          <rPr>
            <sz val="10"/>
            <rFont val="Arial"/>
            <family val="2"/>
          </rPr>
          <t>RV Annual Report 2022, consolidated statement of surplus/deficit – Wagering revenue (reported). AUD '000. STRUCTURAL FLAG: reported wagering = VicTAB JV (144,109) + JV international distributions/returns (6,272) + Race fields (241,009). The international line has no template row, so rows 5+6 understate this subtotal by 6,272.</t>
        </r>
      </text>
    </comment>
    <comment ref="K7" authorId="0" shapeId="0" xr:uid="{AC1466CE-80B5-44A9-A836-377329D93511}">
      <text>
        <r>
          <rPr>
            <sz val="10"/>
            <rFont val="Arial"/>
            <family val="2"/>
          </rPr>
          <t>RV Annual Report 2023, consolidated statement of surplus/deficit – Wagering revenue (reported). AUD '000. STRUCTURAL FLAG: reported wagering = VicTAB JV (129,203) + JV international distributions/returns (6,503) + Race fields (253,591). The international line has no template row, so rows 5+6 understate this subtotal by 6,503.</t>
        </r>
      </text>
    </comment>
    <comment ref="L7" authorId="0" shapeId="0" xr:uid="{1019A42E-FA53-41D4-87B2-FF43E0981A80}">
      <text>
        <r>
          <rPr>
            <sz val="10"/>
            <rFont val="Arial"/>
            <family val="2"/>
          </rPr>
          <t>RV Annual Report 2024, consolidated statement of surplus/deficit – Wagering revenue (reported = 360,918). FY23 onward the JV international line is folded into VicTAB JV distributions, so this foots exactly to rows 5+6 (formula).</t>
        </r>
      </text>
    </comment>
    <comment ref="M7" authorId="0" shapeId="0" xr:uid="{3C0C1B41-14BB-4380-B9F3-3BFFA2D1FA30}">
      <text>
        <r>
          <rPr>
            <sz val="10"/>
            <rFont val="Arial"/>
            <family val="2"/>
          </rPr>
          <t>RV Annual Report 2025, consolidated statement of surplus/deficit – Wagering revenue (reported = 364,411). FY23 onward the JV international line is folded into VicTAB JV distributions, so this foots exactly to rows 5+6 (formula).</t>
        </r>
      </text>
    </comment>
    <comment ref="N7" authorId="0" shapeId="0" xr:uid="{F76E31FB-8D92-4768-B7B5-0CCD4AFD2506}">
      <text>
        <r>
          <rPr>
            <sz val="10"/>
            <rFont val="Arial"/>
            <family val="2"/>
          </rPr>
          <t>RV Annual Report 2025, consolidated statement of surplus/deficit – Wagering revenue (reported = 235,134). FY23 onward the JV international line is folded into VicTAB JV distributions, so this foots exactly to rows 5+6 (formula).</t>
        </r>
      </text>
    </comment>
    <comment ref="H9" authorId="0" shapeId="0" xr:uid="{733EF9D6-2C82-4A98-AB0C-78B7198842DE}">
      <text>
        <r>
          <rPr>
            <sz val="10"/>
            <rFont val="Arial"/>
            <family val="2"/>
          </rPr>
          <t>RV Annual Report 2020, Note 2 – Point of Consumption Tax (PoCT) distribution. AUD '000. Vic PoCT commenced 1 Jan 2019. FLAG: in AR2019–AR2021 PoCT was reported WITHIN Other revenue, not a separate Government Funding section; the Government Funding subtotal (row 11) is only separately disclosed from FY22.</t>
        </r>
      </text>
    </comment>
    <comment ref="I9" authorId="0" shapeId="0" xr:uid="{F14641F8-BDC2-4A49-ABFB-74BCD5B8FEA3}">
      <text>
        <r>
          <rPr>
            <sz val="10"/>
            <rFont val="Arial"/>
            <family val="2"/>
          </rPr>
          <t>RV Annual Report 2021, Note 2 – Point of Consumption Tax (PoCT) distribution. AUD '000. Vic PoCT commenced 1 Jan 2019. FLAG: in AR2019–AR2021 PoCT was reported WITHIN Other revenue, not a separate Government Funding section; the Government Funding subtotal (row 11) is only separately disclosed from FY22.</t>
        </r>
      </text>
    </comment>
    <comment ref="J9" authorId="0" shapeId="0" xr:uid="{C0E205F6-3A9F-405F-B532-540F41A0B44A}">
      <text>
        <r>
          <rPr>
            <sz val="10"/>
            <rFont val="Arial"/>
            <family val="2"/>
          </rPr>
          <t>RV Annual Report 2022, Note 2 – Point of Consumption Tax (PoCT) distribution. AUD '000. Vic PoCT commenced 1 Jan 2019. FLAG: in AR2019–AR2021 PoCT was reported WITHIN Other revenue, not a separate Government Funding section; the Government Funding subtotal (row 11) is only separately disclosed from FY22.</t>
        </r>
      </text>
    </comment>
    <comment ref="K9" authorId="0" shapeId="0" xr:uid="{A5F1FB07-5B03-45B5-BE79-8208139FA055}">
      <text>
        <r>
          <rPr>
            <sz val="10"/>
            <rFont val="Arial"/>
            <family val="2"/>
          </rPr>
          <t>RV Annual Report 2023, Note 2 – Point of Consumption Tax (PoCT) distribution. AUD '000. Vic PoCT commenced 1 Jan 2019.</t>
        </r>
      </text>
    </comment>
    <comment ref="L9" authorId="0" shapeId="0" xr:uid="{9AAF55C1-6FCB-4D05-AA7A-EF5D217D2643}">
      <text>
        <r>
          <rPr>
            <sz val="10"/>
            <rFont val="Arial"/>
            <family val="2"/>
          </rPr>
          <t>RV Annual Report 2024, Note 2 – Point of Consumption Tax (PoCT) distribution. AUD '000. Vic PoCT commenced 1 Jan 2019.</t>
        </r>
      </text>
    </comment>
    <comment ref="M9" authorId="0" shapeId="0" xr:uid="{697A4D3B-D945-4894-8DD9-140C07CDC0D8}">
      <text>
        <r>
          <rPr>
            <sz val="10"/>
            <rFont val="Arial"/>
            <family val="2"/>
          </rPr>
          <t>RV Annual Report 2025, Note 2 – Point of Consumption Tax (PoCT) distribution. AUD '000. Vic PoCT commenced 1 Jan 2019.</t>
        </r>
      </text>
    </comment>
    <comment ref="N9" authorId="0" shapeId="0" xr:uid="{7D51F7E6-FB37-408E-BA57-ED5A03E82AAF}">
      <text>
        <r>
          <rPr>
            <sz val="10"/>
            <rFont val="Arial"/>
            <family val="2"/>
          </rPr>
          <t>RV Annual Report 2025, Note 2 – Point of Consumption Tax (PoCT) distribution. AUD '000. Vic PoCT commenced 1 Jan 2019. FY25 step-up tied to the new Victorian wagering/funding arrangements post JV cessation.</t>
        </r>
      </text>
    </comment>
    <comment ref="K10" authorId="0" shapeId="0" xr:uid="{965B0801-078E-4A0E-B1A2-23D9A71307B1}">
      <text>
        <r>
          <rPr>
            <sz val="10"/>
            <rFont val="Arial"/>
            <family val="2"/>
          </rPr>
          <t>RV Annual Report 2023, Note 2(b) Government funding and distributions, ex-PoCT. AUD '000. = prizemoney contribution 21,500 + racecourse infrastructure 8,569 + other govt 1,894. Government Funding section separately disclosed from FY22 only.</t>
        </r>
      </text>
    </comment>
    <comment ref="L10" authorId="0" shapeId="0" xr:uid="{53339F47-107A-4AB2-B643-4E3F6CC14F03}">
      <text>
        <r>
          <rPr>
            <sz val="10"/>
            <rFont val="Arial"/>
            <family val="2"/>
          </rPr>
          <t>RV Annual Report 2024, Note 2(b) Government funding and distributions, ex-PoCT. AUD '000. = prizemoney contribution 13,070 + racecourse infrastructure 6,569 + other govt 1,340. Government Funding section separately disclosed from FY22 only.</t>
        </r>
      </text>
    </comment>
    <comment ref="M10" authorId="0" shapeId="0" xr:uid="{5E16C3C2-6F35-43F7-8F0D-D5F08DF49A25}">
      <text>
        <r>
          <rPr>
            <sz val="10"/>
            <rFont val="Arial"/>
            <family val="2"/>
          </rPr>
          <t>RV Annual Report 2025, Note 2(b) Government funding and distributions, ex-PoCT. AUD '000. = racecourse infrastructure 1,333 + other govt 822. Government Funding section separately disclosed from FY22 only.</t>
        </r>
      </text>
    </comment>
    <comment ref="N10" authorId="0" shapeId="0" xr:uid="{B7836C70-78F9-41EC-B75B-C1346C8B6E90}">
      <text>
        <r>
          <rPr>
            <sz val="10"/>
            <rFont val="Arial"/>
            <family val="2"/>
          </rPr>
          <t>RV Annual Report 2025, Note 2(b) Government funding and distributions, ex-PoCT. AUD '000. = fixed industry distributions 55,716 + racecourse infrastructure 1,699 + other govt 1,911. Government Funding section separately disclosed from FY22 only.</t>
        </r>
      </text>
    </comment>
    <comment ref="K11" authorId="0" shapeId="0" xr:uid="{2796383C-FE11-484B-944B-BC5F2A331016}">
      <text>
        <r>
          <rPr>
            <sz val="10"/>
            <rFont val="Arial"/>
            <family val="2"/>
          </rPr>
          <t>RV Annual Report 2023, Note 2(b) Government funding and distributions (reported = 95,760). Formula = PoCT (row 9) + Other (row 10). AR2023 restated FY22 to break this section out at 95,760; in prior periods government funding sat within Other revenue (not separately disclosed). Blank FY15–FY21.</t>
        </r>
      </text>
    </comment>
    <comment ref="L11" authorId="0" shapeId="0" xr:uid="{36A03A30-4AB4-4185-A0F5-1607109037FA}">
      <text>
        <r>
          <rPr>
            <sz val="10"/>
            <rFont val="Arial"/>
            <family val="2"/>
          </rPr>
          <t>RV Annual Report 2024, Note 2(b) Government funding and distributions (reported = 83,383). Formula = PoCT (row 9) + Other (row 10). AR2023 restated FY22 to break this section out at 95,760; in prior periods government funding sat within Other revenue (not separately disclosed). Blank FY15–FY21.</t>
        </r>
      </text>
    </comment>
    <comment ref="M11" authorId="0" shapeId="0" xr:uid="{CD5C3471-FCD8-4C2A-8CC1-AF71AE5B96A2}">
      <text>
        <r>
          <rPr>
            <sz val="10"/>
            <rFont val="Arial"/>
            <family val="2"/>
          </rPr>
          <t>RV Annual Report 2025, Note 2(b) Government funding and distributions (reported = 62,238). Formula = PoCT (row 9) + Other (row 10). AR2023 restated FY22 to break this section out at 95,760; in prior periods government funding sat within Other revenue (not separately disclosed). Blank FY15–FY21.</t>
        </r>
      </text>
    </comment>
    <comment ref="N11" authorId="0" shapeId="0" xr:uid="{CC8CD32C-F58C-435E-8D46-60A4982134EA}">
      <text>
        <r>
          <rPr>
            <sz val="10"/>
            <rFont val="Arial"/>
            <family val="2"/>
          </rPr>
          <t>RV Annual Report 2025, Note 2(b) Government funding and distributions (reported = 186,687). Formula = PoCT (row 9) + Other (row 10). AR2023 restated FY22 to break this section out at 95,760; in prior periods government funding sat within Other revenue (not separately disclosed). Blank FY15–FY21.</t>
        </r>
      </text>
    </comment>
    <comment ref="F13" authorId="0" shapeId="0" xr:uid="{A43091C4-A1D9-4546-9448-F3A1C2132D25}">
      <text>
        <r>
          <rPr>
            <sz val="10"/>
            <rFont val="Arial"/>
            <family val="2"/>
          </rPr>
          <t>RV Annual Report 2018, consolidated statement of surplus/deficit – Media revenue (Note 2(c)/2(b) depending on year). AUD '000. Blank FY15–FY16: no comparable standalone media subtotal under the pre-FY17 note structure.</t>
        </r>
      </text>
    </comment>
    <comment ref="G13" authorId="0" shapeId="0" xr:uid="{3F9ADF02-C4E0-4132-B874-F8E314F2EE72}">
      <text>
        <r>
          <rPr>
            <sz val="10"/>
            <rFont val="Arial"/>
            <family val="2"/>
          </rPr>
          <t>RV Annual Report 2019, consolidated statement of surplus/deficit – Media revenue (Note 2(c)/2(b) depending on year). AUD '000. Blank FY15–FY16: no comparable standalone media subtotal under the pre-FY17 note structure.</t>
        </r>
      </text>
    </comment>
    <comment ref="H13" authorId="0" shapeId="0" xr:uid="{B2A40D27-1F89-4A67-9F52-8FD1597612F0}">
      <text>
        <r>
          <rPr>
            <sz val="10"/>
            <rFont val="Arial"/>
            <family val="2"/>
          </rPr>
          <t>RV Annual Report 2020, consolidated statement of surplus/deficit – Media revenue (Note 2(c)/2(b) depending on year). AUD '000. Blank FY15–FY16: no comparable standalone media subtotal under the pre-FY17 note structure.</t>
        </r>
      </text>
    </comment>
    <comment ref="I13" authorId="0" shapeId="0" xr:uid="{8DD199AC-2E7F-4F34-8FFF-D1B4BAAF48A3}">
      <text>
        <r>
          <rPr>
            <sz val="10"/>
            <rFont val="Arial"/>
            <family val="2"/>
          </rPr>
          <t>RV Annual Report 2021, consolidated statement of surplus/deficit – Media revenue (Note 2(c)/2(b) depending on year). AUD '000. Blank FY15–FY16: no comparable standalone media subtotal under the pre-FY17 note structure.</t>
        </r>
      </text>
    </comment>
    <comment ref="J13" authorId="0" shapeId="0" xr:uid="{BB0ABC45-4709-4753-94F2-0B2F57CF0D54}">
      <text>
        <r>
          <rPr>
            <sz val="10"/>
            <rFont val="Arial"/>
            <family val="2"/>
          </rPr>
          <t>RV Annual Report 2022, consolidated statement of surplus/deficit – Media revenue (Note 2(c)/2(b) depending on year). AUD '000. Blank FY15–FY16: no comparable standalone media subtotal under the pre-FY17 note structure.</t>
        </r>
      </text>
    </comment>
    <comment ref="K13" authorId="0" shapeId="0" xr:uid="{137B54C1-8A85-4B4D-BAA3-175AAB6FBBA7}">
      <text>
        <r>
          <rPr>
            <sz val="10"/>
            <rFont val="Arial"/>
            <family val="2"/>
          </rPr>
          <t>RV Annual Report 2023, consolidated statement of surplus/deficit – Media revenue (Note 2(c)/2(b) depending on year). AUD '000. Blank FY15–FY16: no comparable standalone media subtotal under the pre-FY17 note structure.</t>
        </r>
      </text>
    </comment>
    <comment ref="L13" authorId="0" shapeId="0" xr:uid="{28932BBD-8DA0-44E0-A359-1B3022B16FE4}">
      <text>
        <r>
          <rPr>
            <sz val="10"/>
            <rFont val="Arial"/>
            <family val="2"/>
          </rPr>
          <t>RV Annual Report 2024, consolidated statement of surplus/deficit – Media revenue (Note 2(c)/2(b) depending on year). AUD '000. Blank FY15–FY16: no comparable standalone media subtotal under the pre-FY17 note structure.</t>
        </r>
      </text>
    </comment>
    <comment ref="M13" authorId="0" shapeId="0" xr:uid="{FF00AFB3-64D2-4A50-B2F8-2F925EB69FF8}">
      <text>
        <r>
          <rPr>
            <sz val="10"/>
            <rFont val="Arial"/>
            <family val="2"/>
          </rPr>
          <t>RV Annual Report 2025, consolidated statement of surplus/deficit – Media revenue (Note 2(c)/2(b) depending on year). AUD '000. Blank FY15–FY16: no comparable standalone media subtotal under the pre-FY17 note structure.</t>
        </r>
      </text>
    </comment>
    <comment ref="N13" authorId="0" shapeId="0" xr:uid="{9BBC8F64-2245-4DA6-8E07-FC5C3AFC575B}">
      <text>
        <r>
          <rPr>
            <sz val="10"/>
            <rFont val="Arial"/>
            <family val="2"/>
          </rPr>
          <t>RV Annual Report 2025, consolidated statement of surplus/deficit – Media revenue (Note 2(c)/2(b) depending on year). AUD '000. Blank FY15–FY16: no comparable standalone media subtotal under the pre-FY17 note structure.</t>
        </r>
      </text>
    </comment>
    <comment ref="D14" authorId="0" shapeId="0" xr:uid="{460518DB-235E-4A65-90CF-94A33E919D8E}">
      <text>
        <r>
          <rPr>
            <sz val="10"/>
            <rFont val="Arial"/>
            <family val="2"/>
          </rPr>
          <t>RV Annual Report 2016,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 FY15–FY16 use the pre-FY17 'Revenue from operations' presentation (single line); FY17+ were restated into the Wagering/Media/Other(/Government) format – limited comparability across the FY16/FY17 break.</t>
        </r>
      </text>
    </comment>
    <comment ref="E14" authorId="0" shapeId="0" xr:uid="{21EDEA0B-F2EE-43EF-9F9C-2B7D9B4F775A}">
      <text>
        <r>
          <rPr>
            <sz val="10"/>
            <rFont val="Arial"/>
            <family val="2"/>
          </rPr>
          <t>RV Annual Report 2017,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 FY15–FY16 use the pre-FY17 'Revenue from operations' presentation (single line); FY17+ were restated into the Wagering/Media/Other(/Government) format – limited comparability across the FY16/FY17 break.</t>
        </r>
      </text>
    </comment>
    <comment ref="F14" authorId="0" shapeId="0" xr:uid="{2C3E62A7-BB28-4E23-B29D-8847447C8B24}">
      <text>
        <r>
          <rPr>
            <sz val="10"/>
            <rFont val="Arial"/>
            <family val="2"/>
          </rPr>
          <t>RV Annual Report 2018,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t>
        </r>
      </text>
    </comment>
    <comment ref="G14" authorId="0" shapeId="0" xr:uid="{D0D8B9BD-A247-4436-9231-FAB296442A5E}">
      <text>
        <r>
          <rPr>
            <sz val="10"/>
            <rFont val="Arial"/>
            <family val="2"/>
          </rPr>
          <t>RV Annual Report 2019,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t>
        </r>
      </text>
    </comment>
    <comment ref="H14" authorId="0" shapeId="0" xr:uid="{ACF451EA-F134-4C7E-9CFF-37B0ED66E59B}">
      <text>
        <r>
          <rPr>
            <sz val="10"/>
            <rFont val="Arial"/>
            <family val="2"/>
          </rPr>
          <t>RV Annual Report 2020,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t>
        </r>
      </text>
    </comment>
    <comment ref="I14" authorId="0" shapeId="0" xr:uid="{90BF6A50-BF52-4B5C-B920-3050F87CB6AA}">
      <text>
        <r>
          <rPr>
            <sz val="10"/>
            <rFont val="Arial"/>
            <family val="2"/>
          </rPr>
          <t>RV Annual Report 2021,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t>
        </r>
      </text>
    </comment>
    <comment ref="J14" authorId="0" shapeId="0" xr:uid="{6F680AD2-26F3-4193-803C-400000592CB2}">
      <text>
        <r>
          <rPr>
            <sz val="10"/>
            <rFont val="Arial"/>
            <family val="2"/>
          </rPr>
          <t>RV Annual Report 2022,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t>
        </r>
      </text>
    </comment>
    <comment ref="K14" authorId="0" shapeId="0" xr:uid="{51E013B9-AD4C-4CF9-8FDB-175915E86525}">
      <text>
        <r>
          <rPr>
            <sz val="10"/>
            <rFont val="Arial"/>
            <family val="2"/>
          </rPr>
          <t>RV Annual Report 2023,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t>
        </r>
      </text>
    </comment>
    <comment ref="L14" authorId="0" shapeId="0" xr:uid="{5A7876E8-40AA-43F9-98D6-1A8EB0A1F68B}">
      <text>
        <r>
          <rPr>
            <sz val="10"/>
            <rFont val="Arial"/>
            <family val="2"/>
          </rPr>
          <t>RV Annual Report 2024,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t>
        </r>
      </text>
    </comment>
    <comment ref="M14" authorId="0" shapeId="0" xr:uid="{819A62E2-7F70-481E-807B-A4E021F4E5D0}">
      <text>
        <r>
          <rPr>
            <sz val="10"/>
            <rFont val="Arial"/>
            <family val="2"/>
          </rPr>
          <t>RV Annual Report 2025,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t>
        </r>
      </text>
    </comment>
    <comment ref="N14" authorId="0" shapeId="0" xr:uid="{3654224D-DA9C-4468-B545-997092F7286D}">
      <text>
        <r>
          <rPr>
            <sz val="10"/>
            <rFont val="Arial"/>
            <family val="2"/>
          </rPr>
          <t>RV Annual Report 2025, consolidated statement of surplus or deficit – total revenue (reported). AUD '000. COMPARABILITY FLAG: this line does NOT foot to rows 7+11+13 because RV's income statement includes a fourth category, Other revenue, which has no template row (FY25 Other 19,308; FY24 23,410; FY23 24,653). Composition also shifts over time – government funding sat within Other revenue pre-FY22; investment/interest income classification changed.</t>
        </r>
      </text>
    </comment>
    <comment ref="J17" authorId="0" shapeId="0" xr:uid="{FECF29F1-C436-4381-8DD9-68DF07B75E08}">
      <text>
        <r>
          <rPr>
            <sz val="10"/>
            <rFont val="Arial"/>
            <family val="2"/>
          </rPr>
          <t>RV Annual Report 2022, Wagering Statistics – pari-mutuel turnover, total meetings. Reported in A$m, scaled ×1,000 to AUD '000. $-denominated split tabulated from FY21 only (pre-FY21 reports disclose % shares in narrative, not $ split).</t>
        </r>
      </text>
    </comment>
    <comment ref="K17" authorId="0" shapeId="0" xr:uid="{98309C53-7975-4F68-97A9-7A1D0F867A59}">
      <text>
        <r>
          <rPr>
            <sz val="10"/>
            <rFont val="Arial"/>
            <family val="2"/>
          </rPr>
          <t>RV Annual Report 2023, Wagering Statistics – pari-mutuel turnover, total meetings. Reported in A$m, scaled ×1,000 to AUD '000. $-denominated split tabulated from FY21 only (pre-FY21 reports disclose % shares in narrative, not $ split).</t>
        </r>
      </text>
    </comment>
    <comment ref="L17" authorId="0" shapeId="0" xr:uid="{F1806768-8D0A-41CE-8D19-79997088F216}">
      <text>
        <r>
          <rPr>
            <sz val="10"/>
            <rFont val="Arial"/>
            <family val="2"/>
          </rPr>
          <t>RV Annual Report 2024, Wagering Statistics – pari-mutuel turnover, total meetings. Reported in A$m, scaled ×1,000 to AUD '000. $-denominated split tabulated from FY21 only (pre-FY21 reports disclose % shares in narrative, not $ split).</t>
        </r>
      </text>
    </comment>
    <comment ref="M17" authorId="0" shapeId="0" xr:uid="{C314F60E-0970-45F7-9703-526C1608765E}">
      <text>
        <r>
          <rPr>
            <sz val="10"/>
            <rFont val="Arial"/>
            <family val="2"/>
          </rPr>
          <t>RV Annual Report 2025, Wagering Statistics – pari-mutuel turnover, total meetings. Reported in A$m, scaled ×1,000 to AUD '000. $-denominated split tabulated from FY21 only (pre-FY21 reports disclose % shares in narrative, not $ split).</t>
        </r>
      </text>
    </comment>
    <comment ref="N17" authorId="0" shapeId="0" xr:uid="{73E8D836-B022-4765-B72C-2B36676A52A7}">
      <text>
        <r>
          <rPr>
            <sz val="10"/>
            <rFont val="Arial"/>
            <family val="2"/>
          </rPr>
          <t>RV Annual Report 2025, Wagering Statistics – pari-mutuel turnover, total meetings. Reported in A$m, scaled ×1,000 to AUD '000. $-denominated split tabulated from FY21 only (pre-FY21 reports disclose % shares in narrative, not $ split).</t>
        </r>
      </text>
    </comment>
    <comment ref="J18" authorId="0" shapeId="0" xr:uid="{9F77B449-B5A9-418A-ADE9-3C586C9E8C30}">
      <text>
        <r>
          <rPr>
            <sz val="10"/>
            <rFont val="Arial"/>
            <family val="2"/>
          </rPr>
          <t>RV Annual Report 2022, Wagering Statistics – non-pari-mutuel (fixed-odds) turnover, total meetings. Reported in A$m, scaled ×1,000 to AUD '000. Split tabulated from FY21 only.</t>
        </r>
      </text>
    </comment>
    <comment ref="K18" authorId="0" shapeId="0" xr:uid="{69931440-7534-495E-B497-C324179BBEBC}">
      <text>
        <r>
          <rPr>
            <sz val="10"/>
            <rFont val="Arial"/>
            <family val="2"/>
          </rPr>
          <t>RV Annual Report 2023, Wagering Statistics – non-pari-mutuel (fixed-odds) turnover, total meetings. Reported in A$m, scaled ×1,000 to AUD '000. Split tabulated from FY21 only.</t>
        </r>
      </text>
    </comment>
    <comment ref="L18" authorId="0" shapeId="0" xr:uid="{18EB6891-EE71-4483-B539-CF20BA9A832D}">
      <text>
        <r>
          <rPr>
            <sz val="10"/>
            <rFont val="Arial"/>
            <family val="2"/>
          </rPr>
          <t>RV Annual Report 2024, Wagering Statistics – non-pari-mutuel (fixed-odds) turnover, total meetings. Reported in A$m, scaled ×1,000 to AUD '000. Split tabulated from FY21 only.</t>
        </r>
      </text>
    </comment>
    <comment ref="M18" authorId="0" shapeId="0" xr:uid="{15BBD2C3-7A0D-473E-9D83-CF2FCE723B8D}">
      <text>
        <r>
          <rPr>
            <sz val="10"/>
            <rFont val="Arial"/>
            <family val="2"/>
          </rPr>
          <t>RV Annual Report 2025, Wagering Statistics – non-pari-mutuel (fixed-odds) turnover, total meetings. Reported in A$m, scaled ×1,000 to AUD '000. Split tabulated from FY21 only.</t>
        </r>
      </text>
    </comment>
    <comment ref="N18" authorId="0" shapeId="0" xr:uid="{69CBC8D2-9622-43ED-9D98-8A4B493FC90B}">
      <text>
        <r>
          <rPr>
            <sz val="10"/>
            <rFont val="Arial"/>
            <family val="2"/>
          </rPr>
          <t>RV Annual Report 2025, Wagering Statistics – non-pari-mutuel (fixed-odds) turnover, total meetings. Reported in A$m, scaled ×1,000 to AUD '000. Split tabulated from FY21 only.</t>
        </r>
      </text>
    </comment>
    <comment ref="D19" authorId="0" shapeId="0" xr:uid="{761B2A90-16B8-4B2B-883E-2539DCB29387}">
      <text>
        <r>
          <rPr>
            <sz val="10"/>
            <rFont val="Arial"/>
            <family val="2"/>
          </rPr>
          <t>RV Annual Report 2016 – total turnover, total meetings. LOWER CONFIDENCE: FY15–FY20 totals are sourced from report bar charts / CEO narrative in $bn-$0.0bn precision (pari-mutuel vs fixed-odds $ split not tabulated until FY21). Verify against audited wagering statistics if a finer figure is required.</t>
        </r>
      </text>
    </comment>
    <comment ref="E19" authorId="0" shapeId="0" xr:uid="{B4E63F88-CBC3-4B56-ADEC-F43EBEAFA7D4}">
      <text>
        <r>
          <rPr>
            <sz val="10"/>
            <rFont val="Arial"/>
            <family val="2"/>
          </rPr>
          <t>RV Annual Report 2017 – total turnover, total meetings. LOWER CONFIDENCE: FY15–FY20 totals are sourced from report bar charts / CEO narrative in $bn-$0.0bn precision (pari-mutuel vs fixed-odds $ split not tabulated until FY21). Verify against audited wagering statistics if a finer figure is required.</t>
        </r>
      </text>
    </comment>
    <comment ref="F19" authorId="0" shapeId="0" xr:uid="{7F85880F-66F3-4217-93DE-5CB4CBEBD7A6}">
      <text>
        <r>
          <rPr>
            <sz val="10"/>
            <rFont val="Arial"/>
            <family val="2"/>
          </rPr>
          <t>RV Annual Report 2018 – total turnover, total meetings. LOWER CONFIDENCE: FY15–FY20 totals are sourced from report bar charts / CEO narrative in $bn-$0.0bn precision (pari-mutuel vs fixed-odds $ split not tabulated until FY21). Verify against audited wagering statistics if a finer figure is required.</t>
        </r>
      </text>
    </comment>
    <comment ref="G19" authorId="0" shapeId="0" xr:uid="{755B868B-9B82-45E2-84DF-3DE88BCDB61E}">
      <text>
        <r>
          <rPr>
            <sz val="10"/>
            <rFont val="Arial"/>
            <family val="2"/>
          </rPr>
          <t>RV Annual Report 2019 – total turnover, total meetings. LOWER CONFIDENCE: FY15–FY20 totals are sourced from report bar charts / CEO narrative in $bn-$0.0bn precision (pari-mutuel vs fixed-odds $ split not tabulated until FY21). Verify against audited wagering statistics if a finer figure is required.</t>
        </r>
      </text>
    </comment>
    <comment ref="H19" authorId="0" shapeId="0" xr:uid="{E314825C-C1A2-4CE7-81E7-40711CCC07D6}">
      <text>
        <r>
          <rPr>
            <sz val="10"/>
            <rFont val="Arial"/>
            <family val="2"/>
          </rPr>
          <t>RV Annual Report 2020 – total turnover, total meetings. LOWER CONFIDENCE: FY15–FY20 totals are sourced from report bar charts / CEO narrative in $bn-$0.0bn precision (pari-mutuel vs fixed-odds $ split not tabulated until FY21). Verify against audited wagering statistics if a finer figure is required.</t>
        </r>
      </text>
    </comment>
    <comment ref="I19" authorId="0" shapeId="0" xr:uid="{C5513157-DF51-4A23-9FD2-A341038D3355}">
      <text>
        <r>
          <rPr>
            <sz val="10"/>
            <rFont val="Arial"/>
            <family val="2"/>
          </rPr>
          <t>RV Annual Report 2021 – total turnover, total meetings. LOWER CONFIDENCE: FY15–FY20 totals are sourced from report bar charts / CEO narrative in $bn-$0.0bn precision (pari-mutuel vs fixed-odds $ split not tabulated until FY21). Verify against audited wagering statistics if a finer figure is required.</t>
        </r>
      </text>
    </comment>
    <comment ref="J19" authorId="0" shapeId="0" xr:uid="{91365D2D-ADCE-4270-BD43-3A1E5A63BFE6}">
      <text>
        <r>
          <rPr>
            <sz val="10"/>
            <rFont val="Arial"/>
            <family val="2"/>
          </rPr>
          <t>RV Annual Report 2022, Wagering Statistics – total turnover, total meetings (reported). A$m ×1,000. Components (rows 17+18) sum to 8,665,620.</t>
        </r>
      </text>
    </comment>
    <comment ref="K19" authorId="0" shapeId="0" xr:uid="{C5D74103-1FB5-4F56-90BA-3C3100ED416C}">
      <text>
        <r>
          <rPr>
            <sz val="10"/>
            <rFont val="Arial"/>
            <family val="2"/>
          </rPr>
          <t>RV Annual Report 2023, Wagering Statistics – total turnover, total meetings (reported). A$m ×1,000. Components (rows 17+18) sum to 9,153,630.</t>
        </r>
      </text>
    </comment>
    <comment ref="L19" authorId="0" shapeId="0" xr:uid="{36E4BFF9-E4BC-40E7-A8DD-E271730AA313}">
      <text>
        <r>
          <rPr>
            <sz val="10"/>
            <rFont val="Arial"/>
            <family val="2"/>
          </rPr>
          <t>RV Annual Report 2024, Wagering Statistics – total turnover, total meetings (reported). A$m ×1,000. Components (rows 17+18) sum to 8,806,890; differs from reported by 10 due to source rounding.</t>
        </r>
      </text>
    </comment>
    <comment ref="M19" authorId="0" shapeId="0" xr:uid="{252048BD-AD42-431B-877E-22CA53A264A2}">
      <text>
        <r>
          <rPr>
            <sz val="10"/>
            <rFont val="Arial"/>
            <family val="2"/>
          </rPr>
          <t>RV Annual Report 2025, Wagering Statistics – total turnover, total meetings (reported). A$m ×1,000. Components (rows 17+18) sum to 7,930,500.</t>
        </r>
      </text>
    </comment>
    <comment ref="N19" authorId="0" shapeId="0" xr:uid="{4792C9F6-A69D-4C8C-ADA3-4CABFB87387B}">
      <text>
        <r>
          <rPr>
            <sz val="10"/>
            <rFont val="Arial"/>
            <family val="2"/>
          </rPr>
          <t>RV Annual Report 2025, Wagering Statistics – total turnover, total meetings (reported). A$m ×1,000. Components (rows 17+18) sum to 7,610,700; differs from reported by 100 due to source rounding.</t>
        </r>
      </text>
    </comment>
    <comment ref="I30" authorId="0" shapeId="0" xr:uid="{56A82639-A6D6-462D-AE8A-567C998EAF42}">
      <text>
        <r>
          <rPr>
            <sz val="10"/>
            <rFont val="Arial"/>
            <family val="2"/>
          </rPr>
          <t>RV Annual Report 2021, Wagering Statistics – free bet turnover. Sourced from report bar-chart labels (A$m, 1dp), ×1,000 to AUD '000. Free-bet series begins FY20 (not disclosed earlier). FY24 confirmed identical in AR2024 and AR2025 charts.</t>
        </r>
      </text>
    </comment>
    <comment ref="J30" authorId="0" shapeId="0" xr:uid="{FFBFD9A6-A7CC-4DB3-95FC-385DBAB565AF}">
      <text>
        <r>
          <rPr>
            <sz val="10"/>
            <rFont val="Arial"/>
            <family val="2"/>
          </rPr>
          <t>RV Annual Report 2022, Wagering Statistics – free bet turnover. Sourced from report bar-chart labels (A$m, 1dp), ×1,000 to AUD '000. Free-bet series begins FY20 (not disclosed earlier). FY24 confirmed identical in AR2024 and AR2025 charts.</t>
        </r>
      </text>
    </comment>
    <comment ref="K30" authorId="0" shapeId="0" xr:uid="{5DE987CB-397C-4F8F-968E-8CE538425DD0}">
      <text>
        <r>
          <rPr>
            <sz val="10"/>
            <rFont val="Arial"/>
            <family val="2"/>
          </rPr>
          <t>RV Annual Report 2023, Wagering Statistics – free bet turnover. Sourced from report bar-chart labels (A$m, 1dp), ×1,000 to AUD '000. Free-bet series begins FY20 (not disclosed earlier). FY24 confirmed identical in AR2024 and AR2025 charts.</t>
        </r>
      </text>
    </comment>
    <comment ref="L30" authorId="0" shapeId="0" xr:uid="{1A53E84F-4602-4449-9272-E3C50A3B6104}">
      <text>
        <r>
          <rPr>
            <sz val="10"/>
            <rFont val="Arial"/>
            <family val="2"/>
          </rPr>
          <t>RV Annual Report 2024, Wagering Statistics – free bet turnover. Sourced from report bar-chart labels (A$m, 1dp), ×1,000 to AUD '000. Free-bet series begins FY20 (not disclosed earlier). FY24 confirmed identical in AR2024 and AR2025 charts.</t>
        </r>
      </text>
    </comment>
    <comment ref="M30" authorId="0" shapeId="0" xr:uid="{39C92B84-C29C-4449-BBED-A78703A27DE0}">
      <text>
        <r>
          <rPr>
            <sz val="10"/>
            <rFont val="Arial"/>
            <family val="2"/>
          </rPr>
          <t>RV Annual Report 2025, Wagering Statistics – free bet turnover. Sourced from report bar-chart labels (A$m, 1dp), ×1,000 to AUD '000. Free-bet series begins FY20 (not disclosed earlier). FY24 confirmed identical in AR2024 and AR2025 charts.</t>
        </r>
      </text>
    </comment>
    <comment ref="N30" authorId="0" shapeId="0" xr:uid="{E949C00D-9070-4758-ABBD-7C64DDCF9519}">
      <text>
        <r>
          <rPr>
            <sz val="10"/>
            <rFont val="Arial"/>
            <family val="2"/>
          </rPr>
          <t>RV Annual Report 2025, Wagering Statistics – free bet turnover. Sourced from report bar-chart labels (A$m, 1dp), ×1,000 to AUD '000. Free-bet series begins FY20 (not disclosed earlier). FY24 confirmed identical in AR2024 and AR2025 charts.</t>
        </r>
      </text>
    </comment>
    <comment ref="D70" authorId="0" shapeId="0" xr:uid="{A8B5EF0A-1C3F-4050-ADFA-359B84A50B4A}">
      <text>
        <r>
          <rPr>
            <sz val="10"/>
            <rFont val="Arial"/>
            <family val="2"/>
          </rPr>
          <t>GRV Annual Report 2019, Statement for Five Years (A$m) – Racefields Income. Audited Note 2.2.1 cross-check FY25 70,642 / FY24 70,111 ($'000).</t>
        </r>
      </text>
    </comment>
    <comment ref="E70" authorId="0" shapeId="0" xr:uid="{8A12ABFE-CF97-4CD5-A71E-A19B293812EB}">
      <text>
        <r>
          <rPr>
            <sz val="10"/>
            <rFont val="Arial"/>
            <family val="2"/>
          </rPr>
          <t>GRV Annual Report 2020, Statement for Five Years (A$m) – Racefields Income. Audited Note 2.2.1 cross-check FY25 70,642 / FY24 70,111 ($'000).</t>
        </r>
      </text>
    </comment>
    <comment ref="F70" authorId="0" shapeId="0" xr:uid="{475A9885-6B62-4F4B-9C9D-99B9A345E3A8}">
      <text>
        <r>
          <rPr>
            <sz val="10"/>
            <rFont val="Arial"/>
            <family val="2"/>
          </rPr>
          <t>GRV Annual Report 2021, Statement for Five Years (A$m) – Racefields Income. Audited Note 2.2.1 cross-check FY25 70,642 / FY24 70,111 ($'000).</t>
        </r>
      </text>
    </comment>
    <comment ref="G70" authorId="0" shapeId="0" xr:uid="{61D9000C-5395-46A5-A5AF-259EABF620A2}">
      <text>
        <r>
          <rPr>
            <sz val="10"/>
            <rFont val="Arial"/>
            <family val="2"/>
          </rPr>
          <t>GRV Annual Report 2022, Statement for Five Years (A$m) – Racefields Income. Audited Note 2.2.1 cross-check FY25 70,642 / FY24 70,111 ($'000).</t>
        </r>
      </text>
    </comment>
    <comment ref="H70" authorId="0" shapeId="0" xr:uid="{2016CCF9-2323-4E92-9B70-CA9A12C3CD33}">
      <text>
        <r>
          <rPr>
            <sz val="10"/>
            <rFont val="Arial"/>
            <family val="2"/>
          </rPr>
          <t>GRV Annual Report 2023, Statement for Five Years (A$m) – Racefields Income. Audited Note 2.2.1 cross-check FY25 70,642 / FY24 70,111 ($'000).</t>
        </r>
      </text>
    </comment>
    <comment ref="I70" authorId="0" shapeId="0" xr:uid="{CB787A6A-716E-46E5-A549-A818271FAF5A}">
      <text>
        <r>
          <rPr>
            <sz val="10"/>
            <rFont val="Arial"/>
            <family val="2"/>
          </rPr>
          <t>GRV Annual Report 2024, Statement for Five Years (A$m) – Racefields Income. Audited Note 2.2.1 cross-check FY25 70,642 / FY24 70,111 ($'000).</t>
        </r>
      </text>
    </comment>
    <comment ref="J70" authorId="0" shapeId="0" xr:uid="{8002045E-F7CF-4BF5-BAF9-3BD22C338068}">
      <text>
        <r>
          <rPr>
            <sz val="10"/>
            <rFont val="Arial"/>
            <family val="2"/>
          </rPr>
          <t>GRV Annual Report 2025, Statement for Five Years (A$m) – Racefields Income. Audited Note 2.2.1 cross-check FY25 70,642 / FY24 70,111 ($'000).</t>
        </r>
      </text>
    </comment>
    <comment ref="K70" authorId="0" shapeId="0" xr:uid="{D8BD9AAC-1507-4F2C-AC0B-1381E48A87EA}">
      <text>
        <r>
          <rPr>
            <sz val="10"/>
            <rFont val="Arial"/>
            <family val="2"/>
          </rPr>
          <t>GRV Annual Report 2025, Statement for Five Years (A$m) – Racefields Income. Audited Note 2.2.1 cross-check FY25 70,642 / FY24 70,111 ($'000).</t>
        </r>
      </text>
    </comment>
    <comment ref="L70" authorId="0" shapeId="0" xr:uid="{437C723C-77EA-41FA-90E7-BD9AC86B7BA1}">
      <text>
        <r>
          <rPr>
            <sz val="10"/>
            <rFont val="Arial"/>
            <family val="2"/>
          </rPr>
          <t>GRV Annual Report 2025, Statement for Five Years (A$m) – Racefields Income. Audited Note 2.2.1 cross-check FY25 70,642 / FY24 70,111 ($'000).</t>
        </r>
      </text>
    </comment>
    <comment ref="M70" authorId="0" shapeId="0" xr:uid="{343194F3-84EC-4978-A2A6-6278FC920CA2}">
      <text>
        <r>
          <rPr>
            <sz val="10"/>
            <rFont val="Arial"/>
            <family val="2"/>
          </rPr>
          <t>GRV Annual Report 2025, Statement for Five Years (A$m) – Racefields Income. Audited Note 2.2.1 cross-check FY25 70,642 / FY24 70,111 ($'000).</t>
        </r>
      </text>
    </comment>
    <comment ref="N70" authorId="0" shapeId="0" xr:uid="{41656E8D-FE14-4FFF-B93D-919EA1CF68C2}">
      <text>
        <r>
          <rPr>
            <sz val="10"/>
            <rFont val="Arial"/>
            <family val="2"/>
          </rPr>
          <t>GRV Annual Report 2025, Statement for Five Years (A$m) – Racefields Income. Audited Note 2.2.1 cross-check FY25 70,642 / FY24 70,111 ($'000).</t>
        </r>
      </text>
    </comment>
    <comment ref="J71" authorId="0" shapeId="0" xr:uid="{42202209-B146-4DEC-8036-3EA020B80B9F}">
      <text>
        <r>
          <rPr>
            <sz val="10"/>
            <rFont val="Arial"/>
            <family val="2"/>
          </rPr>
          <t>GRV Annual Report 2025, Statement for Five Years (A$m) – Point of Consumption Tax. Vic PoCT commenced 1 Jan 2019; rate 10% to FY24, 15% from 1 Jul 2024 (FY25). Separately disclosed in GRV's five-year summary from FY21; FY19–FY20 PoCT sits within Other; nil pre-2019.</t>
        </r>
      </text>
    </comment>
    <comment ref="K71" authorId="0" shapeId="0" xr:uid="{6A77A9AB-35C2-4A56-B685-19D16290B382}">
      <text>
        <r>
          <rPr>
            <sz val="10"/>
            <rFont val="Arial"/>
            <family val="2"/>
          </rPr>
          <t>GRV Annual Report 2025, Statement for Five Years (A$m) – Point of Consumption Tax. Vic PoCT commenced 1 Jan 2019; rate 10% to FY24, 15% from 1 Jul 2024 (FY25). Separately disclosed in GRV's five-year summary from FY21; FY19–FY20 PoCT sits within Other; nil pre-2019.</t>
        </r>
      </text>
    </comment>
    <comment ref="L71" authorId="0" shapeId="0" xr:uid="{9C04FCFA-9F16-4E78-9D25-85AE72171B06}">
      <text>
        <r>
          <rPr>
            <sz val="10"/>
            <rFont val="Arial"/>
            <family val="2"/>
          </rPr>
          <t>GRV Annual Report 2025, Statement for Five Years (A$m) – Point of Consumption Tax. Vic PoCT commenced 1 Jan 2019; rate 10% to FY24, 15% from 1 Jul 2024 (FY25). Separately disclosed in GRV's five-year summary from FY21; FY19–FY20 PoCT sits within Other; nil pre-2019.</t>
        </r>
      </text>
    </comment>
    <comment ref="M71" authorId="0" shapeId="0" xr:uid="{17799247-BD52-43EB-AFB0-52215596564C}">
      <text>
        <r>
          <rPr>
            <sz val="10"/>
            <rFont val="Arial"/>
            <family val="2"/>
          </rPr>
          <t>GRV Annual Report 2025, Statement for Five Years (A$m) – Point of Consumption Tax. Vic PoCT commenced 1 Jan 2019; rate 10% to FY24, 15% from 1 Jul 2024 (FY25). Separately disclosed in GRV's five-year summary from FY21; FY19–FY20 PoCT sits within Other; nil pre-2019.</t>
        </r>
      </text>
    </comment>
    <comment ref="N71" authorId="0" shapeId="0" xr:uid="{D2977BE3-F979-4354-B723-507EB26AEC0F}">
      <text>
        <r>
          <rPr>
            <sz val="10"/>
            <rFont val="Arial"/>
            <family val="2"/>
          </rPr>
          <t>GRV Annual Report 2025, Statement for Five Years (A$m) – Point of Consumption Tax. Vic PoCT commenced 1 Jan 2019; rate 10% to FY24, 15% from 1 Jul 2024 (FY25). Separately disclosed in GRV's five-year summary from FY21; FY19–FY20 PoCT sits within Other; nil pre-2019. FY25 step-up driven by 10%→15% rate and GRV's 50% share of a larger PoCT base under the new VRI funding model.</t>
        </r>
      </text>
    </comment>
    <comment ref="N72" authorId="0" shapeId="0" xr:uid="{FBB3536E-99EF-4C65-B780-B5E9D798BC57}">
      <text>
        <r>
          <rPr>
            <sz val="10"/>
            <rFont val="Arial"/>
            <family val="2"/>
          </rPr>
          <t>GRV Annual Report 2025, Statement for Five Years / audited Note 2.2.3 (14,176 $'000). New 3-code Victorian Racing Industry (VRI) Funding agreement that replaced the VICTAB Joint Venture from 16 Aug 2024. Nil FY15–FY24 (did not exist). KEY TABCORP READTHROUGH.</t>
        </r>
      </text>
    </comment>
    <comment ref="D73" authorId="0" shapeId="0" xr:uid="{9BE99890-2B8A-4F83-B244-2989EB479A2E}">
      <text>
        <r>
          <rPr>
            <sz val="10"/>
            <rFont val="Arial"/>
            <family val="2"/>
          </rPr>
          <t>GRV Annual Report 2019, Statement for Five Years (A$m). FLAG: for FY15–FY18 this is GRV's bundled 'Tabcorp Income' = Tabcorp JV distribution + International &amp; Domestic (Vision Rights) revenue. GRV did not publish a JV / Vision split before FY19, so Vision Rights is included here (not in row 9 Other) for these years.</t>
        </r>
      </text>
    </comment>
    <comment ref="E73" authorId="0" shapeId="0" xr:uid="{0BDD1441-D6C5-4520-9D9C-05FAB275B5E8}">
      <text>
        <r>
          <rPr>
            <sz val="10"/>
            <rFont val="Arial"/>
            <family val="2"/>
          </rPr>
          <t>GRV Annual Report 2020, Statement for Five Years (A$m). FLAG: for FY15–FY18 this is GRV's bundled 'Tabcorp Income' = Tabcorp JV distribution + International &amp; Domestic (Vision Rights) revenue. GRV did not publish a JV / Vision split before FY19, so Vision Rights is included here (not in row 9 Other) for these years.</t>
        </r>
      </text>
    </comment>
    <comment ref="F73" authorId="0" shapeId="0" xr:uid="{F2867990-0D66-45DC-9468-D7019121325A}">
      <text>
        <r>
          <rPr>
            <sz val="10"/>
            <rFont val="Arial"/>
            <family val="2"/>
          </rPr>
          <t>GRV Annual Report 2021, Statement for Five Years (A$m). FLAG: for FY15–FY18 this is GRV's bundled 'Tabcorp Income' = Tabcorp JV distribution + International &amp; Domestic (Vision Rights) revenue. GRV did not publish a JV / Vision split before FY19, so Vision Rights is included here (not in row 9 Other) for these years.</t>
        </r>
      </text>
    </comment>
    <comment ref="G73" authorId="0" shapeId="0" xr:uid="{F68E1BF0-0A52-49FB-9041-AAE68D2DFB4C}">
      <text>
        <r>
          <rPr>
            <sz val="10"/>
            <rFont val="Arial"/>
            <family val="2"/>
          </rPr>
          <t>GRV Annual Report 2022, Statement for Five Years (A$m). FLAG: for FY15–FY18 this is GRV's bundled 'Tabcorp Income' = Tabcorp JV distribution + International &amp; Domestic (Vision Rights) revenue. GRV did not publish a JV / Vision split before FY19, so Vision Rights is included here (not in row 9 Other) for these years.</t>
        </r>
      </text>
    </comment>
    <comment ref="H73" authorId="0" shapeId="0" xr:uid="{C1A58194-BE1E-46A3-8C89-DB7E97F33E28}">
      <text>
        <r>
          <rPr>
            <sz val="10"/>
            <rFont val="Arial"/>
            <family val="2"/>
          </rPr>
          <t>GRV Annual Report 2023, Statement for Five Years (A$m) – Tabcorp Joint Venture Distribution (JV-only; Vision Rights of 4.5 sits in row 9 Other). Audited Note 2.2.4 cross-check FY25 2,789 / FY24 31,681 ($'000).</t>
        </r>
      </text>
    </comment>
    <comment ref="I73" authorId="0" shapeId="0" xr:uid="{CBF93D79-900D-4C43-960D-C2A71FD40349}">
      <text>
        <r>
          <rPr>
            <sz val="10"/>
            <rFont val="Arial"/>
            <family val="2"/>
          </rPr>
          <t>GRV Annual Report 2024, Statement for Five Years (A$m) – Tabcorp Joint Venture Distribution (JV-only; Vision Rights of 4.7 sits in row 9 Other). Audited Note 2.2.4 cross-check FY25 2,789 / FY24 31,681 ($'000).</t>
        </r>
      </text>
    </comment>
    <comment ref="J73" authorId="0" shapeId="0" xr:uid="{32B15D17-2663-423C-A110-F4B043FF21BB}">
      <text>
        <r>
          <rPr>
            <sz val="10"/>
            <rFont val="Arial"/>
            <family val="2"/>
          </rPr>
          <t>GRV Annual Report 2025, Statement for Five Years (A$m) – Tabcorp Joint Venture Distribution (JV-only; Vision Rights of 7.0 sits in row 9 Other). Audited Note 2.2.4 cross-check FY25 2,789 / FY24 31,681 ($'000).</t>
        </r>
      </text>
    </comment>
    <comment ref="K73" authorId="0" shapeId="0" xr:uid="{944CF815-3A65-4850-ABB6-4D374222F247}">
      <text>
        <r>
          <rPr>
            <sz val="10"/>
            <rFont val="Arial"/>
            <family val="2"/>
          </rPr>
          <t>GRV Annual Report 2025, Statement for Five Years (A$m) – Tabcorp Joint Venture Distribution (JV-only; Vision Rights of 7.7 sits in row 9 Other). Audited Note 2.2.4 cross-check FY25 2,789 / FY24 31,681 ($'000).</t>
        </r>
      </text>
    </comment>
    <comment ref="L73" authorId="0" shapeId="0" xr:uid="{12C26BAE-3E14-4DFE-92D2-9A8B87C08031}">
      <text>
        <r>
          <rPr>
            <sz val="10"/>
            <rFont val="Arial"/>
            <family val="2"/>
          </rPr>
          <t>GRV Annual Report 2025, Statement for Five Years (A$m) – Tabcorp Joint Venture Distribution (JV-only; Vision Rights of 11.0 sits in row 9 Other). Audited Note 2.2.4 cross-check FY25 2,789 / FY24 31,681 ($'000).</t>
        </r>
      </text>
    </comment>
    <comment ref="M73" authorId="0" shapeId="0" xr:uid="{188F0749-3A1B-4068-B165-2BDBE31B32D9}">
      <text>
        <r>
          <rPr>
            <sz val="10"/>
            <rFont val="Arial"/>
            <family val="2"/>
          </rPr>
          <t>GRV Annual Report 2025, Statement for Five Years (A$m) – Tabcorp Joint Venture Distribution (JV-only; Vision Rights of 9.7 sits in row 9 Other). Audited Note 2.2.4 cross-check FY25 2,789 / FY24 31,681 ($'000).</t>
        </r>
      </text>
    </comment>
    <comment ref="N73" authorId="0" shapeId="0" xr:uid="{4D77C995-C4D5-4345-B5C4-46490EA1134B}">
      <text>
        <r>
          <rPr>
            <sz val="10"/>
            <rFont val="Arial"/>
            <family val="2"/>
          </rPr>
          <t>GRV Annual Report 2025, Statement for Five Years (A$m) – Tabcorp Joint Venture Distribution (JV-only; Vision Rights of 9.9 sits in row 9 Other). Audited Note 2.2.4 cross-check FY25 2,789 / FY24 31,681 ($'000). Collapse from 31.7 to 2.8: the VICTAB JV with Tabcorp concluded 15 Aug 2024; FY25 captures ~6 weeks of JV distributions before transition to the new VRI funding model.</t>
        </r>
      </text>
    </comment>
    <comment ref="D74" authorId="0" shapeId="0" xr:uid="{075B13A3-7700-43DF-9F09-2B41C7FEB6C4}">
      <text>
        <r>
          <rPr>
            <sz val="10"/>
            <rFont val="Arial"/>
            <family val="2"/>
          </rPr>
          <t>GRV Annual Report 2019, Statement for Five Years (A$m) – Other Income only. Vision Rights for FY15–FY18 is bundled within row 8 (Tabcorp Income), not here.</t>
        </r>
      </text>
    </comment>
    <comment ref="E74" authorId="0" shapeId="0" xr:uid="{E870A33A-881A-44E3-813E-DEC529EDE7D0}">
      <text>
        <r>
          <rPr>
            <sz val="10"/>
            <rFont val="Arial"/>
            <family val="2"/>
          </rPr>
          <t>GRV Annual Report 2020, Statement for Five Years (A$m) – Other Income only. Vision Rights for FY15–FY18 is bundled within row 8 (Tabcorp Income), not here.</t>
        </r>
      </text>
    </comment>
    <comment ref="F74" authorId="0" shapeId="0" xr:uid="{0CED881D-BBC4-4A40-A201-56EC13C12CE8}">
      <text>
        <r>
          <rPr>
            <sz val="10"/>
            <rFont val="Arial"/>
            <family val="2"/>
          </rPr>
          <t>GRV Annual Report 2021, Statement for Five Years (A$m) – Other Income only. Vision Rights for FY15–FY18 is bundled within row 8 (Tabcorp Income), not here.</t>
        </r>
      </text>
    </comment>
    <comment ref="G74" authorId="0" shapeId="0" xr:uid="{67ECE007-7999-4CA9-A23C-7BA69DE67FB2}">
      <text>
        <r>
          <rPr>
            <sz val="10"/>
            <rFont val="Arial"/>
            <family val="2"/>
          </rPr>
          <t>GRV Annual Report 2022, Statement for Five Years (A$m) – Other Income only. Vision Rights for FY15–FY18 is bundled within row 8 (Tabcorp Income), not here.</t>
        </r>
      </text>
    </comment>
    <comment ref="H74" authorId="0" shapeId="0" xr:uid="{4B49FFB8-641A-4A6A-AC4B-AA9741CF2CE8}">
      <text>
        <r>
          <rPr>
            <sz val="10"/>
            <rFont val="Arial"/>
            <family val="2"/>
          </rPr>
          <t>GRV Annual Report 2023 – row 9 Other = Vision Rights Fees (4.5) + Interest + Other Income. (FY19–FY20 also include PoCT, which GRV did not separately disclose until FY21.)</t>
        </r>
      </text>
    </comment>
    <comment ref="I74" authorId="0" shapeId="0" xr:uid="{115CDF97-870D-42BD-B87C-886452C02D7E}">
      <text>
        <r>
          <rPr>
            <sz val="10"/>
            <rFont val="Arial"/>
            <family val="2"/>
          </rPr>
          <t>GRV Annual Report 2024 – row 9 Other = Vision Rights Fees (4.7) + Interest + Other Income. (FY19–FY20 also include PoCT, which GRV did not separately disclose until FY21.)</t>
        </r>
      </text>
    </comment>
    <comment ref="J74" authorId="0" shapeId="0" xr:uid="{F62488B7-BAE5-4245-9440-733B254754BC}">
      <text>
        <r>
          <rPr>
            <sz val="10"/>
            <rFont val="Arial"/>
            <family val="2"/>
          </rPr>
          <t>GRV Annual Report 2025 – row 9 Other = Vision Rights Fees (7.0) + Interest + Other Income. (FY19–FY20 also include PoCT, which GRV did not separately disclose until FY21.)</t>
        </r>
      </text>
    </comment>
    <comment ref="K74" authorId="0" shapeId="0" xr:uid="{3706D8F4-6FB1-457C-869A-F33F5F40A48F}">
      <text>
        <r>
          <rPr>
            <sz val="10"/>
            <rFont val="Arial"/>
            <family val="2"/>
          </rPr>
          <t>GRV Annual Report 2025 – row 9 Other = Vision Rights Fees (7.7) + Interest + Other Income. (FY19–FY20 also include PoCT, which GRV did not separately disclose until FY21.)</t>
        </r>
      </text>
    </comment>
    <comment ref="L74" authorId="0" shapeId="0" xr:uid="{2A9759C2-EDBF-4CCE-A976-F90BA0FF737E}">
      <text>
        <r>
          <rPr>
            <sz val="10"/>
            <rFont val="Arial"/>
            <family val="2"/>
          </rPr>
          <t>GRV Annual Report 2025 – row 9 Other = Vision Rights Fees (11.0) + Interest + Other Income. (FY19–FY20 also include PoCT, which GRV did not separately disclose until FY21.)</t>
        </r>
      </text>
    </comment>
    <comment ref="M74" authorId="0" shapeId="0" xr:uid="{43086992-FDC7-43C0-A9AB-2207C8B0074B}">
      <text>
        <r>
          <rPr>
            <sz val="10"/>
            <rFont val="Arial"/>
            <family val="2"/>
          </rPr>
          <t>GRV Annual Report 2025 – row 9 Other = Vision Rights Fees (9.7) + Interest + Other Income. (FY19–FY20 also include PoCT, which GRV did not separately disclose until FY21.)</t>
        </r>
      </text>
    </comment>
    <comment ref="N74" authorId="0" shapeId="0" xr:uid="{F4492E60-3B08-4463-AE2D-1070B0E664CA}">
      <text>
        <r>
          <rPr>
            <sz val="10"/>
            <rFont val="Arial"/>
            <family val="2"/>
          </rPr>
          <t>GRV Annual Report 2025 – row 9 Other = Vision Rights Fees (9.9) + Interest + Other Income. (FY19–FY20 also include PoCT, which GRV did not separately disclose until FY21.)</t>
        </r>
      </text>
    </comment>
    <comment ref="D75" authorId="0" shapeId="0" xr:uid="{32CDEC72-C5D1-4536-9A00-032237B39996}">
      <text>
        <r>
          <rPr>
            <sz val="10"/>
            <rFont val="Arial"/>
            <family val="2"/>
          </rPr>
          <t>Formula = SUM of rows 5–9. Reconciles to GRV audited 'Total Revenue and Income from Transactions' of 88,652 $'000 (≈88.7). GRV Annual Report 2019.</t>
        </r>
      </text>
    </comment>
    <comment ref="E75" authorId="0" shapeId="0" xr:uid="{190D1D17-44F2-4CE3-88D8-49E48EAD68B7}">
      <text>
        <r>
          <rPr>
            <sz val="10"/>
            <rFont val="Arial"/>
            <family val="2"/>
          </rPr>
          <t>Formula = SUM of rows 5–9. Reconciles to GRV audited 'Total Revenue and Income from Transactions' of 90,576 $'000 (≈90.6). GRV Annual Report 2020.</t>
        </r>
      </text>
    </comment>
    <comment ref="F75" authorId="0" shapeId="0" xr:uid="{08F93CA7-BBFA-4039-837D-F20EBDCBF085}">
      <text>
        <r>
          <rPr>
            <sz val="10"/>
            <rFont val="Arial"/>
            <family val="2"/>
          </rPr>
          <t>Formula = SUM of rows 5–9. Reconciles to GRV audited 'Total Revenue and Income from Transactions' of 94,338 $'000 (≈94.3). GRV Annual Report 2021.</t>
        </r>
      </text>
    </comment>
    <comment ref="G75" authorId="0" shapeId="0" xr:uid="{9536E5EC-A04B-4C57-B0BC-13C78D5B93EA}">
      <text>
        <r>
          <rPr>
            <sz val="10"/>
            <rFont val="Arial"/>
            <family val="2"/>
          </rPr>
          <t>Formula = SUM of rows 5–9. Reconciles to GRV audited 'Total Revenue and Income from Transactions' of 98,823 $'000 (≈98.8). GRV Annual Report 2022. Note: components sum to 98.9 vs GRV reported 98.8 – 0.1 rounding within GRV's own five-year table.</t>
        </r>
      </text>
    </comment>
    <comment ref="H75" authorId="0" shapeId="0" xr:uid="{8A921F33-B3CB-4FE7-AF0A-F149F04FE6CA}">
      <text>
        <r>
          <rPr>
            <sz val="10"/>
            <rFont val="Arial"/>
            <family val="2"/>
          </rPr>
          <t>Formula = SUM of rows 5–9. Reconciles to GRV audited 'Total Revenue and Income from Transactions' of 103,639 $'000 (≈103.6). GRV Annual Report 2023.</t>
        </r>
      </text>
    </comment>
    <comment ref="I75" authorId="0" shapeId="0" xr:uid="{8877B168-F5B8-47D0-AF4D-B7351C34F0BB}">
      <text>
        <r>
          <rPr>
            <sz val="10"/>
            <rFont val="Arial"/>
            <family val="2"/>
          </rPr>
          <t>Formula = SUM of rows 5–9. Reconciles to GRV audited 'Total Revenue and Income from Transactions' of 106,584 $'000 (≈106.6). GRV Annual Report 2024.</t>
        </r>
      </text>
    </comment>
    <comment ref="J75" authorId="0" shapeId="0" xr:uid="{94213C99-F771-40FF-A5E4-254B3C440C27}">
      <text>
        <r>
          <rPr>
            <sz val="10"/>
            <rFont val="Arial"/>
            <family val="2"/>
          </rPr>
          <t>Formula = SUM of rows 5–9. Reconciles to GRV audited 'Total Revenue and Income from Transactions' of 132,149 $'000 (≈132.1). GRV Annual Report 2025. Note: components sum to 132.2 (matches GRV five-year table) vs audited 132.1 – 0.1 rounding.</t>
        </r>
      </text>
    </comment>
    <comment ref="K75" authorId="0" shapeId="0" xr:uid="{5CBC7078-12F6-4381-9573-B408EC7AC468}">
      <text>
        <r>
          <rPr>
            <sz val="10"/>
            <rFont val="Arial"/>
            <family val="2"/>
          </rPr>
          <t>Formula = SUM of rows 5–9. Reconciles to GRV audited 'Total Revenue and Income from Transactions' of 139,864 $'000 (≈139.9). GRV Annual Report 2025.</t>
        </r>
      </text>
    </comment>
    <comment ref="L75" authorId="0" shapeId="0" xr:uid="{B5F39859-1BEC-4963-A021-B773E674D69F}">
      <text>
        <r>
          <rPr>
            <sz val="10"/>
            <rFont val="Arial"/>
            <family val="2"/>
          </rPr>
          <t>Formula = SUM of rows 5–9. Reconciles to GRV audited 'Total Revenue and Income from Transactions' of 149,290 $'000 (≈149.3). GRV Annual Report 2025.</t>
        </r>
      </text>
    </comment>
    <comment ref="M75" authorId="0" shapeId="0" xr:uid="{29F5A397-F78C-4E25-83DD-F26DD08B0E5C}">
      <text>
        <r>
          <rPr>
            <sz val="10"/>
            <rFont val="Arial"/>
            <family val="2"/>
          </rPr>
          <t>Formula = SUM of rows 5–9. Reconciles to GRV audited 'Total Revenue and Income from Transactions' of 134,216 $'000 (≈134.2). GRV Annual Report 2025.</t>
        </r>
      </text>
    </comment>
    <comment ref="N75" authorId="0" shapeId="0" xr:uid="{4BE69CA8-5A3B-4355-AE51-75652997944D}">
      <text>
        <r>
          <rPr>
            <sz val="10"/>
            <rFont val="Arial"/>
            <family val="2"/>
          </rPr>
          <t>Formula = SUM of rows 5–9. Reconciles to GRV audited 'Total Revenue and Income from Transactions' of 135,674 $'000 (≈135.7). GRV Annual Report 2025.</t>
        </r>
      </text>
    </comment>
    <comment ref="D78" authorId="0" shapeId="0" xr:uid="{1761AC5B-7A68-4E56-89B6-932F22FA8F41}">
      <text>
        <r>
          <rPr>
            <sz val="10"/>
            <rFont val="Arial"/>
            <family val="2"/>
          </rPr>
          <t>GRV Annual Report 2016, 'National Turnover on Vic Greyhounds' table (A$m, text). Corporate Bookmakers (Corps/Exch incl. Betfair).</t>
        </r>
      </text>
    </comment>
    <comment ref="E78" authorId="0" shapeId="0" xr:uid="{932A653B-4D73-44F7-AC96-2D0577AE161E}">
      <text>
        <r>
          <rPr>
            <sz val="10"/>
            <rFont val="Arial"/>
            <family val="2"/>
          </rPr>
          <t>GRV Annual Report 2019, 'National Turnover on Vic Greyhounds' table (A$m, text). Corporate Bookmakers (Corps/Exch incl. Betfair).</t>
        </r>
      </text>
    </comment>
    <comment ref="F78" authorId="0" shapeId="0" xr:uid="{24C508AC-3530-4382-AA01-8283072A15D6}">
      <text>
        <r>
          <rPr>
            <sz val="10"/>
            <rFont val="Arial"/>
            <family val="2"/>
          </rPr>
          <t>GRV Annual Report 2019, 'National Turnover on Vic Greyhounds' table (A$m, text). Corporate Bookmakers (Corps/Exch incl. Betfair).</t>
        </r>
      </text>
    </comment>
    <comment ref="G78" authorId="0" shapeId="0" xr:uid="{41269592-F3F9-4CD0-9BAD-A17A7A2863F0}">
      <text>
        <r>
          <rPr>
            <sz val="10"/>
            <rFont val="Arial"/>
            <family val="2"/>
          </rPr>
          <t>GRV Annual Report 2019, 'National Turnover on Vic Greyhounds' table (A$m, text). Corporate Bookmakers (Corps/Exch incl. Betfair).</t>
        </r>
      </text>
    </comment>
    <comment ref="H78" authorId="0" shapeId="0" xr:uid="{C637ED59-AC2C-4D72-AF2D-86434563967D}">
      <text>
        <r>
          <rPr>
            <sz val="10"/>
            <rFont val="Arial"/>
            <family val="2"/>
          </rPr>
          <t>GRV Annual Report 2022 wagering chart (corroborated by AR2019 text table). Corporate Bookmakers (Corps/Exch incl. Betfair).</t>
        </r>
      </text>
    </comment>
    <comment ref="I78" authorId="0" shapeId="0" xr:uid="{A5F291B4-E409-4577-AFFA-38F29C862971}">
      <text>
        <r>
          <rPr>
            <sz val="10"/>
            <rFont val="Arial"/>
            <family val="2"/>
          </rPr>
          <t>GRV Annual Report 2023 'GRV Wagering Turnover' chart (data labels, A$m). Corporate Bookmakers (Corps/Exch incl. Betfair). Chart-derived (whole A$m) – lower confidence; reconciled to reported total.</t>
        </r>
      </text>
    </comment>
    <comment ref="J78" authorId="0" shapeId="0" xr:uid="{A9A6138B-B960-4FDD-A928-E0F6FFAE507F}">
      <text>
        <r>
          <rPr>
            <sz val="10"/>
            <rFont val="Arial"/>
            <family val="2"/>
          </rPr>
          <t>GRV Annual Report 2024 'GRV Wagering Turnover' chart (data labels, A$m). Corporate Bookmakers (Corps/Exch incl. Betfair). Chart-derived (whole A$m) – lower confidence; reconciled to reported total.</t>
        </r>
      </text>
    </comment>
    <comment ref="K78" authorId="0" shapeId="0" xr:uid="{61A8A23E-F464-4B93-A274-0DE703899BF8}">
      <text>
        <r>
          <rPr>
            <sz val="10"/>
            <rFont val="Arial"/>
            <family val="2"/>
          </rPr>
          <t>GRV Annual Report 2025 'GRV Wagering Turnover' chart (data labels, A$m). Corporate Bookmakers (Corps/Exch incl. Betfair). Chart-derived (whole A$m) – lower confidence; reconciled to reported total.</t>
        </r>
      </text>
    </comment>
    <comment ref="L78" authorId="0" shapeId="0" xr:uid="{82D5053C-F708-41D9-8CFE-939C233149AC}">
      <text>
        <r>
          <rPr>
            <sz val="10"/>
            <rFont val="Arial"/>
            <family val="2"/>
          </rPr>
          <t>GRV Annual Report 2025 'GRV Wagering Turnover' chart (data labels, A$m). Corporate Bookmakers (Corps/Exch incl. Betfair). Chart-derived (whole A$m) – lower confidence; reconciled to reported total.</t>
        </r>
      </text>
    </comment>
    <comment ref="M78" authorId="0" shapeId="0" xr:uid="{D1B820B8-F329-4347-9412-EC53033CDC41}">
      <text>
        <r>
          <rPr>
            <sz val="10"/>
            <rFont val="Arial"/>
            <family val="2"/>
          </rPr>
          <t>GRV Annual Report 2025 'GRV Wagering Turnover' chart (data labels, A$m). Corporate Bookmakers (Corps/Exch incl. Betfair). AR2025 chart slightly restates FY24 vs AR2024 (Corporate Bookmakers 2,160 vs 2,156). Chart-derived (whole A$m) – lower confidence; reconciled to reported total.</t>
        </r>
      </text>
    </comment>
    <comment ref="N78" authorId="0" shapeId="0" xr:uid="{7B114848-39A5-4DD5-9CA5-9B9B5F0ACC34}">
      <text>
        <r>
          <rPr>
            <sz val="10"/>
            <rFont val="Arial"/>
            <family val="2"/>
          </rPr>
          <t>GRV Annual Report 2025 'GRV Wagering Turnover' chart (data labels, A$m). Corporate Bookmakers (Corps/Exch incl. Betfair). Chart-derived (whole A$m) – lower confidence; reconciled to reported total.</t>
        </r>
      </text>
    </comment>
    <comment ref="D79" authorId="0" shapeId="0" xr:uid="{303B7B61-2074-4E6A-B5F4-EBC94F442388}">
      <text>
        <r>
          <rPr>
            <sz val="10"/>
            <rFont val="Arial"/>
            <family val="2"/>
          </rPr>
          <t>GRV Annual Report 2016, 'National Turnover on Vic Greyhounds' table (A$m, text). Interstate TABs (Other TABs).</t>
        </r>
      </text>
    </comment>
    <comment ref="E79" authorId="0" shapeId="0" xr:uid="{DE00673B-4E51-4AE4-A258-E7C3FB9D6BBF}">
      <text>
        <r>
          <rPr>
            <sz val="10"/>
            <rFont val="Arial"/>
            <family val="2"/>
          </rPr>
          <t>GRV Annual Report 2019, 'National Turnover on Vic Greyhounds' table (A$m, text). Interstate TABs (Other TABs).</t>
        </r>
      </text>
    </comment>
    <comment ref="F79" authorId="0" shapeId="0" xr:uid="{5C1FBED6-DAD9-452A-B075-9FD37170523C}">
      <text>
        <r>
          <rPr>
            <sz val="10"/>
            <rFont val="Arial"/>
            <family val="2"/>
          </rPr>
          <t>GRV Annual Report 2019, 'National Turnover on Vic Greyhounds' table (A$m, text). Interstate TABs (Other TABs).</t>
        </r>
      </text>
    </comment>
    <comment ref="G79" authorId="0" shapeId="0" xr:uid="{782296AE-6329-42E5-8E25-79A94602D5B3}">
      <text>
        <r>
          <rPr>
            <sz val="10"/>
            <rFont val="Arial"/>
            <family val="2"/>
          </rPr>
          <t>GRV Annual Report 2019, 'National Turnover on Vic Greyhounds' table (A$m, text). Interstate TABs (Other TABs).</t>
        </r>
      </text>
    </comment>
    <comment ref="H79" authorId="0" shapeId="0" xr:uid="{7525EA1E-6244-4E1A-B459-E4724A766ABD}">
      <text>
        <r>
          <rPr>
            <sz val="10"/>
            <rFont val="Arial"/>
            <family val="2"/>
          </rPr>
          <t>GRV Annual Report 2022 wagering chart (corroborated by AR2019 text table). Interstate TABs (Other TABs).</t>
        </r>
      </text>
    </comment>
    <comment ref="I79" authorId="0" shapeId="0" xr:uid="{D41F9CA6-4801-4393-9003-CF6C9D8DBB72}">
      <text>
        <r>
          <rPr>
            <sz val="10"/>
            <rFont val="Arial"/>
            <family val="2"/>
          </rPr>
          <t>GRV Annual Report 2023 'GRV Wagering Turnover' chart (data labels, A$m). Interstate TABs (Other TABs). Chart-derived (whole A$m) – lower confidence; reconciled to reported total.</t>
        </r>
      </text>
    </comment>
    <comment ref="J79" authorId="0" shapeId="0" xr:uid="{03814284-0FA1-4EE4-86AA-0BAB22A5ABDB}">
      <text>
        <r>
          <rPr>
            <sz val="10"/>
            <rFont val="Arial"/>
            <family val="2"/>
          </rPr>
          <t>GRV Annual Report 2024 'GRV Wagering Turnover' chart (data labels, A$m). Interstate TABs (Other TABs). Chart-derived (whole A$m) – lower confidence; reconciled to reported total.</t>
        </r>
      </text>
    </comment>
    <comment ref="K79" authorId="0" shapeId="0" xr:uid="{5C772D36-43FE-499C-9371-EE8C10BBB79D}">
      <text>
        <r>
          <rPr>
            <sz val="10"/>
            <rFont val="Arial"/>
            <family val="2"/>
          </rPr>
          <t>GRV Annual Report 2025 'GRV Wagering Turnover' chart (data labels, A$m). Interstate TABs (Other TABs). Chart-derived (whole A$m) – lower confidence; reconciled to reported total.</t>
        </r>
      </text>
    </comment>
    <comment ref="L79" authorId="0" shapeId="0" xr:uid="{CD4904D4-BB3E-48CC-9DDF-E8B01E042145}">
      <text>
        <r>
          <rPr>
            <sz val="10"/>
            <rFont val="Arial"/>
            <family val="2"/>
          </rPr>
          <t>GRV Annual Report 2025 'GRV Wagering Turnover' chart (data labels, A$m). Interstate TABs (Other TABs). Chart-derived (whole A$m) – lower confidence; reconciled to reported total.</t>
        </r>
      </text>
    </comment>
    <comment ref="M79" authorId="0" shapeId="0" xr:uid="{030B5CEF-1717-4F75-B02E-DCA4E3D5008D}">
      <text>
        <r>
          <rPr>
            <sz val="10"/>
            <rFont val="Arial"/>
            <family val="2"/>
          </rPr>
          <t>GRV Annual Report 2025 'GRV Wagering Turnover' chart (data labels, A$m). Interstate TABs (Other TABs). AR2025 chart slightly restates FY24 vs AR2024 (Corporate Bookmakers 2,160 vs 2,156). Chart-derived (whole A$m) – lower confidence; reconciled to reported total.</t>
        </r>
      </text>
    </comment>
    <comment ref="N79" authorId="0" shapeId="0" xr:uid="{6ECA310F-EC4D-48A8-81A2-DB5E71F34FF9}">
      <text>
        <r>
          <rPr>
            <sz val="10"/>
            <rFont val="Arial"/>
            <family val="2"/>
          </rPr>
          <t>GRV Annual Report 2025 'GRV Wagering Turnover' chart (data labels, A$m). Interstate TABs (Other TABs). Chart-derived (whole A$m) – lower confidence; reconciled to reported total.</t>
        </r>
      </text>
    </comment>
    <comment ref="D80" authorId="0" shapeId="0" xr:uid="{A6112DAC-2B01-4463-B676-8689304874A8}">
      <text>
        <r>
          <rPr>
            <sz val="10"/>
            <rFont val="Arial"/>
            <family val="2"/>
          </rPr>
          <t>GRV Annual Report 2016, 'National Turnover on Vic Greyhounds' table (A$m, text). VicTAB.</t>
        </r>
      </text>
    </comment>
    <comment ref="E80" authorId="0" shapeId="0" xr:uid="{B5E5DC75-E449-4617-A31C-7B894CD51A84}">
      <text>
        <r>
          <rPr>
            <sz val="10"/>
            <rFont val="Arial"/>
            <family val="2"/>
          </rPr>
          <t>GRV Annual Report 2019, 'National Turnover on Vic Greyhounds' table (A$m, text). VicTAB.</t>
        </r>
      </text>
    </comment>
    <comment ref="F80" authorId="0" shapeId="0" xr:uid="{D14639C4-93DF-4110-AE1C-E6BEDBB30BD2}">
      <text>
        <r>
          <rPr>
            <sz val="10"/>
            <rFont val="Arial"/>
            <family val="2"/>
          </rPr>
          <t>GRV Annual Report 2019, 'National Turnover on Vic Greyhounds' table (A$m, text). VicTAB.</t>
        </r>
      </text>
    </comment>
    <comment ref="G80" authorId="0" shapeId="0" xr:uid="{7026E7C5-D00E-473D-AC1F-778F64B73AF2}">
      <text>
        <r>
          <rPr>
            <sz val="10"/>
            <rFont val="Arial"/>
            <family val="2"/>
          </rPr>
          <t>GRV Annual Report 2019, 'National Turnover on Vic Greyhounds' table (A$m, text). VicTAB.</t>
        </r>
      </text>
    </comment>
    <comment ref="H80" authorId="0" shapeId="0" xr:uid="{B33AAE6D-C687-43E0-B83D-30D7C8DDE3A1}">
      <text>
        <r>
          <rPr>
            <sz val="10"/>
            <rFont val="Arial"/>
            <family val="2"/>
          </rPr>
          <t>GRV Annual Report 2022 wagering chart (corroborated by AR2019 text table). VicTAB.</t>
        </r>
      </text>
    </comment>
    <comment ref="I80" authorId="0" shapeId="0" xr:uid="{F5A3F8D1-1E84-49E6-96AF-45D77E38796C}">
      <text>
        <r>
          <rPr>
            <sz val="10"/>
            <rFont val="Arial"/>
            <family val="2"/>
          </rPr>
          <t>GRV Annual Report 2023 'GRV Wagering Turnover' chart (data labels, A$m). VicTAB. Chart-derived (whole A$m) – lower confidence; reconciled to reported total.</t>
        </r>
      </text>
    </comment>
    <comment ref="J80" authorId="0" shapeId="0" xr:uid="{BCB86E68-169B-4B27-9EBC-99D4CD2FD3E8}">
      <text>
        <r>
          <rPr>
            <sz val="10"/>
            <rFont val="Arial"/>
            <family val="2"/>
          </rPr>
          <t>GRV Annual Report 2024 'GRV Wagering Turnover' chart (data labels, A$m). VicTAB. Chart-derived (whole A$m) – lower confidence; reconciled to reported total.</t>
        </r>
      </text>
    </comment>
    <comment ref="K80" authorId="0" shapeId="0" xr:uid="{3B638309-19DC-4F37-BED1-048E5AB6E614}">
      <text>
        <r>
          <rPr>
            <sz val="10"/>
            <rFont val="Arial"/>
            <family val="2"/>
          </rPr>
          <t>GRV Annual Report 2025 'GRV Wagering Turnover' chart (data labels, A$m). VicTAB. Chart-derived (whole A$m) – lower confidence; reconciled to reported total.</t>
        </r>
      </text>
    </comment>
    <comment ref="L80" authorId="0" shapeId="0" xr:uid="{057DCBFC-5D9F-45BE-96CF-53B2E396B8ED}">
      <text>
        <r>
          <rPr>
            <sz val="10"/>
            <rFont val="Arial"/>
            <family val="2"/>
          </rPr>
          <t>GRV Annual Report 2025 'GRV Wagering Turnover' chart (data labels, A$m). VicTAB. Chart-derived (whole A$m) – lower confidence; reconciled to reported total.</t>
        </r>
      </text>
    </comment>
    <comment ref="M80" authorId="0" shapeId="0" xr:uid="{4BF25DB2-85C1-4182-88E0-00094819F06B}">
      <text>
        <r>
          <rPr>
            <sz val="10"/>
            <rFont val="Arial"/>
            <family val="2"/>
          </rPr>
          <t>GRV Annual Report 2025 'GRV Wagering Turnover' chart (data labels, A$m). VicTAB. AR2025 chart slightly restates FY24 vs AR2024 (Corporate Bookmakers 2,160 vs 2,156). Chart-derived (whole A$m) – lower confidence; reconciled to reported total.</t>
        </r>
      </text>
    </comment>
    <comment ref="N80" authorId="0" shapeId="0" xr:uid="{719A45B6-61BA-426E-B407-566F8D934DEC}">
      <text>
        <r>
          <rPr>
            <sz val="10"/>
            <rFont val="Arial"/>
            <family val="2"/>
          </rPr>
          <t>GRV Annual Report 2025 'GRV Wagering Turnover' chart (data labels, A$m). VicTAB. Chart-derived (whole A$m) – lower confidence; reconciled to reported total.</t>
        </r>
      </text>
    </comment>
    <comment ref="D81" authorId="0" shapeId="0" xr:uid="{0E1B4299-736B-43D3-8B00-C4E63D4A1AE0}">
      <text>
        <r>
          <rPr>
            <sz val="10"/>
            <rFont val="Arial"/>
            <family val="2"/>
          </rPr>
          <t>Formula = SUM of rows 13–15 (1,615). GRV reported total turnover 1,616 (AR2016). Components sum to 1,615 vs GRV reported total – 1 rounding difference.</t>
        </r>
      </text>
    </comment>
    <comment ref="E81" authorId="0" shapeId="0" xr:uid="{89C96E19-66E0-4822-87A6-6FD18A4B4A7D}">
      <text>
        <r>
          <rPr>
            <sz val="10"/>
            <rFont val="Arial"/>
            <family val="2"/>
          </rPr>
          <t>Formula = SUM of rows 13–15 (1,829). GRV reported total turnover 1,828 (AR2019). Components sum to 1,829 vs GRV reported total – 1 rounding difference.</t>
        </r>
      </text>
    </comment>
    <comment ref="F81" authorId="0" shapeId="0" xr:uid="{B6F678A0-9BE4-4CD9-ABB9-E6847AC58E7E}">
      <text>
        <r>
          <rPr>
            <sz val="10"/>
            <rFont val="Arial"/>
            <family val="2"/>
          </rPr>
          <t>Formula = SUM of rows 13–15 (2,045). GRV reported total turnover 2,044 (AR2019). Components sum to 2,045 vs GRV reported total – 1 rounding difference.</t>
        </r>
      </text>
    </comment>
    <comment ref="G81" authorId="0" shapeId="0" xr:uid="{C2D004F8-0C28-491D-944B-07A85CB9D100}">
      <text>
        <r>
          <rPr>
            <sz val="10"/>
            <rFont val="Arial"/>
            <family val="2"/>
          </rPr>
          <t>Formula = SUM of rows 13–15 (2,265). GRV reported total turnover 2,265 (AR2019).</t>
        </r>
      </text>
    </comment>
    <comment ref="H81" authorId="0" shapeId="0" xr:uid="{3269653F-CFDC-4AE0-B8D1-049C96AAA735}">
      <text>
        <r>
          <rPr>
            <sz val="10"/>
            <rFont val="Arial"/>
            <family val="2"/>
          </rPr>
          <t>Formula = SUM of rows 13–15 (2,369). GRV reported total turnover 2,369 (AR2022).</t>
        </r>
      </text>
    </comment>
    <comment ref="I81" authorId="0" shapeId="0" xr:uid="{44CE7C50-6E3E-4E88-9C47-CAAE3BA74F01}">
      <text>
        <r>
          <rPr>
            <sz val="10"/>
            <rFont val="Arial"/>
            <family val="2"/>
          </rPr>
          <t>Formula = SUM of rows 13–15 (2,600). GRV reported total turnover 2,600 (AR2023).</t>
        </r>
      </text>
    </comment>
    <comment ref="J81" authorId="0" shapeId="0" xr:uid="{CB99D208-2002-4F1E-97C1-1B55581A19DE}">
      <text>
        <r>
          <rPr>
            <sz val="10"/>
            <rFont val="Arial"/>
            <family val="2"/>
          </rPr>
          <t>Formula = SUM of rows 13–15 (3,352). GRV reported total turnover 3,352 (AR2024).</t>
        </r>
      </text>
    </comment>
    <comment ref="K81" authorId="0" shapeId="0" xr:uid="{7CC8E561-976C-4BC2-8390-1BD0BEA9CE16}">
      <text>
        <r>
          <rPr>
            <sz val="10"/>
            <rFont val="Arial"/>
            <family val="2"/>
          </rPr>
          <t>Formula = SUM of rows 13–15 (3,693). GRV reported total turnover 3,693.61 (AR2025).</t>
        </r>
      </text>
    </comment>
    <comment ref="L81" authorId="0" shapeId="0" xr:uid="{9A6D1B28-5BD3-4249-B0EA-A7626A67D7FA}">
      <text>
        <r>
          <rPr>
            <sz val="10"/>
            <rFont val="Arial"/>
            <family val="2"/>
          </rPr>
          <t>Formula = SUM of rows 13–15 (3,429). GRV reported total turnover 3,429.22 (AR2025).</t>
        </r>
      </text>
    </comment>
    <comment ref="M81" authorId="0" shapeId="0" xr:uid="{CF5A5E5D-6A15-43C1-84B0-7405DC5615B2}">
      <text>
        <r>
          <rPr>
            <sz val="10"/>
            <rFont val="Arial"/>
            <family val="2"/>
          </rPr>
          <t>Formula = SUM of rows 13–15 (2,986). GRV reported total turnover 2,981.87 (AR2025). AR2025 chart total 2,986 vs AR2024 chart 2,982 and AR2025 KPI snapshot 2,981.87 – minor ~A$4m restatement/rounding within GRV disclosures.</t>
        </r>
      </text>
    </comment>
    <comment ref="N81" authorId="0" shapeId="0" xr:uid="{DECC9044-0571-4094-8069-F4CD9F7C5431}">
      <text>
        <r>
          <rPr>
            <sz val="10"/>
            <rFont val="Arial"/>
            <family val="2"/>
          </rPr>
          <t>Formula = SUM of rows 13–15 (3,018). GRV reported total turnover 3,017.61 (AR2025).</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5" authorId="0" shapeId="0" xr:uid="{DD995BC0-DCD1-469D-99FD-3B3D6A7F03E5}">
      <text>
        <r>
          <rPr>
            <sz val="10"/>
            <rFont val="Arial"/>
            <family val="2"/>
          </rPr>
          <t>Source: Racing Queensland Annual Report 2024/25, 'Our Performance' chart (PDF p.13), data labels read from the rendered chart. Stacking: Thoroughbred / Harness / Greyhounds. Thoroughbred 'QLD product revenue' = direct product revenue + estimated Betting Tax receipts by code (RQ/Qld Treasury basis). Distinct from statutory Total Revenue (row 14).</t>
        </r>
      </text>
    </comment>
    <comment ref="F5" authorId="0" shapeId="0" xr:uid="{D04BDE20-92E1-4096-A541-FE96472EBC66}">
      <text>
        <r>
          <rPr>
            <sz val="10"/>
            <rFont val="Arial"/>
            <family val="2"/>
          </rPr>
          <t>Source: Racing Queensland Annual Report 2024/25, 'Our Performance' chart (PDF p.13), data labels read from the rendered chart. Stacking: Thoroughbred / Harness / Greyhounds. Thoroughbred 'QLD product revenue' = direct product revenue + estimated Betting Tax receipts by code (RQ/Qld Treasury basis). Distinct from statutory Total Revenue (row 14).</t>
        </r>
      </text>
    </comment>
    <comment ref="G5" authorId="0" shapeId="0" xr:uid="{8735015E-B918-4434-AECE-78AD1CFDEFE9}">
      <text>
        <r>
          <rPr>
            <sz val="10"/>
            <rFont val="Arial"/>
            <family val="2"/>
          </rPr>
          <t>Source: Racing Queensland Annual Report 2024/25, 'Our Performance' chart (PDF p.13), data labels read from the rendered chart. Stacking: Thoroughbred / Harness / Greyhounds. Thoroughbred 'QLD product revenue' = direct product revenue + estimated Betting Tax receipts by code (RQ/Qld Treasury basis). Distinct from statutory Total Revenue (row 14).</t>
        </r>
      </text>
    </comment>
    <comment ref="H5" authorId="0" shapeId="0" xr:uid="{D75C160D-87BC-4E9F-A0E5-43C0AD801A7F}">
      <text>
        <r>
          <rPr>
            <sz val="10"/>
            <rFont val="Arial"/>
            <family val="2"/>
          </rPr>
          <t>Source: Racing Queensland Annual Report 2024/25, 'Our Performance' chart (PDF p.13), data labels read from the rendered chart. Stacking: Thoroughbred / Harness / Greyhounds. Thoroughbred 'QLD product revenue' = direct product revenue + estimated Betting Tax receipts by code (RQ/Qld Treasury basis). Distinct from statutory Total Revenue (row 14).</t>
        </r>
      </text>
    </comment>
    <comment ref="I5" authorId="0" shapeId="0" xr:uid="{C10CFE62-1305-4C57-B1F6-A0D448DF3B33}">
      <text>
        <r>
          <rPr>
            <sz val="10"/>
            <rFont val="Arial"/>
            <family val="2"/>
          </rPr>
          <t>Source: Racing Queensland Annual Report 2024/25, 'Our Performance' chart (PDF p.13), data labels read from the rendered chart. Stacking: Thoroughbred / Harness / Greyhounds. Thoroughbred 'QLD product revenue' = direct product revenue + estimated Betting Tax receipts by code (RQ/Qld Treasury basis). Distinct from statutory Total Revenue (row 14).</t>
        </r>
      </text>
    </comment>
    <comment ref="J5" authorId="0" shapeId="0" xr:uid="{C6A5DC43-9101-4263-87DF-6F9C0CA55FAD}">
      <text>
        <r>
          <rPr>
            <sz val="10"/>
            <rFont val="Arial"/>
            <family val="2"/>
          </rPr>
          <t>Source: Racing Queensland Annual Report 2024/25, 'Our Performance' chart (PDF p.13), data labels read from the rendered chart. Stacking: Thoroughbred / Harness / Greyhounds. Thoroughbred 'QLD product revenue' = direct product revenue + estimated Betting Tax receipts by code (RQ/Qld Treasury basis). Distinct from statutory Total Revenue (row 14).</t>
        </r>
      </text>
    </comment>
    <comment ref="K5" authorId="0" shapeId="0" xr:uid="{0FA43811-3287-4D1F-BC47-63F5830AB850}">
      <text>
        <r>
          <rPr>
            <sz val="10"/>
            <rFont val="Arial"/>
            <family val="2"/>
          </rPr>
          <t>Source: Racing Queensland Annual Report 2024/25, 'Our Performance' chart (PDF p.13), data labels read from the rendered chart. Stacking: Thoroughbred / Harness / Greyhounds. Thoroughbred 'QLD product revenue' = direct product revenue + estimated Betting Tax receipts by code (RQ/Qld Treasury basis). Distinct from statutory Total Revenue (row 14).</t>
        </r>
      </text>
    </comment>
    <comment ref="L5" authorId="0" shapeId="0" xr:uid="{234C6589-AC6C-4EDC-BAD9-DE62347BDEED}">
      <text>
        <r>
          <rPr>
            <sz val="10"/>
            <rFont val="Arial"/>
            <family val="2"/>
          </rPr>
          <t>Source: Racing Queensland Annual Report 2024/25, 'Our Performance' chart (PDF p.13), data labels read from the rendered chart. Stacking: Thoroughbred / Harness / Greyhounds. Thoroughbred 'QLD product revenue' = direct product revenue + estimated Betting Tax receipts by code (RQ/Qld Treasury basis). Distinct from statutory Total Revenue (row 14).</t>
        </r>
      </text>
    </comment>
    <comment ref="M5" authorId="0" shapeId="0" xr:uid="{46D60E95-BC33-4D4A-A788-61B14D6C8756}">
      <text>
        <r>
          <rPr>
            <sz val="10"/>
            <rFont val="Arial"/>
            <family val="2"/>
          </rPr>
          <t>Source: Racing Queensland Annual Report 2024/25, 'Our Performance' chart (PDF p.13), data labels read from the rendered chart. Stacking: Thoroughbred / Harness / Greyhounds. Thoroughbred 'QLD product revenue' = direct product revenue + estimated Betting Tax receipts by code (RQ/Qld Treasury basis). Distinct from statutory Total Revenue (row 14).</t>
        </r>
      </text>
    </comment>
    <comment ref="N5" authorId="0" shapeId="0" xr:uid="{ABD37179-6CAA-4192-A566-B8028F1051F8}">
      <text>
        <r>
          <rPr>
            <sz val="10"/>
            <rFont val="Arial"/>
            <family val="2"/>
          </rPr>
          <t>Source: Racing Queensland Annual Report 2024/25, 'Our Performance' chart (PDF p.13), data labels read from the rendered chart. Stacking: Thoroughbred / Harness / Greyhounds. Thoroughbred 'QLD product revenue' = direct product revenue + estimated Betting Tax receipts by code (RQ/Qld Treasury basis). Distinct from statutory Total Revenue (row 14). FY25 code-report 'Key Queensland data': Thoroughbred $101.4m, Greyhound $32.6m, Harness $14.4m (sum 148.4). NOTE: RQ's FY25 chart prints a total of 158.5, but the three segments (and the key-data) sum to ~149.5 – an apparent labelling error in the chart; the SUM (row 8) uses the segments.</t>
        </r>
      </text>
    </comment>
    <comment ref="E6" authorId="0" shapeId="0" xr:uid="{7FC9DE4F-B84C-42CA-9D7B-196C441DB41B}">
      <text>
        <r>
          <rPr>
            <sz val="10"/>
            <rFont val="Arial"/>
            <family val="2"/>
          </rPr>
          <t>Source: Racing Queensland Annual Report 2024/25, 'Our Performance' chart (PDF p.13), data labels read from the rendered chart. Stacking: Thoroughbred / Harness / Greyhounds. Greyhound 'QLD product revenue' by code (RFF + estimated betting tax). Distinct from statutory Total Revenue (row 14).</t>
        </r>
      </text>
    </comment>
    <comment ref="F6" authorId="0" shapeId="0" xr:uid="{34F62B97-2092-40FC-8466-8293F815B02A}">
      <text>
        <r>
          <rPr>
            <sz val="10"/>
            <rFont val="Arial"/>
            <family val="2"/>
          </rPr>
          <t>Source: Racing Queensland Annual Report 2024/25, 'Our Performance' chart (PDF p.13), data labels read from the rendered chart. Stacking: Thoroughbred / Harness / Greyhounds. Greyhound 'QLD product revenue' by code (RFF + estimated betting tax). Distinct from statutory Total Revenue (row 14).</t>
        </r>
      </text>
    </comment>
    <comment ref="G6" authorId="0" shapeId="0" xr:uid="{40A23ED5-DF60-45D5-9771-D8B01729B22B}">
      <text>
        <r>
          <rPr>
            <sz val="10"/>
            <rFont val="Arial"/>
            <family val="2"/>
          </rPr>
          <t>Source: Racing Queensland Annual Report 2024/25, 'Our Performance' chart (PDF p.13), data labels read from the rendered chart. Stacking: Thoroughbred / Harness / Greyhounds. Greyhound 'QLD product revenue' by code (RFF + estimated betting tax). Distinct from statutory Total Revenue (row 14).</t>
        </r>
      </text>
    </comment>
    <comment ref="H6" authorId="0" shapeId="0" xr:uid="{4B890FA0-5C49-4C4A-A1D8-7714D19EFBE5}">
      <text>
        <r>
          <rPr>
            <sz val="10"/>
            <rFont val="Arial"/>
            <family val="2"/>
          </rPr>
          <t>Source: Racing Queensland Annual Report 2024/25, 'Our Performance' chart (PDF p.13), data labels read from the rendered chart. Stacking: Thoroughbred / Harness / Greyhounds. Greyhound 'QLD product revenue' by code (RFF + estimated betting tax). Distinct from statutory Total Revenue (row 14).</t>
        </r>
      </text>
    </comment>
    <comment ref="I6" authorId="0" shapeId="0" xr:uid="{78D82BC0-EF69-4FF8-ABBD-A22D3F157ED6}">
      <text>
        <r>
          <rPr>
            <sz val="10"/>
            <rFont val="Arial"/>
            <family val="2"/>
          </rPr>
          <t>Source: Racing Queensland Annual Report 2024/25, 'Our Performance' chart (PDF p.13), data labels read from the rendered chart. Stacking: Thoroughbred / Harness / Greyhounds. Greyhound 'QLD product revenue' by code (RFF + estimated betting tax). Distinct from statutory Total Revenue (row 14).</t>
        </r>
      </text>
    </comment>
    <comment ref="J6" authorId="0" shapeId="0" xr:uid="{E1661315-059B-4433-BBF0-483AFB8F8DA7}">
      <text>
        <r>
          <rPr>
            <sz val="10"/>
            <rFont val="Arial"/>
            <family val="2"/>
          </rPr>
          <t>Source: Racing Queensland Annual Report 2024/25, 'Our Performance' chart (PDF p.13), data labels read from the rendered chart. Stacking: Thoroughbred / Harness / Greyhounds. Greyhound 'QLD product revenue' by code (RFF + estimated betting tax). Distinct from statutory Total Revenue (row 14).</t>
        </r>
      </text>
    </comment>
    <comment ref="K6" authorId="0" shapeId="0" xr:uid="{5060CEBC-2596-4042-B72D-C9F06DF30CCF}">
      <text>
        <r>
          <rPr>
            <sz val="10"/>
            <rFont val="Arial"/>
            <family val="2"/>
          </rPr>
          <t>Source: Racing Queensland Annual Report 2024/25, 'Our Performance' chart (PDF p.13), data labels read from the rendered chart. Stacking: Thoroughbred / Harness / Greyhounds. Greyhound 'QLD product revenue' by code (RFF + estimated betting tax). Distinct from statutory Total Revenue (row 14).</t>
        </r>
      </text>
    </comment>
    <comment ref="L6" authorId="0" shapeId="0" xr:uid="{06B14A5C-FF57-49C5-B252-205949F266CC}">
      <text>
        <r>
          <rPr>
            <sz val="10"/>
            <rFont val="Arial"/>
            <family val="2"/>
          </rPr>
          <t>Source: Racing Queensland Annual Report 2024/25, 'Our Performance' chart (PDF p.13), data labels read from the rendered chart. Stacking: Thoroughbred / Harness / Greyhounds. Greyhound 'QLD product revenue' by code (RFF + estimated betting tax). Distinct from statutory Total Revenue (row 14).</t>
        </r>
      </text>
    </comment>
    <comment ref="M6" authorId="0" shapeId="0" xr:uid="{8ABEFE81-FDD8-4CEE-A25A-0E7E6CF06068}">
      <text>
        <r>
          <rPr>
            <sz val="10"/>
            <rFont val="Arial"/>
            <family val="2"/>
          </rPr>
          <t>Source: Racing Queensland Annual Report 2024/25, 'Our Performance' chart (PDF p.13), data labels read from the rendered chart. Stacking: Thoroughbred / Harness / Greyhounds. Greyhound 'QLD product revenue' by code (RFF + estimated betting tax). Distinct from statutory Total Revenue (row 14).</t>
        </r>
      </text>
    </comment>
    <comment ref="N6" authorId="0" shapeId="0" xr:uid="{BBF73F84-0C57-428C-A17B-6D4133663DF9}">
      <text>
        <r>
          <rPr>
            <sz val="10"/>
            <rFont val="Arial"/>
            <family val="2"/>
          </rPr>
          <t>Source: Racing Queensland Annual Report 2024/25, 'Our Performance' chart (PDF p.13), data labels read from the rendered chart. Stacking: Thoroughbred / Harness / Greyhounds. Greyhound 'QLD product revenue' by code (RFF + estimated betting tax). Distinct from statutory Total Revenue (row 14).</t>
        </r>
      </text>
    </comment>
    <comment ref="E7" authorId="0" shapeId="0" xr:uid="{9645CD0F-8F00-411A-A7A7-FA6F3FA7A6D1}">
      <text>
        <r>
          <rPr>
            <sz val="10"/>
            <rFont val="Arial"/>
            <family val="2"/>
          </rPr>
          <t>Source: Racing Queensland Annual Report 2024/25, 'Our Performance' chart (PDF p.13), data labels read from the rendered chart. Stacking: Thoroughbred / Harness / Greyhounds. Harness 'QLD product revenue' by code (RFF + estimated betting tax). Distinct from statutory Total Revenue (row 14).</t>
        </r>
      </text>
    </comment>
    <comment ref="F7" authorId="0" shapeId="0" xr:uid="{2093A7DD-B637-4B19-AE00-115550076595}">
      <text>
        <r>
          <rPr>
            <sz val="10"/>
            <rFont val="Arial"/>
            <family val="2"/>
          </rPr>
          <t>Source: Racing Queensland Annual Report 2024/25, 'Our Performance' chart (PDF p.13), data labels read from the rendered chart. Stacking: Thoroughbred / Harness / Greyhounds. Harness 'QLD product revenue' by code (RFF + estimated betting tax). Distinct from statutory Total Revenue (row 14).</t>
        </r>
      </text>
    </comment>
    <comment ref="G7" authorId="0" shapeId="0" xr:uid="{B8EFEB2C-0C59-4CDE-80F7-647258ED786D}">
      <text>
        <r>
          <rPr>
            <sz val="10"/>
            <rFont val="Arial"/>
            <family val="2"/>
          </rPr>
          <t>Source: Racing Queensland Annual Report 2024/25, 'Our Performance' chart (PDF p.13), data labels read from the rendered chart. Stacking: Thoroughbred / Harness / Greyhounds. Harness 'QLD product revenue' by code (RFF + estimated betting tax). Distinct from statutory Total Revenue (row 14).</t>
        </r>
      </text>
    </comment>
    <comment ref="H7" authorId="0" shapeId="0" xr:uid="{E0ED0562-9593-45CD-8145-ECE1E114D87D}">
      <text>
        <r>
          <rPr>
            <sz val="10"/>
            <rFont val="Arial"/>
            <family val="2"/>
          </rPr>
          <t>Source: Racing Queensland Annual Report 2024/25, 'Our Performance' chart (PDF p.13), data labels read from the rendered chart. Stacking: Thoroughbred / Harness / Greyhounds. Harness 'QLD product revenue' by code (RFF + estimated betting tax). Distinct from statutory Total Revenue (row 14).</t>
        </r>
      </text>
    </comment>
    <comment ref="I7" authorId="0" shapeId="0" xr:uid="{26C71B1B-E696-4EF2-9899-C42BB8B85C3D}">
      <text>
        <r>
          <rPr>
            <sz val="10"/>
            <rFont val="Arial"/>
            <family val="2"/>
          </rPr>
          <t>Source: Racing Queensland Annual Report 2024/25, 'Our Performance' chart (PDF p.13), data labels read from the rendered chart. Stacking: Thoroughbred / Harness / Greyhounds. Harness 'QLD product revenue' by code (RFF + estimated betting tax). Distinct from statutory Total Revenue (row 14).</t>
        </r>
      </text>
    </comment>
    <comment ref="J7" authorId="0" shapeId="0" xr:uid="{6D39E7B1-7B0D-4FD4-B174-BF642104655D}">
      <text>
        <r>
          <rPr>
            <sz val="10"/>
            <rFont val="Arial"/>
            <family val="2"/>
          </rPr>
          <t>Source: Racing Queensland Annual Report 2024/25, 'Our Performance' chart (PDF p.13), data labels read from the rendered chart. Stacking: Thoroughbred / Harness / Greyhounds. Harness 'QLD product revenue' by code (RFF + estimated betting tax). Distinct from statutory Total Revenue (row 14).</t>
        </r>
      </text>
    </comment>
    <comment ref="K7" authorId="0" shapeId="0" xr:uid="{355D6FDA-850E-4567-B50A-59100A2E0C70}">
      <text>
        <r>
          <rPr>
            <sz val="10"/>
            <rFont val="Arial"/>
            <family val="2"/>
          </rPr>
          <t>Source: Racing Queensland Annual Report 2024/25, 'Our Performance' chart (PDF p.13), data labels read from the rendered chart. Stacking: Thoroughbred / Harness / Greyhounds. Harness 'QLD product revenue' by code (RFF + estimated betting tax). Distinct from statutory Total Revenue (row 14).</t>
        </r>
      </text>
    </comment>
    <comment ref="L7" authorId="0" shapeId="0" xr:uid="{BF4D94F0-020E-4BEC-BA25-47F7681C9F9B}">
      <text>
        <r>
          <rPr>
            <sz val="10"/>
            <rFont val="Arial"/>
            <family val="2"/>
          </rPr>
          <t>Source: Racing Queensland Annual Report 2024/25, 'Our Performance' chart (PDF p.13), data labels read from the rendered chart. Stacking: Thoroughbred / Harness / Greyhounds. Harness 'QLD product revenue' by code (RFF + estimated betting tax). Distinct from statutory Total Revenue (row 14).</t>
        </r>
      </text>
    </comment>
    <comment ref="M7" authorId="0" shapeId="0" xr:uid="{5EC9A790-CB95-4856-BEBA-8E83A0FC4275}">
      <text>
        <r>
          <rPr>
            <sz val="10"/>
            <rFont val="Arial"/>
            <family val="2"/>
          </rPr>
          <t>Source: Racing Queensland Annual Report 2024/25, 'Our Performance' chart (PDF p.13), data labels read from the rendered chart. Stacking: Thoroughbred / Harness / Greyhounds. Harness 'QLD product revenue' by code (RFF + estimated betting tax). Distinct from statutory Total Revenue (row 14).</t>
        </r>
      </text>
    </comment>
    <comment ref="N7" authorId="0" shapeId="0" xr:uid="{B21BF0CB-8873-4048-BE8B-2A4103AF3DB0}">
      <text>
        <r>
          <rPr>
            <sz val="10"/>
            <rFont val="Arial"/>
            <family val="2"/>
          </rPr>
          <t>Source: Racing Queensland Annual Report 2024/25, 'Our Performance' chart (PDF p.13), data labels read from the rendered chart. Stacking: Thoroughbred / Harness / Greyhounds. Harness 'QLD product revenue' by code (RFF + estimated betting tax). Distinct from statutory Total Revenue (row 14).</t>
        </r>
      </text>
    </comment>
    <comment ref="E8" authorId="0" shapeId="0" xr:uid="{0B014F19-9DCB-4AC1-B049-EFF8B9A55121}">
      <text>
        <r>
          <rPr>
            <sz val="10"/>
            <rFont val="Arial"/>
            <family val="2"/>
          </rPr>
          <t>Formula = SUM rows 5–7 (101.8). RQ 'TOTAL QLD PRODUCT REVENUE BY CODE'. This by-code total is product revenue (RFF + estimated betting tax) and does NOT reconcile to statutory Total Revenue (row 14).</t>
        </r>
      </text>
    </comment>
    <comment ref="F8" authorId="0" shapeId="0" xr:uid="{9596C88E-458F-4954-8997-6A7841D8DD8E}">
      <text>
        <r>
          <rPr>
            <sz val="10"/>
            <rFont val="Arial"/>
            <family val="2"/>
          </rPr>
          <t>Formula = SUM rows 5–7 (113.0). RQ 'TOTAL QLD PRODUCT REVENUE BY CODE'. This by-code total is product revenue (RFF + estimated betting tax) and does NOT reconcile to statutory Total Revenue (row 14).</t>
        </r>
      </text>
    </comment>
    <comment ref="G8" authorId="0" shapeId="0" xr:uid="{DAAADE15-FF5A-4725-85A8-4BA32FBDC3DE}">
      <text>
        <r>
          <rPr>
            <sz val="10"/>
            <rFont val="Arial"/>
            <family val="2"/>
          </rPr>
          <t>Formula = SUM rows 5–7 (120.1). RQ 'TOTAL QLD PRODUCT REVENUE BY CODE'. This by-code total is product revenue (RFF + estimated betting tax) and does NOT reconcile to statutory Total Revenue (row 14).</t>
        </r>
      </text>
    </comment>
    <comment ref="H8" authorId="0" shapeId="0" xr:uid="{896A8EEE-CFBF-41B9-B016-1B18E42ED358}">
      <text>
        <r>
          <rPr>
            <sz val="10"/>
            <rFont val="Arial"/>
            <family val="2"/>
          </rPr>
          <t>Formula = SUM rows 5–7 (141.2). RQ 'TOTAL QLD PRODUCT REVENUE BY CODE'. This by-code total is product revenue (RFF + estimated betting tax) and does NOT reconcile to statutory Total Revenue (row 14).</t>
        </r>
      </text>
    </comment>
    <comment ref="I8" authorId="0" shapeId="0" xr:uid="{2AC6AE02-5630-4A29-A1F3-D783CF0D3F03}">
      <text>
        <r>
          <rPr>
            <sz val="10"/>
            <rFont val="Arial"/>
            <family val="2"/>
          </rPr>
          <t>Formula = SUM rows 5–7 (166.1). RQ 'TOTAL QLD PRODUCT REVENUE BY CODE'. This by-code total is product revenue (RFF + estimated betting tax) and does NOT reconcile to statutory Total Revenue (row 14).</t>
        </r>
      </text>
    </comment>
    <comment ref="J8" authorId="0" shapeId="0" xr:uid="{298FBBAC-6ABD-463E-991C-EDF511B0691A}">
      <text>
        <r>
          <rPr>
            <sz val="10"/>
            <rFont val="Arial"/>
            <family val="2"/>
          </rPr>
          <t>Formula = SUM rows 5–7 (202.0). RQ 'TOTAL QLD PRODUCT REVENUE BY CODE'. This by-code total is product revenue (RFF + estimated betting tax) and does NOT reconcile to statutory Total Revenue (row 14).</t>
        </r>
      </text>
    </comment>
    <comment ref="K8" authorId="0" shapeId="0" xr:uid="{02E1B119-6ED2-4D30-89E7-0A40ACE66679}">
      <text>
        <r>
          <rPr>
            <sz val="10"/>
            <rFont val="Arial"/>
            <family val="2"/>
          </rPr>
          <t>Formula = SUM rows 5–7 (209.1). RQ 'TOTAL QLD PRODUCT REVENUE BY CODE'. This by-code total is product revenue (RFF + estimated betting tax) and does NOT reconcile to statutory Total Revenue (row 14).</t>
        </r>
      </text>
    </comment>
    <comment ref="L8" authorId="0" shapeId="0" xr:uid="{2325CAE1-D677-492C-B1FC-895513ECFF55}">
      <text>
        <r>
          <rPr>
            <sz val="10"/>
            <rFont val="Arial"/>
            <family val="2"/>
          </rPr>
          <t>Formula = SUM rows 5–7 (212.3). RQ 'TOTAL QLD PRODUCT REVENUE BY CODE'. This by-code total is product revenue (RFF + estimated betting tax) and does NOT reconcile to statutory Total Revenue (row 14).</t>
        </r>
      </text>
    </comment>
    <comment ref="M8" authorId="0" shapeId="0" xr:uid="{619C5B71-CE2B-46F5-BE3D-35AFEF28B810}">
      <text>
        <r>
          <rPr>
            <sz val="10"/>
            <rFont val="Arial"/>
            <family val="2"/>
          </rPr>
          <t>Formula = SUM rows 5–7 (171.9). RQ 'TOTAL QLD PRODUCT REVENUE BY CODE'. This by-code total is product revenue (RFF + estimated betting tax) and does NOT reconcile to statutory Total Revenue (row 14).</t>
        </r>
      </text>
    </comment>
    <comment ref="N8" authorId="0" shapeId="0" xr:uid="{9493E192-BC8B-4ABC-ABAF-A4F8BEE1E91F}">
      <text>
        <r>
          <rPr>
            <sz val="10"/>
            <rFont val="Arial"/>
            <family val="2"/>
          </rPr>
          <t>Formula = SUM rows 5–7 (149.5). RQ 'TOTAL QLD PRODUCT REVENUE BY CODE'. This by-code total is product revenue (RFF + estimated betting tax) and does NOT reconcile to statutory Total Revenue (row 14). RQ's chart prints 158.5 for FY25 but its segments sum to 149.5 (labelling error); SUM shown.</t>
        </r>
      </text>
    </comment>
    <comment ref="H10" authorId="0" shapeId="0" xr:uid="{E4296BFC-6DB3-444A-A0AD-18C93E5FF9A7}">
      <text>
        <r>
          <rPr>
            <sz val="10"/>
            <rFont val="Arial"/>
            <family val="2"/>
          </rPr>
          <t>RQ AR2020 Note 2 (Wagering Revenue), Race Field Fees Revenue (gross): 81,712 $'000. FY19–FY23 wagering revenue also included legacy QTAB Product Fee / Fixed Fee / MPO Top-Up and deductions – these net into row 13 Other. Pre-FY19 (product-fee model) not shown.</t>
        </r>
      </text>
    </comment>
    <comment ref="I10" authorId="0" shapeId="0" xr:uid="{54B5BC26-8B8F-4BD5-9724-4268BBD98B98}">
      <text>
        <r>
          <rPr>
            <sz val="10"/>
            <rFont val="Arial"/>
            <family val="2"/>
          </rPr>
          <t>RQ AR2021 Note 2 (Wagering Revenue), Race Field Fees Revenue (gross): 108,610 $'000. FY19–FY23 wagering revenue also included legacy QTAB Product Fee / Fixed Fee / MPO Top-Up and deductions – these net into row 13 Other. Pre-FY19 (product-fee model) not shown.</t>
        </r>
      </text>
    </comment>
    <comment ref="J10" authorId="0" shapeId="0" xr:uid="{27A6E6F4-204F-424F-A336-32CBB32DF14F}">
      <text>
        <r>
          <rPr>
            <sz val="10"/>
            <rFont val="Arial"/>
            <family val="2"/>
          </rPr>
          <t>RQ AR2022 Note 2 (Wagering Revenue), Race Field Fees Revenue (gross): 149,559 $'000. FY19–FY23 wagering revenue also included legacy QTAB Product Fee / Fixed Fee / MPO Top-Up and deductions – these net into row 13 Other. Pre-FY19 (product-fee model) not shown.</t>
        </r>
      </text>
    </comment>
    <comment ref="K10" authorId="0" shapeId="0" xr:uid="{F19F945A-5203-4A52-BE2A-1548F930C042}">
      <text>
        <r>
          <rPr>
            <sz val="10"/>
            <rFont val="Arial"/>
            <family val="2"/>
          </rPr>
          <t>RQ AR2023 Note 2 (Wagering Revenue), Race Field Fees Revenue (gross): 185,900 $'000. FY19–FY23 wagering revenue also included legacy QTAB Product Fee / Fixed Fee / MPO Top-Up and deductions – these net into row 13 Other. Pre-FY19 (product-fee model) not shown.</t>
        </r>
      </text>
    </comment>
    <comment ref="L10" authorId="0" shapeId="0" xr:uid="{D6BCB697-464D-4B66-BBCF-CCD56B9684C2}">
      <text>
        <r>
          <rPr>
            <sz val="10"/>
            <rFont val="Arial"/>
            <family val="2"/>
          </rPr>
          <t>RQ AR2024 Note 2 (Wagering Revenue), Race Field Fees Revenue (gross): 192,465 $'000. FY19–FY23 wagering revenue also included legacy QTAB Product Fee / Fixed Fee / MPO Top-Up and deductions – these net into row 13 Other. Pre-FY19 (product-fee model) not shown.</t>
        </r>
      </text>
    </comment>
    <comment ref="M10" authorId="0" shapeId="0" xr:uid="{E4DA2BAE-80F4-4C4B-9DF8-78F5FE94B654}">
      <text>
        <r>
          <rPr>
            <sz val="10"/>
            <rFont val="Arial"/>
            <family val="2"/>
          </rPr>
          <t>RQ AR2025 Note 2 (Wagering Revenue), Race Field Fees Revenue (gross): 140,593 $'000. From FY24 the wagering-revenue note collapsed to Race Field Fees less Queensland Product Rebate.</t>
        </r>
      </text>
    </comment>
    <comment ref="N10" authorId="0" shapeId="0" xr:uid="{518F62FB-4521-4C72-8BB3-B5953B7C897A}">
      <text>
        <r>
          <rPr>
            <sz val="10"/>
            <rFont val="Arial"/>
            <family val="2"/>
          </rPr>
          <t>RQ AR2025 Note 2 (Wagering Revenue), Race Field Fees Revenue (gross): 127,588 $'000. From FY24 the wagering-revenue note collapsed to Race Field Fees less Queensland Product Rebate.</t>
        </r>
      </text>
    </comment>
    <comment ref="I11" authorId="0" shapeId="0" xr:uid="{040CEE2C-3D45-4CA7-9C39-58B2EF8C31CE}">
      <text>
        <r>
          <rPr>
            <sz val="10"/>
            <rFont val="Arial"/>
            <family val="2"/>
          </rPr>
          <t>RQ AR2021 Note 2, Queensland Product Rebate (5,163) $'000 (a rebate paid to Qld-licensed operators; negative, netted in wagering revenue). Separately disclosed from FY20; FY19 nil; not applicable pre-FY19.</t>
        </r>
      </text>
    </comment>
    <comment ref="J11" authorId="0" shapeId="0" xr:uid="{E39AA06B-7EBC-43C4-9C85-64351D4EED81}">
      <text>
        <r>
          <rPr>
            <sz val="10"/>
            <rFont val="Arial"/>
            <family val="2"/>
          </rPr>
          <t>RQ AR2022 Note 2, Queensland Product Rebate (9,405) $'000 (a rebate paid to Qld-licensed operators; negative, netted in wagering revenue). Separately disclosed from FY20; FY19 nil; not applicable pre-FY19.</t>
        </r>
      </text>
    </comment>
    <comment ref="K11" authorId="0" shapeId="0" xr:uid="{4F07B15F-7E56-4538-BFA7-F7BDE7C1EA37}">
      <text>
        <r>
          <rPr>
            <sz val="10"/>
            <rFont val="Arial"/>
            <family val="2"/>
          </rPr>
          <t>RQ AR2023 Note 2, Queensland Product Rebate (26,573) $'000 (a rebate paid to Qld-licensed operators; negative, netted in wagering revenue). Separately disclosed from FY20; FY19 nil; not applicable pre-FY19.</t>
        </r>
      </text>
    </comment>
    <comment ref="L11" authorId="0" shapeId="0" xr:uid="{A62526FB-DB36-4664-995A-C9DD8E61DEAC}">
      <text>
        <r>
          <rPr>
            <sz val="10"/>
            <rFont val="Arial"/>
            <family val="2"/>
          </rPr>
          <t>RQ AR2024 Note 2, Queensland Product Rebate (30,330) $'000 (a rebate paid to Qld-licensed operators; negative, netted in wagering revenue). Separately disclosed from FY20; FY19 nil; not applicable pre-FY19.</t>
        </r>
      </text>
    </comment>
    <comment ref="M11" authorId="0" shapeId="0" xr:uid="{1F835F78-A259-4D8E-9B3E-188360092ECD}">
      <text>
        <r>
          <rPr>
            <sz val="10"/>
            <rFont val="Arial"/>
            <family val="2"/>
          </rPr>
          <t>RQ AR2025 Note 2, Queensland Product Rebate (8,212) $'000 (a rebate paid to Qld-licensed operators; negative, netted in wagering revenue). Separately disclosed from FY20; FY19 nil; not applicable pre-FY19.</t>
        </r>
      </text>
    </comment>
    <comment ref="N11" authorId="0" shapeId="0" xr:uid="{19192C5A-B80E-430E-8DE7-E886B0865B28}">
      <text>
        <r>
          <rPr>
            <sz val="10"/>
            <rFont val="Arial"/>
            <family val="2"/>
          </rPr>
          <t>RQ AR2025 Note 2, Queensland Product Rebate (9,150) $'000 (a rebate paid to Qld-licensed operators; negative, netted in wagering revenue). Separately disclosed from FY20; FY19 nil; not applicable pre-FY19.</t>
        </r>
      </text>
    </comment>
    <comment ref="K12" authorId="0" shapeId="0" xr:uid="{49124C48-2CCE-41B2-B0D6-F7AFB757A42E}">
      <text>
        <r>
          <rPr>
            <sz val="10"/>
            <rFont val="Arial"/>
            <family val="2"/>
          </rPr>
          <t>RQ AR2023 Note 3 (Grants and Contributions), Betting Tax Contributions 54,250 $'000. Qld POC betting tax commenced 1 Oct 2018; the racing-industry 'Betting Tax Contributions' share is separately disclosed only from FY22 (Part 6A Betting Tax Act amendment, 2022-23). Pre-FY22, Qld POC-tax support to racing was delivered via 'POC Tax Compensation' + Industry Viability / Country Racing programs (now in row 13 Other).</t>
        </r>
      </text>
    </comment>
    <comment ref="L12" authorId="0" shapeId="0" xr:uid="{248ACD13-FB15-4C0E-B3A4-05B314CEB8A1}">
      <text>
        <r>
          <rPr>
            <sz val="10"/>
            <rFont val="Arial"/>
            <family val="2"/>
          </rPr>
          <t>RQ AR2024 Note 3 (Grants and Contributions), Betting Tax Contributions 118,071 $'000. Qld POC betting tax commenced 1 Oct 2018; the racing-industry 'Betting Tax Contributions' share is separately disclosed only from FY22 (Part 6A Betting Tax Act amendment, 2022-23). Pre-FY22, Qld POC-tax support to racing was delivered via 'POC Tax Compensation' + Industry Viability / Country Racing programs (now in row 13 Other). AR2025 note 1(f) further restates FY23 Grants/Betting Tax (recognition timing) – FY23 as shown is the AR2024 basis (118,071).</t>
        </r>
      </text>
    </comment>
    <comment ref="M12" authorId="0" shapeId="0" xr:uid="{13F3B411-06A0-4937-A78B-49F8F4CB2BF6}">
      <text>
        <r>
          <rPr>
            <sz val="10"/>
            <rFont val="Arial"/>
            <family val="2"/>
          </rPr>
          <t>RQ AR2025 Note 3 (Grants and Contributions), Betting Tax Contributions 235,826 $'000. Qld POC betting tax commenced 1 Oct 2018; the racing-industry 'Betting Tax Contributions' share is separately disclosed only from FY22 (Part 6A Betting Tax Act amendment, 2022-23). Pre-FY22, Qld POC-tax support to racing was delivered via 'POC Tax Compensation' + Industry Viability / Country Racing programs (now in row 13 Other). FY24 RESTATED down to 235,826 (from 250,822 as first reported in AR2024) per AR2025 note 1(f) betting-tax recognition restatement.</t>
        </r>
      </text>
    </comment>
    <comment ref="N12" authorId="0" shapeId="0" xr:uid="{28C2486A-BCE6-41A2-A9F2-3BC2A6540E41}">
      <text>
        <r>
          <rPr>
            <sz val="10"/>
            <rFont val="Arial"/>
            <family val="2"/>
          </rPr>
          <t>RQ AR2025 Note 3 (Grants and Contributions), Betting Tax Contributions 243,725 $'000. Qld POC betting tax commenced 1 Oct 2018; the racing-industry 'Betting Tax Contributions' share is separately disclosed only from FY22 (Part 6A Betting Tax Act amendment, 2022-23). Pre-FY22, Qld POC-tax support to racing was delivered via 'POC Tax Compensation' + Industry Viability / Country Racing programs (now in row 13 Other).</t>
        </r>
      </text>
    </comment>
    <comment ref="E13" authorId="0" shapeId="0" xr:uid="{488A5A44-334A-4BA4-9F05-0B357973CE1A}">
      <text>
        <r>
          <rPr>
            <sz val="10"/>
            <rFont val="Arial"/>
            <family val="2"/>
          </rPr>
          <t>Formula = Total Revenue (row 14) − Race Field Fees (row 10) − Product Rebate (row 11) − Betting Tax (row 12). Residual: Racing Fees, Sponsored Prize Money, Media Rights, Other Income, and non-betting-tax Grants &amp; Contributions. FY16–FY23 Other also absorbs legacy QTAB Product Fee revenue, POC Tax Compensation and government programs (Industry Viability / Country Racing), so it is large and not comparable to FY24–FY25 Other.</t>
        </r>
      </text>
    </comment>
    <comment ref="F13" authorId="0" shapeId="0" xr:uid="{1B593225-3268-4BE9-8417-584341A4656F}">
      <text>
        <r>
          <rPr>
            <sz val="10"/>
            <rFont val="Arial"/>
            <family val="2"/>
          </rPr>
          <t>Formula = Total Revenue (row 14) − Race Field Fees (row 10) − Product Rebate (row 11) − Betting Tax (row 12). Residual: Racing Fees, Sponsored Prize Money, Media Rights, Other Income, and non-betting-tax Grants &amp; Contributions. FY16–FY23 Other also absorbs legacy QTAB Product Fee revenue, POC Tax Compensation and government programs (Industry Viability / Country Racing), so it is large and not comparable to FY24–FY25 Other.</t>
        </r>
      </text>
    </comment>
    <comment ref="G13" authorId="0" shapeId="0" xr:uid="{35FE854C-EDB8-4776-AC1F-EC35EA6D3BAA}">
      <text>
        <r>
          <rPr>
            <sz val="10"/>
            <rFont val="Arial"/>
            <family val="2"/>
          </rPr>
          <t>Formula = Total Revenue (row 14) − Race Field Fees (row 10) − Product Rebate (row 11) − Betting Tax (row 12). Residual: Racing Fees, Sponsored Prize Money, Media Rights, Other Income, and non-betting-tax Grants &amp; Contributions. FY16–FY23 Other also absorbs legacy QTAB Product Fee revenue, POC Tax Compensation and government programs (Industry Viability / Country Racing), so it is large and not comparable to FY24–FY25 Other.</t>
        </r>
      </text>
    </comment>
    <comment ref="H13" authorId="0" shapeId="0" xr:uid="{F29B50D2-B659-473D-8A72-E3B80E044EDE}">
      <text>
        <r>
          <rPr>
            <sz val="10"/>
            <rFont val="Arial"/>
            <family val="2"/>
          </rPr>
          <t>Formula = Total Revenue (row 14) − Race Field Fees (row 10) − Product Rebate (row 11) − Betting Tax (row 12). Residual: Racing Fees, Sponsored Prize Money, Media Rights, Other Income, and non-betting-tax Grants &amp; Contributions. FY16–FY23 Other also absorbs legacy QTAB Product Fee revenue, POC Tax Compensation and government programs (Industry Viability / Country Racing), so it is large and not comparable to FY24–FY25 Other.</t>
        </r>
      </text>
    </comment>
    <comment ref="I13" authorId="0" shapeId="0" xr:uid="{32045CFB-78E0-4664-A502-419C01C74AEB}">
      <text>
        <r>
          <rPr>
            <sz val="10"/>
            <rFont val="Arial"/>
            <family val="2"/>
          </rPr>
          <t>Formula = Total Revenue (row 14) − Race Field Fees (row 10) − Product Rebate (row 11) − Betting Tax (row 12). Residual: Racing Fees, Sponsored Prize Money, Media Rights, Other Income, and non-betting-tax Grants &amp; Contributions. FY16–FY23 Other also absorbs legacy QTAB Product Fee revenue, POC Tax Compensation and government programs (Industry Viability / Country Racing), so it is large and not comparable to FY24–FY25 Other.</t>
        </r>
      </text>
    </comment>
    <comment ref="J13" authorId="0" shapeId="0" xr:uid="{6A933BF8-3342-4461-B757-8AA4DAAD94B4}">
      <text>
        <r>
          <rPr>
            <sz val="10"/>
            <rFont val="Arial"/>
            <family val="2"/>
          </rPr>
          <t>Formula = Total Revenue (row 14) − Race Field Fees (row 10) − Product Rebate (row 11) − Betting Tax (row 12). Residual: Racing Fees, Sponsored Prize Money, Media Rights, Other Income, and non-betting-tax Grants &amp; Contributions. FY16–FY23 Other also absorbs legacy QTAB Product Fee revenue, POC Tax Compensation and government programs (Industry Viability / Country Racing), so it is large and not comparable to FY24–FY25 Other.</t>
        </r>
      </text>
    </comment>
    <comment ref="K13" authorId="0" shapeId="0" xr:uid="{28DEFEC2-6B20-4D5E-AB12-D1FA2842CDE6}">
      <text>
        <r>
          <rPr>
            <sz val="10"/>
            <rFont val="Arial"/>
            <family val="2"/>
          </rPr>
          <t>Formula = Total Revenue (row 14) − Race Field Fees (row 10) − Product Rebate (row 11) − Betting Tax (row 12). Residual: Racing Fees, Sponsored Prize Money, Media Rights, Other Income, and non-betting-tax Grants &amp; Contributions. FY16–FY23 Other also absorbs legacy QTAB Product Fee revenue, POC Tax Compensation and government programs (Industry Viability / Country Racing), so it is large and not comparable to FY24–FY25 Other.</t>
        </r>
      </text>
    </comment>
    <comment ref="L13" authorId="0" shapeId="0" xr:uid="{92CB6480-F011-46FE-B6B7-408BBC115EA9}">
      <text>
        <r>
          <rPr>
            <sz val="10"/>
            <rFont val="Arial"/>
            <family val="2"/>
          </rPr>
          <t>Formula = Total Revenue (row 14) − Race Field Fees (row 10) − Product Rebate (row 11) − Betting Tax (row 12). Residual: Racing Fees, Sponsored Prize Money, Media Rights, Other Income, and non-betting-tax Grants &amp; Contributions. FY16–FY23 Other also absorbs legacy QTAB Product Fee revenue, POC Tax Compensation and government programs (Industry Viability / Country Racing), so it is large and not comparable to FY24–FY25 Other.</t>
        </r>
      </text>
    </comment>
    <comment ref="M13" authorId="0" shapeId="0" xr:uid="{9CA39EAC-1FED-4573-8673-CF3BAF62B4D7}">
      <text>
        <r>
          <rPr>
            <sz val="10"/>
            <rFont val="Arial"/>
            <family val="2"/>
          </rPr>
          <t>Formula = Total Revenue (row 14) − Race Field Fees (row 10) − Product Rebate (row 11) − Betting Tax (row 12). Residual: Racing Fees, Sponsored Prize Money, Media Rights, Other Income, and non-betting-tax Grants &amp; Contributions.</t>
        </r>
      </text>
    </comment>
    <comment ref="N13" authorId="0" shapeId="0" xr:uid="{D285814A-1957-4852-95D3-9846EF932A50}">
      <text>
        <r>
          <rPr>
            <sz val="10"/>
            <rFont val="Arial"/>
            <family val="2"/>
          </rPr>
          <t>Formula = Total Revenue (row 14) − Race Field Fees (row 10) − Product Rebate (row 11) − Betting Tax (row 12). Residual: Racing Fees, Sponsored Prize Money, Media Rights, Other Income, and non-betting-tax Grants &amp; Contributions.</t>
        </r>
      </text>
    </comment>
    <comment ref="E14" authorId="0" shapeId="0" xr:uid="{468EFB5C-8837-4D81-8BE4-C1DF77079E0C}">
      <text>
        <r>
          <rPr>
            <sz val="10"/>
            <rFont val="Arial"/>
            <family val="2"/>
          </rPr>
          <t>RQ AR2016 Statement of comprehensive income, Total Revenue 229,229 $'000. As reported (pre-FY19 product-fee model; betting tax nil).</t>
        </r>
      </text>
    </comment>
    <comment ref="F14" authorId="0" shapeId="0" xr:uid="{DB5650E3-48F2-4AA7-A715-9D44F75B65FC}">
      <text>
        <r>
          <rPr>
            <sz val="10"/>
            <rFont val="Arial"/>
            <family val="2"/>
          </rPr>
          <t>RQ AR2017 Statement of comprehensive income, Total Revenue 238,317 $'000. As reported (pre-FY19 product-fee model; betting tax nil).</t>
        </r>
      </text>
    </comment>
    <comment ref="G14" authorId="0" shapeId="0" xr:uid="{031D70AC-56E4-49EB-BC61-368785CB12E7}">
      <text>
        <r>
          <rPr>
            <sz val="10"/>
            <rFont val="Arial"/>
            <family val="2"/>
          </rPr>
          <t>RQ AR2018 Statement of comprehensive income, Total Revenue 253,318 $'000. As reported in AR2018. FLAG: AR2019 re-presents FY18 Total Revenue as 216,987 (presentation change); pre-FY19 used a product-fee (UBET/Tatts) wagering model.</t>
        </r>
      </text>
    </comment>
    <comment ref="H14" authorId="0" shapeId="0" xr:uid="{ACE27798-F9E4-435D-97FB-4E3827CF78B7}">
      <text>
        <r>
          <rPr>
            <sz val="10"/>
            <rFont val="Arial"/>
            <family val="2"/>
          </rPr>
          <t>RQ AR2020 Statement of comprehensive income, Total Revenue 284,034 $'000.</t>
        </r>
      </text>
    </comment>
    <comment ref="I14" authorId="0" shapeId="0" xr:uid="{146F2CDF-85D0-491E-9072-C5FA4D20B675}">
      <text>
        <r>
          <rPr>
            <sz val="10"/>
            <rFont val="Arial"/>
            <family val="2"/>
          </rPr>
          <t>RQ AR2021 Statement of comprehensive income, Total Revenue 289,851 $'000.</t>
        </r>
      </text>
    </comment>
    <comment ref="J14" authorId="0" shapeId="0" xr:uid="{B24B3B00-ECE2-415E-8DB5-BB0E26C4C479}">
      <text>
        <r>
          <rPr>
            <sz val="10"/>
            <rFont val="Arial"/>
            <family val="2"/>
          </rPr>
          <t>RQ AR2022 Statement of comprehensive income, Total Revenue 338,098 $'000.</t>
        </r>
      </text>
    </comment>
    <comment ref="K14" authorId="0" shapeId="0" xr:uid="{C183A232-7E56-4911-A023-E52E9937C42E}">
      <text>
        <r>
          <rPr>
            <sz val="10"/>
            <rFont val="Arial"/>
            <family val="2"/>
          </rPr>
          <t>RQ AR2023 Statement of comprehensive income, Total Revenue 359,367 $'000.</t>
        </r>
      </text>
    </comment>
    <comment ref="L14" authorId="0" shapeId="0" xr:uid="{131D3705-956E-46D1-9B74-C2579CA7432C}">
      <text>
        <r>
          <rPr>
            <sz val="10"/>
            <rFont val="Arial"/>
            <family val="2"/>
          </rPr>
          <t>RQ AR2024 Statement of comprehensive income, Total Revenue 488,292 $'000. AR2024 face presentation. FLAG: AR2025 note 1(f) restates FY23 Total Revenue up by ~38,022 to ~526,158 (betting-tax recognition) – figure is presentation-sensitive.</t>
        </r>
      </text>
    </comment>
    <comment ref="M14" authorId="0" shapeId="0" xr:uid="{C6AAC2EC-9D17-4015-8CB4-F24A74416F96}">
      <text>
        <r>
          <rPr>
            <sz val="10"/>
            <rFont val="Arial"/>
            <family val="2"/>
          </rPr>
          <t>RQ AR2025 Statement of comprehensive income, Total Revenue 463,915 $'000. Restated (AR2025) – down from 479,028 (AR2024) per note 1(f) betting-tax restatement.</t>
        </r>
      </text>
    </comment>
    <comment ref="N14" authorId="0" shapeId="0" xr:uid="{18835383-4788-4D51-A5A9-1DBD1A1D6C51}">
      <text>
        <r>
          <rPr>
            <sz val="10"/>
            <rFont val="Arial"/>
            <family val="2"/>
          </rPr>
          <t>RQ AR2025 Statement of comprehensive income, Total Revenue 460,444 $'000. (FY25 report.)</t>
        </r>
      </text>
    </comment>
    <comment ref="E17" authorId="0" shapeId="0" xr:uid="{88B6442C-53AF-43C5-958B-0D5F23630F18}">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Thoroughbred wagering turnover on Qld product.</t>
        </r>
      </text>
    </comment>
    <comment ref="F17" authorId="0" shapeId="0" xr:uid="{E170207D-396B-48F0-8BC2-B0484E48F46E}">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Thoroughbred wagering turnover on Qld product.</t>
        </r>
      </text>
    </comment>
    <comment ref="G17" authorId="0" shapeId="0" xr:uid="{7DE110D9-1961-49C8-959B-618A8F19FEEC}">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Thoroughbred wagering turnover on Qld product.</t>
        </r>
      </text>
    </comment>
    <comment ref="H17" authorId="0" shapeId="0" xr:uid="{368A5CD5-8A8B-42EC-8C08-5AE3AF2DC646}">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Thoroughbred wagering turnover on Qld product.</t>
        </r>
      </text>
    </comment>
    <comment ref="I17" authorId="0" shapeId="0" xr:uid="{A6229910-4E5D-4B58-BCB6-9777487D7A37}">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Thoroughbred wagering turnover on Qld product.</t>
        </r>
      </text>
    </comment>
    <comment ref="J17" authorId="0" shapeId="0" xr:uid="{7BBF7705-2532-415F-B2FD-6E23D4B93CEC}">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Thoroughbred wagering turnover on Qld product.</t>
        </r>
      </text>
    </comment>
    <comment ref="K17" authorId="0" shapeId="0" xr:uid="{C439E07C-1FBC-4CD6-94D3-C17299CB3732}">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Thoroughbred wagering turnover on Qld product.</t>
        </r>
      </text>
    </comment>
    <comment ref="L17" authorId="0" shapeId="0" xr:uid="{66D52F2E-8E89-48A3-8D09-2CB68A4A002C}">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Thoroughbred wagering turnover on Qld product.</t>
        </r>
      </text>
    </comment>
    <comment ref="M17" authorId="0" shapeId="0" xr:uid="{EF11CD70-B02B-4B8C-B9D9-11877FA99D0F}">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Thoroughbred wagering turnover on Qld product.</t>
        </r>
      </text>
    </comment>
    <comment ref="N17" authorId="0" shapeId="0" xr:uid="{A9222872-BD13-413F-A455-D3BABCF28324}">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Thoroughbred wagering turnover on Qld product. FY25 code-report figures: Thoroughbred $3.6bn (YoY -10.6%), Greyhound $1.4bn (-4.5%), Harness $572m (-12.1%); total turnover -9.3% to $5.6bn; Qld market share 16.6% (FY24 17.4%).</t>
        </r>
      </text>
    </comment>
    <comment ref="E18" authorId="0" shapeId="0" xr:uid="{425FC1D3-31DC-4417-B45B-1B94E57E02BB}">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Greyhound wagering turnover on Qld product.</t>
        </r>
      </text>
    </comment>
    <comment ref="F18" authorId="0" shapeId="0" xr:uid="{47F1A44B-7EA3-463A-BF2A-C64E497442A8}">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Greyhound wagering turnover on Qld product.</t>
        </r>
      </text>
    </comment>
    <comment ref="G18" authorId="0" shapeId="0" xr:uid="{CA0E104F-C8ED-4E84-89BB-93150ECB8E17}">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Greyhound wagering turnover on Qld product.</t>
        </r>
      </text>
    </comment>
    <comment ref="H18" authorId="0" shapeId="0" xr:uid="{CD449578-2400-433D-BC24-D7EEBF69E973}">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Greyhound wagering turnover on Qld product.</t>
        </r>
      </text>
    </comment>
    <comment ref="I18" authorId="0" shapeId="0" xr:uid="{FD6FE78E-2B7A-4D7E-BA2C-9257BCC71F5D}">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Greyhound wagering turnover on Qld product.</t>
        </r>
      </text>
    </comment>
    <comment ref="J18" authorId="0" shapeId="0" xr:uid="{FA52D485-B05A-4389-92C9-6E79A7B5A431}">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Greyhound wagering turnover on Qld product.</t>
        </r>
      </text>
    </comment>
    <comment ref="K18" authorId="0" shapeId="0" xr:uid="{DF8870B0-C318-4411-A7E1-D98CF8EF866D}">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Greyhound wagering turnover on Qld product.</t>
        </r>
      </text>
    </comment>
    <comment ref="L18" authorId="0" shapeId="0" xr:uid="{E94A6C1C-788B-4FF4-8C45-1135A6E7EB06}">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Greyhound wagering turnover on Qld product.</t>
        </r>
      </text>
    </comment>
    <comment ref="M18" authorId="0" shapeId="0" xr:uid="{46D8D058-380A-4388-94BE-8059E2135BB9}">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Greyhound wagering turnover on Qld product.</t>
        </r>
      </text>
    </comment>
    <comment ref="N18" authorId="0" shapeId="0" xr:uid="{0317F988-C1AD-42DB-A511-687907C6C79B}">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Greyhound wagering turnover on Qld product.</t>
        </r>
      </text>
    </comment>
    <comment ref="E19" authorId="0" shapeId="0" xr:uid="{458D0571-913B-431B-B23A-B1DE28E2D761}">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Harness wagering turnover on Qld product. FY25 more precisely A$572m per code report (chart rounds to 0.6).</t>
        </r>
      </text>
    </comment>
    <comment ref="F19" authorId="0" shapeId="0" xr:uid="{947F8EDE-D0E1-4C22-87C6-BCF1F84EB232}">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Harness wagering turnover on Qld product. FY25 more precisely A$572m per code report (chart rounds to 0.6).</t>
        </r>
      </text>
    </comment>
    <comment ref="G19" authorId="0" shapeId="0" xr:uid="{B26E6C4E-7A77-46B3-AB1D-DDAE0FC37EB7}">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Harness wagering turnover on Qld product. FY25 more precisely A$572m per code report (chart rounds to 0.6).</t>
        </r>
      </text>
    </comment>
    <comment ref="H19" authorId="0" shapeId="0" xr:uid="{971E0AF6-F409-4116-8D19-75A0E6C54A7C}">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Harness wagering turnover on Qld product. FY25 more precisely A$572m per code report (chart rounds to 0.6).</t>
        </r>
      </text>
    </comment>
    <comment ref="I19" authorId="0" shapeId="0" xr:uid="{A6EB875E-CA42-41F4-86E7-B2B069F31CBD}">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Harness wagering turnover on Qld product. FY25 more precisely A$572m per code report (chart rounds to 0.6).</t>
        </r>
      </text>
    </comment>
    <comment ref="J19" authorId="0" shapeId="0" xr:uid="{6846A4F5-00F8-49E3-A089-75CB965E73F6}">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Harness wagering turnover on Qld product. FY25 more precisely A$572m per code report (chart rounds to 0.6).</t>
        </r>
      </text>
    </comment>
    <comment ref="K19" authorId="0" shapeId="0" xr:uid="{D847D950-1F75-4762-B26D-07324CB08B76}">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Harness wagering turnover on Qld product. FY25 more precisely A$572m per code report (chart rounds to 0.6).</t>
        </r>
      </text>
    </comment>
    <comment ref="L19" authorId="0" shapeId="0" xr:uid="{74CA3EFF-A7BC-46BC-B21D-C02B91C774DE}">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Harness wagering turnover on Qld product. FY25 more precisely A$572m per code report (chart rounds to 0.6).</t>
        </r>
      </text>
    </comment>
    <comment ref="M19" authorId="0" shapeId="0" xr:uid="{A0868360-78B1-49B5-B5EC-1FA2EA9CA167}">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Harness wagering turnover on Qld product. FY25 more precisely A$572m per code report (chart rounds to 0.6).</t>
        </r>
      </text>
    </comment>
    <comment ref="N19" authorId="0" shapeId="0" xr:uid="{871D7974-71F9-4FF2-9565-E3F794107B7F}">
      <text>
        <r>
          <rPr>
            <sz val="10"/>
            <rFont val="Arial"/>
            <family val="2"/>
          </rPr>
          <t>Source: Racing Queensland Annual Report 2024/25, 'Our Performance' chart (PDF p.13), data labels read from the rendered chart. Stacking: Thoroughbred / Harness / Greyhounds. Chart is in A$ billion, scaled x1000 to A$m; ~A$0.1bn (A$100m) granularity – lower confidence. Harness wagering turnover on Qld product. FY25 more precisely A$572m per code report (chart rounds to 0.6).</t>
        </r>
      </text>
    </comment>
    <comment ref="E20" authorId="0" shapeId="0" xr:uid="{0A548F89-A067-4EC8-ADA7-FCB962326899}">
      <text>
        <r>
          <rPr>
            <sz val="10"/>
            <rFont val="Arial"/>
            <family val="2"/>
          </rPr>
          <t>Formula = SUM rows 17–19 (3,600 A$m). RQ total wagering turnover on Qld product (chart printed total A$3.5bn). Note: segment sum (3,600) differs from RQ's printed chart total (3,500) by A$0.1bn – the chart's segments are each rounded to A$0.1bn.</t>
        </r>
      </text>
    </comment>
    <comment ref="F20" authorId="0" shapeId="0" xr:uid="{647AE8E1-E8AD-46AC-838B-39A4413DFBAD}">
      <text>
        <r>
          <rPr>
            <sz val="10"/>
            <rFont val="Arial"/>
            <family val="2"/>
          </rPr>
          <t>Formula = SUM rows 17–19 (3,900 A$m). RQ total wagering turnover on Qld product (chart printed total A$3.9bn).</t>
        </r>
      </text>
    </comment>
    <comment ref="G20" authorId="0" shapeId="0" xr:uid="{1C341F78-2439-4B23-A3EF-408262BC5030}">
      <text>
        <r>
          <rPr>
            <sz val="10"/>
            <rFont val="Arial"/>
            <family val="2"/>
          </rPr>
          <t>Formula = SUM rows 17–19 (4,100 A$m). RQ total wagering turnover on Qld product (chart printed total A$4.1bn).</t>
        </r>
      </text>
    </comment>
    <comment ref="H20" authorId="0" shapeId="0" xr:uid="{4E33A25B-55AB-45AA-AE9F-2F85AF2AD628}">
      <text>
        <r>
          <rPr>
            <sz val="10"/>
            <rFont val="Arial"/>
            <family val="2"/>
          </rPr>
          <t>Formula = SUM rows 17–19 (4,400 A$m). RQ total wagering turnover on Qld product (chart printed total A$4.3bn). Note: segment sum (4,400) differs from RQ's printed chart total (4,300) by A$0.1bn – the chart's segments are each rounded to A$0.1bn.</t>
        </r>
      </text>
    </comment>
    <comment ref="I20" authorId="0" shapeId="0" xr:uid="{264B9BCC-9839-4647-9C96-508A4C89CE0F}">
      <text>
        <r>
          <rPr>
            <sz val="10"/>
            <rFont val="Arial"/>
            <family val="2"/>
          </rPr>
          <t>Formula = SUM rows 17–19 (4,800 A$m). RQ total wagering turnover on Qld product (chart printed total A$4.8bn).</t>
        </r>
      </text>
    </comment>
    <comment ref="J20" authorId="0" shapeId="0" xr:uid="{4C347B92-2994-4CC1-8801-48CCC0A6DBA8}">
      <text>
        <r>
          <rPr>
            <sz val="10"/>
            <rFont val="Arial"/>
            <family val="2"/>
          </rPr>
          <t>Formula = SUM rows 17–19 (6,300 A$m). RQ total wagering turnover on Qld product (chart printed total A$6.3bn).</t>
        </r>
      </text>
    </comment>
    <comment ref="K20" authorId="0" shapeId="0" xr:uid="{DE5D5CA9-67D8-4B87-B79A-FD538B3CA961}">
      <text>
        <r>
          <rPr>
            <sz val="10"/>
            <rFont val="Arial"/>
            <family val="2"/>
          </rPr>
          <t>Formula = SUM rows 17–19 (6,700 A$m). RQ total wagering turnover on Qld product (chart printed total A$6.8bn). Note: segment sum (6,700) differs from RQ's printed chart total (6,800) by A$0.1bn – the chart's segments are each rounded to A$0.1bn.</t>
        </r>
      </text>
    </comment>
    <comment ref="L20" authorId="0" shapeId="0" xr:uid="{357668EB-46A8-4814-8388-4E3C067195D1}">
      <text>
        <r>
          <rPr>
            <sz val="10"/>
            <rFont val="Arial"/>
            <family val="2"/>
          </rPr>
          <t>Formula = SUM rows 17–19 (6,600 A$m). RQ total wagering turnover on Qld product (chart printed total A$6.7bn). Note: segment sum (6,600) differs from RQ's printed chart total (6,700) by A$0.1bn – the chart's segments are each rounded to A$0.1bn.</t>
        </r>
      </text>
    </comment>
    <comment ref="M20" authorId="0" shapeId="0" xr:uid="{074DBCF0-4610-4403-82B6-C80AD10C375F}">
      <text>
        <r>
          <rPr>
            <sz val="10"/>
            <rFont val="Arial"/>
            <family val="2"/>
          </rPr>
          <t>Formula = SUM rows 17–19 (6,100 A$m). RQ total wagering turnover on Qld product (chart printed total A$6.1bn).</t>
        </r>
      </text>
    </comment>
    <comment ref="N20" authorId="0" shapeId="0" xr:uid="{9C1C65C2-895D-42F1-A9D1-452C0A7E2A85}">
      <text>
        <r>
          <rPr>
            <sz val="10"/>
            <rFont val="Arial"/>
            <family val="2"/>
          </rPr>
          <t>Formula = SUM rows 17–19 (5,600 A$m). RQ total wagering turnover on Qld product (chart printed total A$5.6bn). FY24 A$6.1bn → FY25 A$5.6bn (-9.3%).</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000-000001000000}">
      <text>
        <r>
          <rPr>
            <sz val="10"/>
            <rFont val="Arial"/>
            <family val="2"/>
          </rPr>
          <t>Source: uploaded images '1783061147775_image.png' (historical) and '1783061173126_image.png' (forecast), received 3 Jul 2026. Original captions: '2025 ANALYSIS: GGR ($m)' and 'Table 5: Australia Forecast Online Betting Only 2024-29e'. Figures transcribed exactly as published. Underlying source report is NOT identified in the images (style resembles H2 Gambling Capital market data) - confirm provenance before use.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D23" authorId="0" shapeId="0" xr:uid="{5FDA8B8A-8279-4709-8609-76AE48A9A8BD}">
      <text>
        <r>
          <rPr>
            <b/>
            <sz val="9"/>
            <color indexed="81"/>
            <rFont val="Tahoma"/>
            <family val="2"/>
          </rPr>
          <t>Sam Bradshaw:</t>
        </r>
        <r>
          <rPr>
            <sz val="9"/>
            <color indexed="81"/>
            <rFont val="Tahoma"/>
            <family val="2"/>
          </rPr>
          <t xml:space="preserve">
https://www.racingqueensland.com.au/news/june-2022/long-term-funding-secured-for-queensland-racing
"As a result, the state’s Point of Consumption Tax (POCT) will rise from 15% to 20%, and will now incorporate bonus bets, which previously could be deducted by Wagering Service Providers (WSPs).
As part of the tax reform, 80% of POCT receipts will be returned to Racing Queensland – up from 35% – to help replace three existing funding streams including the Country Racing Program."</t>
        </r>
      </text>
    </comment>
    <comment ref="E23" authorId="0" shapeId="0" xr:uid="{01CED3AA-4DE5-4A55-87D2-C39A041E17B7}">
      <text>
        <r>
          <rPr>
            <b/>
            <sz val="9"/>
            <color indexed="81"/>
            <rFont val="Tahoma"/>
            <family val="2"/>
          </rPr>
          <t>Sam Bradshaw:</t>
        </r>
        <r>
          <rPr>
            <sz val="9"/>
            <color indexed="81"/>
            <rFont val="Tahoma"/>
            <family val="2"/>
          </rPr>
          <t xml:space="preserve">
https://www.heraldsun.com.au/sport/superracing/queensland-secures-performancebased-point-of-consumption-tax-revenue/news-story/5ec08702a3ad61be74daf080a6327a6d
"Racing Queensland’s return from the state government will now be tied to performance after brokering a deal which will see 35 per cent of revenue from the Point of Consumption Tax returned to the industry."
"The agreement, which rolls together two current expiring deals is expected to return around $20m extra a year which will be spread across extra prizemoney, infrastructure, breeding schemes and club funding. Previously, Racing Queensland was simply allocated government money out of general revenue as opposed to performance-based returns from the Point of Consumption Tax which has been more fruitful than first expected."</t>
        </r>
      </text>
    </comment>
    <comment ref="F23" authorId="0" shapeId="0" xr:uid="{CD3C123A-6BA3-4DD4-ACC5-63D0503B752C}">
      <text>
        <r>
          <rPr>
            <b/>
            <sz val="9"/>
            <color indexed="81"/>
            <rFont val="Tahoma"/>
            <family val="2"/>
          </rPr>
          <t>Sam Bradshaw:</t>
        </r>
        <r>
          <rPr>
            <sz val="9"/>
            <color indexed="81"/>
            <rFont val="Tahoma"/>
            <family val="2"/>
          </rPr>
          <t xml:space="preserve">
https://www.premier.vic.gov.au/backing-victorias-racing-industry
"The new POCT rate will enable the Government to lift the amount of net wagering revenue that is returned to the Victorian Racing Industry from 1.5 per cent to 3.5 per cent."</t>
        </r>
      </text>
    </comment>
    <comment ref="G23" authorId="0" shapeId="0" xr:uid="{3D4E85A4-6545-4D33-85AE-557CA51BF475}">
      <text>
        <r>
          <rPr>
            <b/>
            <sz val="9"/>
            <color indexed="81"/>
            <rFont val="Tahoma"/>
            <family val="2"/>
          </rPr>
          <t>Sam Bradshaw:</t>
        </r>
        <r>
          <rPr>
            <sz val="9"/>
            <color indexed="81"/>
            <rFont val="Tahoma"/>
            <family val="2"/>
          </rPr>
          <t xml:space="preserve">
https://www.treasury.nsw.gov.au/sites/default/files/2018-06/NSW%20Point%20of%20Consumption%20Tax%20-%20PoC%20Tax%20Fact%20sheet.pdf</t>
        </r>
      </text>
    </comment>
    <comment ref="H23" authorId="0" shapeId="0" xr:uid="{AD8F4FA7-26B9-4416-8DF6-184A606E0CB8}">
      <text>
        <r>
          <rPr>
            <b/>
            <sz val="9"/>
            <color indexed="81"/>
            <rFont val="Tahoma"/>
            <family val="2"/>
          </rPr>
          <t>Sam Bradshaw:</t>
        </r>
        <r>
          <rPr>
            <sz val="9"/>
            <color indexed="81"/>
            <rFont val="Tahoma"/>
            <family val="2"/>
          </rPr>
          <t xml:space="preserve">
https://12ft.io/proxy?q=https%3A%2F%2Fwww.smh.com.au%2Fbusiness%2Fcompanies%2Ftab-privatised-bookmakers-taxed-on-wa-profits-under-historic-reforms-20181009-p508ny.html
The WA racing industry will receive 30 per cent of total revenue collected from the tax and 35 per cent of the TAB sale proceeds will go into a dedicated racing infrastructure fund. 
https://www.rwwa.com.au/blog/wa-governments-racing-reform-package-announcement/</t>
        </r>
      </text>
    </comment>
    <comment ref="I23" authorId="0" shapeId="0" xr:uid="{5F510F06-2E48-423A-A07B-A48C313890F7}">
      <text>
        <r>
          <rPr>
            <b/>
            <sz val="9"/>
            <color indexed="81"/>
            <rFont val="Tahoma"/>
            <family val="2"/>
          </rPr>
          <t>Sam Bradshaw:</t>
        </r>
        <r>
          <rPr>
            <sz val="9"/>
            <color indexed="81"/>
            <rFont val="Tahoma"/>
            <family val="2"/>
          </rPr>
          <t xml:space="preserve">
https://www.racenet.com.au/news/others-will-walk-unless-we-get-more-funding-racing-sa-chairman-20220223
"SA racing gets back just 10% of what it generates for the state government through the POC tax, a sliver in comparison to Queensland (35%) and Western Australia (30%), states that also charge a 15% rate for the POC tax.
The NSW and Victorian governments both charge 10% in POC tax but give back 20% and 17% respectively to the industries on the back of much higher volume.
Incredibly, racing in SA receives less money overall ($4.4 million) than what the industry gets in Tasmania ($4.6 million), as the government in that state returns 80% of the POC tax in funding."
Superceded
https://saroa.com.au/wp-content/uploads/2019/02/Support-SA-Racing-Jobs-FAQs-Feb19.pdf
"Thoroughbred racing in South Australia receives nothing from the POC tax, nor any other funding from the State Government."</t>
        </r>
      </text>
    </comment>
    <comment ref="J23" authorId="0" shapeId="0" xr:uid="{F0B7F8CD-075A-4BA4-96D1-E9D215C259CE}">
      <text>
        <r>
          <rPr>
            <b/>
            <sz val="9"/>
            <color indexed="81"/>
            <rFont val="Tahoma"/>
            <family val="2"/>
          </rPr>
          <t>Sam Bradshaw:</t>
        </r>
        <r>
          <rPr>
            <sz val="9"/>
            <color indexed="81"/>
            <rFont val="Tahoma"/>
            <family val="2"/>
          </rPr>
          <t xml:space="preserve">
https://www.premier.tas.gov.au/releases/point_of_consumption_tax2
"Today’s announcement that 80% of the POCT revenue will be invested directly back into the industry, across all three racing codes including prize money, will be welcome news to Tasmania’s racing industry."</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5" authorId="0" shapeId="0" xr:uid="{5003CA08-F035-4C6A-90C1-16434560EAD3}">
      <text>
        <r>
          <rPr>
            <sz val="10"/>
            <rFont val="Arial"/>
            <family val="2"/>
          </rPr>
          <t>New South Wales — Betting Tax Act 2001 (NSW), Pt 4</t>
        </r>
      </text>
    </comment>
    <comment ref="N5" authorId="0" shapeId="0" xr:uid="{62AB102B-48FF-4C05-841C-F0511FC90F62}">
      <text>
        <r>
          <rPr>
            <sz val="10"/>
            <rFont val="Arial"/>
            <family val="2"/>
          </rPr>
          <t>Victoria — Gambling Regulation Act 2003 (Vic)</t>
        </r>
      </text>
    </comment>
    <comment ref="O5" authorId="0" shapeId="0" xr:uid="{3048FCAC-3C9F-490F-A556-A0CCEB1B6DE5}">
      <text>
        <r>
          <rPr>
            <sz val="10"/>
            <rFont val="Arial"/>
            <family val="2"/>
          </rPr>
          <t>Queensland — Betting Tax Act 2018 (Qld)</t>
        </r>
      </text>
    </comment>
    <comment ref="P5" authorId="0" shapeId="0" xr:uid="{E6451FB5-AB07-4119-802A-92633D96DB9D}">
      <text>
        <r>
          <rPr>
            <sz val="10"/>
            <rFont val="Arial"/>
            <family val="2"/>
          </rPr>
          <t>Western Australia — Betting Tax Act 2018 &amp; Betting Tax Assessment Act 2018 (WA)</t>
        </r>
      </text>
    </comment>
    <comment ref="Q5" authorId="0" shapeId="0" xr:uid="{1A54F8CB-28A8-41E5-87E2-EF30FB6FCCD6}">
      <text>
        <r>
          <rPr>
            <sz val="10"/>
            <rFont val="Arial"/>
            <family val="2"/>
          </rPr>
          <t>South Australia — Authorised Betting Operations Act 2000 (SA)</t>
        </r>
      </text>
    </comment>
    <comment ref="R5" authorId="0" shapeId="0" xr:uid="{22AF0C5E-DBC0-41F9-8CCB-F1EC22633E29}">
      <text>
        <r>
          <rPr>
            <sz val="10"/>
            <rFont val="Arial"/>
            <family val="2"/>
          </rPr>
          <t>Tasmania — Gaming Control Act 1993 (Tas)</t>
        </r>
      </text>
    </comment>
    <comment ref="S5" authorId="0" shapeId="0" xr:uid="{CB34F708-7FE7-4FBC-9D66-A11392668971}">
      <text>
        <r>
          <rPr>
            <sz val="10"/>
            <rFont val="Arial"/>
            <family val="2"/>
          </rPr>
          <t>Australian Capital Territory — Betting Operations Tax Act 2018 (ACT)</t>
        </r>
      </text>
    </comment>
    <comment ref="T5" authorId="0" shapeId="0" xr:uid="{F1B86208-07BF-4B9B-B691-B2BEBD470E89}">
      <text>
        <r>
          <rPr>
            <sz val="10"/>
            <rFont val="Arial"/>
            <family val="2"/>
          </rPr>
          <t>Northern Territory — no POCT (licensing hub for corporate bookmakers)</t>
        </r>
      </text>
    </comment>
    <comment ref="M6" authorId="0" shapeId="0" xr:uid="{4AA53C63-5979-492D-B4B4-CF26C3EDA48A}">
      <text>
        <r>
          <rPr>
            <sz val="10"/>
            <rFont val="Arial"/>
            <family val="2"/>
          </rPr>
          <t>Source: Betting Tax Act 2001 (NSW), Pt 4 (net NSW wagering revenue defined in s 13A); Revenue NSW, accessed 6 Jul 2026. Rate 10%-&gt;15% from 1 Jul 2022 (2022-23 NSW Budget).</t>
        </r>
      </text>
    </comment>
    <comment ref="N6" authorId="0" shapeId="0" xr:uid="{54D48D63-14A6-4B34-AF45-DA7A55C29CEB}">
      <text>
        <r>
          <rPr>
            <sz val="10"/>
            <rFont val="Arial"/>
            <family val="2"/>
          </rPr>
          <t>Source: Gambling Regulation Act 2003 (Vic) (wagering &amp; betting tax; POCT introduced by Gambling Regulation Amendment (Wagering and Betting) Act 2018); SRO Victoria, accessed 6 Jul 2026. Rate 8% (1 Jan 2019) -&gt; 10% (1 Jul 2021) -&gt; 15% (1 Jul 2024).</t>
        </r>
      </text>
    </comment>
    <comment ref="O6" authorId="0" shapeId="0" xr:uid="{E219B0F2-03DF-4CC2-8B5A-068AE11F4323}">
      <text>
        <r>
          <rPr>
            <sz val="10"/>
            <rFont val="Arial"/>
            <family val="2"/>
          </rPr>
          <t>Source: Betting Tax Act 2018 (Qld), s 35; Queensland Revenue Office, accessed 6 Jul 2026. Rate 15% (1 Oct 2018) -&gt; 20% (15% + 5% racing levy) from 1 Dec 2022 (Betting Tax and Other Legislation Amendment Act 2022 (Qld); FY23 blended rate 17.9% confirms 1 Dec 2022 start).</t>
        </r>
      </text>
    </comment>
    <comment ref="P6" authorId="0" shapeId="0" xr:uid="{0DED71EB-09B3-4621-A9AD-43C945E98E61}">
      <text>
        <r>
          <rPr>
            <sz val="10"/>
            <rFont val="Arial"/>
            <family val="2"/>
          </rPr>
          <t>Source: Betting Tax Act 2018 (WA) &amp; Betting Tax Assessment Act 2018 (WA); RevenueWA, accessed 6 Jul 2026. Introduced at 15% from 1 Jan 2019; rate unchanged since.</t>
        </r>
      </text>
    </comment>
    <comment ref="Q6" authorId="0" shapeId="0" xr:uid="{38A1DB8B-FBE1-43C4-BD16-1B234469202C}">
      <text>
        <r>
          <rPr>
            <sz val="10"/>
            <rFont val="Arial"/>
            <family val="2"/>
          </rPr>
          <t>Source: Authorised Betting Operations Act 2000 (SA); Authorised Betting Operations (Taxation) Variation Regulations 2017; RevenueSA, accessed 6 Jul 2026. Australia's first POCT: 15% from 1 Jul 2017; rate unchanged since.</t>
        </r>
      </text>
    </comment>
    <comment ref="R6" authorId="0" shapeId="0" xr:uid="{9E13DBC1-C705-4C4D-80D5-02D00626F473}">
      <text>
        <r>
          <rPr>
            <sz val="10"/>
            <rFont val="Arial"/>
            <family val="2"/>
          </rPr>
          <t>Source: Gaming Control Act 1993 (Tas) (POC tax provisions, e.g. s 145L); Treasury &amp; Finance Tasmania, accessed 6 Jul 2026. Introduced at 15% from 1 Jan 2020; rate unchanged since.</t>
        </r>
      </text>
    </comment>
    <comment ref="S6" authorId="0" shapeId="0" xr:uid="{B456962B-E7EA-4F1C-BDCF-2CFD95A742EE}">
      <text>
        <r>
          <rPr>
            <sz val="10"/>
            <rFont val="Arial"/>
            <family val="2"/>
          </rPr>
          <t>Source: Betting Operations Tax Act 2018 (ACT), s 10; rate set by Taxation Administration (Betting Operations Tax—Rate) Determination 2023 (DI2023-169); ACT Revenue Office, accessed 6 Jul 2026. 15% (1 Jan 2019-30 Jun 2022) -&gt; 20% (FY23) -&gt; 25% from 1 Jul 2023 — the highest POCT in Australia.</t>
        </r>
      </text>
    </comment>
    <comment ref="T6" authorId="0" shapeId="0" xr:uid="{1278609C-3BF1-4B6A-9B31-D238B50B9C67}">
      <text>
        <r>
          <rPr>
            <sz val="10"/>
            <rFont val="Arial"/>
            <family val="2"/>
          </rPr>
          <t>NT has NO point-of-consumption tax and is the licensing jurisdiction for most corporate bookmakers. Instead, NT sports-bookmaking / betting-exchange licensees pay a Territory tax of 5% of gross profit (wagers less payouts), capped at $1,410,000 p.a. The 5%/cap detail is from a secondary legal summary (Senet, accessed 6 Jul 2026) — verify against the primary NT instrument before use. The 'no POCT' status is well established (e.g. Tasmanian second reading speech; Lexology).</t>
        </r>
      </text>
    </comment>
    <comment ref="M7" authorId="0" shapeId="0" xr:uid="{641B00FA-8100-4FB5-BD6A-4D6AA48D5F89}">
      <text>
        <r>
          <rPr>
            <sz val="10"/>
            <rFont val="Arial"/>
            <family val="2"/>
          </rPr>
          <t>Source: Betting Tax Act 2001 (NSW), Pt 4; L&amp;GNSW guidance, accessed 6 Jul 2026. Threshold $1,000,000 net NSW wagering revenue per financial year.</t>
        </r>
      </text>
    </comment>
    <comment ref="N7" authorId="0" shapeId="0" xr:uid="{7EAEB310-FCBA-40EC-B75D-07A5BAAEBFC9}">
      <text>
        <r>
          <rPr>
            <sz val="10"/>
            <rFont val="Arial"/>
            <family val="2"/>
          </rPr>
          <t>Source: SRO Victoria, updated 8 Dec 2025. Threshold $1,000,000 net wagering revenue per financial year.</t>
        </r>
      </text>
    </comment>
    <comment ref="O7" authorId="0" shapeId="0" xr:uid="{C3D346FA-AB05-4AA5-B18C-5D5A465E8080}">
      <text>
        <r>
          <rPr>
            <sz val="10"/>
            <rFont val="Arial"/>
            <family val="2"/>
          </rPr>
          <t>Source: Queensland Revenue Office, accessed 6 Jul 2026. Threshold $300,000 taxable wagering revenue per financial year.</t>
        </r>
      </text>
    </comment>
    <comment ref="P7" authorId="0" shapeId="0" xr:uid="{3DB0B986-9717-42F5-9721-6924941496CC}">
      <text>
        <r>
          <rPr>
            <sz val="10"/>
            <rFont val="Arial"/>
            <family val="2"/>
          </rPr>
          <t>Source: RevenueWA, accessed 6 Jul 2026. Threshold $150,000 WA taxable betting revenue per assessment year.</t>
        </r>
      </text>
    </comment>
    <comment ref="Q7" authorId="0" shapeId="0" xr:uid="{51876C71-67DA-4D45-8646-8C8B0BBDA4EB}">
      <text>
        <r>
          <rPr>
            <sz val="10"/>
            <rFont val="Arial"/>
            <family val="2"/>
          </rPr>
          <t>Source: RevenueSA, accessed 6 Jul 2026. Threshold $150,000 Net State Wagering Revenue per financial year.</t>
        </r>
      </text>
    </comment>
    <comment ref="R7" authorId="0" shapeId="0" xr:uid="{9A1E7637-0B13-4126-885C-96BF797243B3}">
      <text>
        <r>
          <rPr>
            <sz val="10"/>
            <rFont val="Arial"/>
            <family val="2"/>
          </rPr>
          <t>Source: Treasury Tasmania, accessed 6 Jul 2026. Threshold $150,000 net wagering revenue per year ($75,000 pro-rata for 1 Jan-30 Jun 2020 only).</t>
        </r>
      </text>
    </comment>
    <comment ref="S7" authorId="0" shapeId="0" xr:uid="{959D607C-55EF-4E1E-8D41-A3C8C9C73DC9}">
      <text>
        <r>
          <rPr>
            <sz val="10"/>
            <rFont val="Arial"/>
            <family val="2"/>
          </rPr>
          <t>Source: ACT Revenue Office, accessed 6 Jul 2026. Threshold $150,000 Net ACT Betting Revenue per financial year (since 1 Jul 2019).</t>
        </r>
      </text>
    </comment>
    <comment ref="T7" authorId="0" shapeId="0" xr:uid="{A5B4ED6E-5EF4-47AB-B532-10360A49C0B8}">
      <text>
        <r>
          <rPr>
            <sz val="10"/>
            <rFont val="Arial"/>
            <family val="2"/>
          </rPr>
          <t>n/a — NT levies no POCT. A $1,410,000 p.a. cap applies to the NT bookmaker gross-profit tax (see rate comment).</t>
        </r>
      </text>
    </comment>
    <comment ref="M8" authorId="0" shapeId="0" xr:uid="{C6DBE18F-1B35-4D95-917B-FC6AFEC4673B}">
      <text>
        <r>
          <rPr>
            <sz val="10"/>
            <rFont val="Arial"/>
            <family val="2"/>
          </rPr>
          <t>Source: Revenue NSW, 'Calculate', accessed 6 Jul 2026 — the face value of a free/bonus bet MUST be included in net NSW wagering revenue.</t>
        </r>
      </text>
    </comment>
    <comment ref="N8" authorId="0" shapeId="0" xr:uid="{84E4BD70-8CED-45F5-A81E-DAF9BD936DD0}">
      <text>
        <r>
          <rPr>
            <sz val="10"/>
            <rFont val="Arial"/>
            <family val="2"/>
          </rPr>
          <t>Source: SRO Victoria, accessed 6 Jul 2026 — free/bonus bets included at face value even where the customer contributes no money.</t>
        </r>
      </text>
    </comment>
    <comment ref="O8" authorId="0" shapeId="0" xr:uid="{C9F2DBFD-5CC9-4758-9AB2-CBD5A9941524}">
      <text>
        <r>
          <rPr>
            <sz val="10"/>
            <rFont val="Arial"/>
            <family val="2"/>
          </rPr>
          <t>Source: Betting Tax and Other Legislation Amendment Act 2022 (Qld) / 2022-23 Qld Budget — base broadened to include free and bonus bets from 1 Dec 2022.</t>
        </r>
      </text>
    </comment>
    <comment ref="P8" authorId="0" shapeId="0" xr:uid="{97F18E7D-4633-4E69-A156-85BA81FFF492}">
      <text>
        <r>
          <rPr>
            <sz val="10"/>
            <rFont val="Arial"/>
            <family val="2"/>
          </rPr>
          <t>CONFIRMED. Source: Betting Tax Assessment Act 2018 (WA), s 13 'Free components' (with s 12 'Amount of bets generally'): where a free component is used to place a WA bet, the amount of the bet is taken to include the free component and the free component is taken to be an amount received by the operator. Free/bonus bets are therefore included.</t>
        </r>
      </text>
    </comment>
    <comment ref="Q8" authorId="0" shapeId="0" xr:uid="{5015CFE6-E14B-450C-9CD8-5367979F283A}">
      <text>
        <r>
          <rPr>
            <sz val="10"/>
            <rFont val="Arial"/>
            <family val="2"/>
          </rPr>
          <t>Source: RevenueSA 'Guide to Betting Operations Tax' (2021-22), Example 3. Nuance vs VIC/NSW: the amount of a promotional/bonus/free bet that is STAKED is treated as an ordinary bet in Net State Wagering Revenue (winnings deducted); SA does not add the full face value on top. Comparability flag.</t>
        </r>
      </text>
    </comment>
    <comment ref="R8" authorId="0" shapeId="0" xr:uid="{4E398FE1-14F5-4ECC-9A8D-BC1714ABAB1B}">
      <text>
        <r>
          <rPr>
            <sz val="10"/>
            <rFont val="Arial"/>
            <family val="2"/>
          </rPr>
          <t>Source: Tasmanian Treasurer (P. Gutwein), Oct 2019 media release &amp; second reading speech: the POC tax EXCLUDES the face value of free bets provided to bettors.</t>
        </r>
      </text>
    </comment>
    <comment ref="S8" authorId="0" shapeId="0" xr:uid="{9D8CB4CD-7388-4059-9B5F-9EC93BA6B9B1}">
      <text>
        <r>
          <rPr>
            <sz val="10"/>
            <rFont val="Arial"/>
            <family val="2"/>
          </rPr>
          <t>CONFIRMED. Source: ACT Revenue Office / Betting Operations Tax Act 2018 (ACT), accessed 6 Jul 2026: a bet can include non-cash components and 'the monetary value of the non-cash component of the bet should be included in calculating the tax payable'. Free/bonus bets are therefore included.</t>
        </r>
      </text>
    </comment>
    <comment ref="T8" authorId="0" shapeId="0" xr:uid="{54DD64BF-E1EE-4BDE-AFE8-373B781C525F}">
      <text>
        <r>
          <rPr>
            <sz val="10"/>
            <rFont val="Arial"/>
            <family val="2"/>
          </rPr>
          <t>n/a — NT levies no POCT.</t>
        </r>
      </text>
    </comment>
    <comment ref="M9" authorId="0" shapeId="0" xr:uid="{6E0B8268-1B07-4BD5-A414-C6DD9989B0CC}">
      <text>
        <r>
          <rPr>
            <sz val="10"/>
            <rFont val="Arial"/>
            <family val="2"/>
          </rPr>
          <t>Source: POCT introduced at 10% from 1 Jan 2019 (Betting Tax Amendment (Point of Consumption) Act 2018); increased to 15% from 1 Jul 2022.</t>
        </r>
      </text>
    </comment>
    <comment ref="N9" authorId="0" shapeId="0" xr:uid="{DD6A2341-F3E2-4A55-985F-93F20FD57E73}">
      <text>
        <r>
          <rPr>
            <sz val="10"/>
            <rFont val="Arial"/>
            <family val="2"/>
          </rPr>
          <t>Source: Premier of Victoria, 2 May 2023 — POCT 10%-&gt;15% effective 1 Jul 2024.</t>
        </r>
      </text>
    </comment>
    <comment ref="O9" authorId="0" shapeId="0" xr:uid="{513F6960-D50D-4F2C-AB85-1111777D593E}">
      <text>
        <r>
          <rPr>
            <sz val="10"/>
            <rFont val="Arial"/>
            <family val="2"/>
          </rPr>
          <t>Source: Betting Tax and Other Legislation Amendment Act 2022 (Qld); 15%-&gt;20% from 1 Dec 2022.</t>
        </r>
      </text>
    </comment>
    <comment ref="P9" authorId="0" shapeId="0" xr:uid="{F0527CB5-7F0C-4B98-81B8-92723B6EFE56}">
      <text>
        <r>
          <rPr>
            <sz val="10"/>
            <rFont val="Arial"/>
            <family val="2"/>
          </rPr>
          <t>Source: Betting Tax (Assessment) Act 2018 (WA), commenced 1 Jan 2019. No subsequent rate change identified.</t>
        </r>
      </text>
    </comment>
    <comment ref="Q9" authorId="0" shapeId="0" xr:uid="{0E77B213-A851-46D3-9EB9-60FBD64C7F0A}">
      <text>
        <r>
          <rPr>
            <sz val="10"/>
            <rFont val="Arial"/>
            <family val="2"/>
          </rPr>
          <t>Source: Authorised Betting Operations (Taxation) Variation Regulations 2017; commenced 1 Jul 2017. No subsequent rate change identified.</t>
        </r>
      </text>
    </comment>
    <comment ref="R9" authorId="0" shapeId="0" xr:uid="{3A61257B-DCC9-4B57-A511-5C2AA6EB1039}">
      <text>
        <r>
          <rPr>
            <sz val="10"/>
            <rFont val="Arial"/>
            <family val="2"/>
          </rPr>
          <t>Source: Gaming Control Act 1993 (Tas); POC tax framework commenced 1 Jan 2020. No subsequent rate change identified.</t>
        </r>
      </text>
    </comment>
    <comment ref="S9" authorId="0" shapeId="0" xr:uid="{8AF4E34C-3A78-4A22-A8BF-6CBF6A21077B}">
      <text>
        <r>
          <rPr>
            <sz val="10"/>
            <rFont val="Arial"/>
            <family val="2"/>
          </rPr>
          <t>Source: Taxation Administration (Betting Operations Tax—Rate) Determination 2023 (DI2023-169): 25% from 1 Jul 2023.</t>
        </r>
      </text>
    </comment>
    <comment ref="T9" authorId="0" shapeId="0" xr:uid="{865B7935-6F6E-40DA-8125-64E9665A2604}">
      <text>
        <r>
          <rPr>
            <sz val="10"/>
            <rFont val="Arial"/>
            <family val="2"/>
          </rPr>
          <t>n/a — NT has never introduced a POCT.</t>
        </r>
      </text>
    </comment>
    <comment ref="M10" authorId="0" shapeId="0" xr:uid="{A5651B02-620B-4B6A-87D6-66BD13DE7198}">
      <text>
        <r>
          <rPr>
            <sz val="10"/>
            <rFont val="Arial"/>
            <family val="2"/>
          </rPr>
          <t>Source: Racing NSW Annual Report 2024/25 (tabled NSW Parliament): NSW racing received 20% of POCT proceeds at 10%; rose to 33% when the rate moved to 15% on 1 Jul 2022. (Some 2026 trade reporting cites ~30% pass-through.) Policy/arrangement, not a fixed statute.</t>
        </r>
      </text>
    </comment>
    <comment ref="N10" authorId="0" shapeId="0" xr:uid="{76768526-FB22-4731-B28B-D876DAE621D3}">
      <text>
        <r>
          <rPr>
            <sz val="10"/>
            <rFont val="Arial"/>
            <family val="2"/>
          </rPr>
          <t>Source: Premier of Victoria, 2 May 2023 — racing's share = 7.5 of the 15 percentage points (i.e. 50% of POCT revenue); balance to the Hospitals &amp; Charities Fund. Cross-confirmed by Racing NSW AR 2024/25.</t>
        </r>
      </text>
    </comment>
    <comment ref="O10" authorId="0" shapeId="0" xr:uid="{94FB0FCA-45E0-414D-97DA-7A6311B18F55}">
      <text>
        <r>
          <rPr>
            <sz val="10"/>
            <rFont val="Arial"/>
            <family val="2"/>
          </rPr>
          <t>Source: Qld Office of Racing (racing.qld.gov.au), accessed 6 Jul 2026: 'Under the Betting Tax Act 2018 the Queensland Government supports the racing industry by returning 80 per cent of annual betting tax revenues to Racing Queensland' (up from 35%). Country thoroughbred meetings guaranteed a prescribed minimum (Racing Act 2002 / Racing Regulation 2023).</t>
        </r>
      </text>
    </comment>
    <comment ref="P10" authorId="0" shapeId="0" xr:uid="{52376C85-7904-4FD2-BD72-A5B6E0609C39}">
      <text>
        <r>
          <rPr>
            <sz val="10"/>
            <rFont val="Arial"/>
            <family val="2"/>
          </rPr>
          <t>CONFIRMED, STATUTORY. Source: Racing and Wagering Western Australia Act 2003 (WA), s 107B(1) (inserted by Betting Tax Assessment Act 2018 (WA), s 40): each month the Treasurer must pay RWWA an amount equal to 30% of the betting tax imposed under the Betting Tax Act 2018 s 4, distributed to registered thoroughbred, harness and greyhound clubs.</t>
        </r>
      </text>
    </comment>
    <comment ref="Q10" authorId="0" shapeId="0" xr:uid="{933D5B23-B012-45CC-B18A-8CF8D18E6441}">
      <text>
        <r>
          <rPr>
            <sz val="10"/>
            <rFont val="Arial"/>
            <family val="2"/>
          </rPr>
          <t>Source: The Straight (14 Nov 2025; 7 Jun 2024): under SA's four-year funding model agreed June 2023, 20% of BOT revenue flows to the racing industry (up from 10%). POLICY funding-model figure (not a statute); model runs ~4 years from 2023. SA racing ALSO receives separate product / 'betting operations contribution' (race-fields) fees. Verify current % against the SA Budget.</t>
        </r>
      </text>
    </comment>
    <comment ref="R10" authorId="0" shapeId="0" xr:uid="{4F641B4C-1B62-41EB-990C-B0F5DF464B21}">
      <text>
        <r>
          <rPr>
            <sz val="10"/>
            <rFont val="Arial"/>
            <family val="2"/>
          </rPr>
          <t>Source: Tasracing Review report for Treasury Tasmania (grant deed): Tasracing receives 80% of the additional POC tax revenue, per a formula in a grant deed between the Tasmanian Government and Tasracing. Cross-confirmed by Racing NSW AR 2024/25.</t>
        </r>
      </text>
    </comment>
    <comment ref="S10" authorId="0" shapeId="0" xr:uid="{8F8A0904-22E2-4D3B-951C-0AE4694604F2}">
      <text>
        <r>
          <rPr>
            <sz val="10"/>
            <rFont val="Arial"/>
            <family val="2"/>
          </rPr>
          <t>NIL — IMPORTANT. The ACT is the ONLY Australian jurisdiction that returns NONE of its POCT/BOT to racing. Canberra racing (Thoroughbred Park) is instead funded by an annual grant under a Memorandum of Understanding with the ACT Government (~$8.5m in FY25), paid from consolidated revenue — not a share of the tax. Canberra Racing's CEO publicly called (Nov 2024 annual report) to move to a NSW-style BOT-share model. Sources: Canberra Times, 3 Nov 2024 and ~1 Jul 2026; ACT Budget 2018-19.</t>
        </r>
      </text>
    </comment>
    <comment ref="T10" authorId="0" shapeId="0" xr:uid="{61E35390-BD09-4AD4-A159-AC6BD3EC15F1}">
      <text>
        <r>
          <rPr>
            <sz val="10"/>
            <rFont val="Arial"/>
            <family val="2"/>
          </rPr>
          <t>n/a — NT levies no POCT.</t>
        </r>
      </text>
    </comment>
    <comment ref="C12" authorId="0" shapeId="0" xr:uid="{E76DBD4D-DDD7-4FD3-9967-585C612E36DB}">
      <text>
        <r>
          <rPr>
            <sz val="10"/>
            <rFont val="Arial"/>
            <family val="2"/>
          </rPr>
          <t>Nil — see 'Proceeds -&gt; sport' note.</t>
        </r>
      </text>
    </comment>
    <comment ref="D12" authorId="0" shapeId="0" xr:uid="{B2878AED-80BA-4631-B63A-BBB030FE4E90}">
      <text>
        <r>
          <rPr>
            <sz val="10"/>
            <rFont val="Arial"/>
            <family val="2"/>
          </rPr>
          <t>Nil — see 'Proceeds -&gt; sport' note.</t>
        </r>
      </text>
    </comment>
    <comment ref="E12" authorId="0" shapeId="0" xr:uid="{5047C37B-5D33-46ED-BB97-16B9ACEDD3FA}">
      <text>
        <r>
          <rPr>
            <sz val="10"/>
            <rFont val="Arial"/>
            <family val="2"/>
          </rPr>
          <t>Nil — see 'Proceeds -&gt; sport' note.</t>
        </r>
      </text>
    </comment>
    <comment ref="F12" authorId="0" shapeId="0" xr:uid="{261258EF-4D04-4115-95A8-0D3B20110D11}">
      <text>
        <r>
          <rPr>
            <sz val="10"/>
            <rFont val="Arial"/>
            <family val="2"/>
          </rPr>
          <t>Nil — see 'Proceeds -&gt; sport' note.</t>
        </r>
      </text>
    </comment>
    <comment ref="G12" authorId="0" shapeId="0" xr:uid="{F8256FB4-21B6-433C-A8BF-F95E9D6C8B7E}">
      <text>
        <r>
          <rPr>
            <sz val="10"/>
            <rFont val="Arial"/>
            <family val="2"/>
          </rPr>
          <t>Nil — see 'Proceeds -&gt; sport' note.</t>
        </r>
      </text>
    </comment>
    <comment ref="H12" authorId="0" shapeId="0" xr:uid="{A4F76DAA-89CB-4013-8C10-C41FBF7F1CF3}">
      <text>
        <r>
          <rPr>
            <sz val="10"/>
            <rFont val="Arial"/>
            <family val="2"/>
          </rPr>
          <t>Nil — see 'Proceeds -&gt; sport' note.</t>
        </r>
      </text>
    </comment>
    <comment ref="I12" authorId="0" shapeId="0" xr:uid="{B1F245BF-33F0-4256-A978-8AECCCD92D1A}">
      <text>
        <r>
          <rPr>
            <sz val="10"/>
            <rFont val="Arial"/>
            <family val="2"/>
          </rPr>
          <t>Nil — see 'Proceeds -&gt; sport' note.</t>
        </r>
      </text>
    </comment>
    <comment ref="J12" authorId="0" shapeId="0" xr:uid="{78DF9D11-707D-42F8-9026-49C857EF36DF}">
      <text>
        <r>
          <rPr>
            <sz val="10"/>
            <rFont val="Arial"/>
            <family val="2"/>
          </rPr>
          <t>n/a — NT levies no POCT.</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B27" authorId="0" shapeId="0" xr:uid="{ED0BD178-ED81-44B1-B758-EBFBCFC399CB}">
      <text>
        <r>
          <rPr>
            <b/>
            <sz val="9"/>
            <color indexed="81"/>
            <rFont val="Tahoma"/>
            <family val="2"/>
          </rPr>
          <t>Sam Bradshaw:</t>
        </r>
        <r>
          <rPr>
            <sz val="9"/>
            <color indexed="81"/>
            <rFont val="Tahoma"/>
            <family val="2"/>
          </rPr>
          <t xml:space="preserve">
From 
https://www.budget.nsw.gov.au/sites/default/files/2023-09/2023-24_01_Budget-Paper-No-1-Budget_Statement.pdf</t>
        </r>
      </text>
    </comment>
    <comment ref="B32" authorId="0" shapeId="0" xr:uid="{266E042E-BB6C-470C-98BB-1CCA6AF0A502}">
      <text>
        <r>
          <rPr>
            <b/>
            <sz val="9"/>
            <color indexed="81"/>
            <rFont val="Tahoma"/>
            <family val="2"/>
          </rPr>
          <t>Sam Bradshaw:</t>
        </r>
        <r>
          <rPr>
            <sz val="9"/>
            <color indexed="81"/>
            <rFont val="Tahoma"/>
            <family val="2"/>
          </rPr>
          <t xml:space="preserve">
From 
https://www.budget.nsw.gov.au/sites/default/files/2023-09/2023-24_01_Budget-Paper-No-1-Budget_Statement.pdf</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<sst xmlns="http://schemas.openxmlformats.org/spreadsheetml/2006/main" count="5136" uniqueCount="1416">
  <si>
    <t>X</t>
  </si>
  <si>
    <t>Period End</t>
  </si>
  <si>
    <t>Half</t>
  </si>
  <si>
    <t>FY</t>
  </si>
  <si>
    <t>FY Year</t>
  </si>
  <si>
    <t>Financial Year</t>
  </si>
  <si>
    <t>Actual/Estimate</t>
  </si>
  <si>
    <t>Days in period</t>
  </si>
  <si>
    <t>SEGMENTS</t>
  </si>
  <si>
    <t>Turnover</t>
  </si>
  <si>
    <t>Tabcorp - Retail</t>
  </si>
  <si>
    <t>Tabcorp - Digital</t>
  </si>
  <si>
    <t>SportsBet</t>
  </si>
  <si>
    <t>LadBrokes</t>
  </si>
  <si>
    <t>PointsBet</t>
  </si>
  <si>
    <t>Bet365</t>
  </si>
  <si>
    <t>BlueBet</t>
  </si>
  <si>
    <t>Gross Revenue</t>
  </si>
  <si>
    <t>Net Revenue</t>
  </si>
  <si>
    <t>Gross Yield</t>
  </si>
  <si>
    <t>Net Yield</t>
  </si>
  <si>
    <t>Promo's</t>
  </si>
  <si>
    <t>KPI's</t>
  </si>
  <si>
    <t>Sales &amp; Marketing</t>
  </si>
  <si>
    <t>Active Players</t>
  </si>
  <si>
    <t>Splits</t>
  </si>
  <si>
    <t>Sports</t>
  </si>
  <si>
    <t>Racing</t>
  </si>
  <si>
    <t>Retail</t>
  </si>
  <si>
    <t>Digital</t>
  </si>
  <si>
    <t>Trackside</t>
  </si>
  <si>
    <t>Phone</t>
  </si>
  <si>
    <t>Data Sources</t>
  </si>
  <si>
    <t>Racing Bodies</t>
  </si>
  <si>
    <t>Aus Racing Body</t>
  </si>
  <si>
    <t>Aus Gamling Statistics</t>
  </si>
  <si>
    <t>Comp Metrics</t>
  </si>
  <si>
    <t>Gross Profit</t>
  </si>
  <si>
    <t>Opex</t>
  </si>
  <si>
    <t>EBITDA</t>
  </si>
  <si>
    <t>App Quality</t>
  </si>
  <si>
    <t>1H18</t>
  </si>
  <si>
    <t>2H18</t>
  </si>
  <si>
    <t>1H19</t>
  </si>
  <si>
    <t>2H19</t>
  </si>
  <si>
    <t>1H20</t>
  </si>
  <si>
    <t>2H20</t>
  </si>
  <si>
    <t>1H21</t>
  </si>
  <si>
    <t>2H21</t>
  </si>
  <si>
    <t>1H22</t>
  </si>
  <si>
    <t>2H22</t>
  </si>
  <si>
    <t>1H23</t>
  </si>
  <si>
    <t>2H23</t>
  </si>
  <si>
    <t>1H24</t>
  </si>
  <si>
    <t>2H24</t>
  </si>
  <si>
    <t>1H25</t>
  </si>
  <si>
    <t>2H25</t>
  </si>
  <si>
    <t>1H26</t>
  </si>
  <si>
    <t>2H26</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</si>
  <si>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</si>
  <si>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</si>
  <si>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</si>
  <si>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</si>
  <si>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</si>
  <si>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</si>
  <si>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</si>
  <si>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</si>
  <si>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</si>
  <si>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</si>
  <si>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</si>
  <si>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</si>
  <si>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</si>
  <si>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</si>
  <si>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</si>
  <si>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</si>
  <si>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</si>
  <si>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</si>
  <si>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</si>
  <si>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</si>
  <si>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</si>
  <si>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1Q23</t>
  </si>
  <si>
    <t>2Q23</t>
  </si>
  <si>
    <t>3Q23</t>
  </si>
  <si>
    <t>4Q23</t>
  </si>
  <si>
    <t>1Q24</t>
  </si>
  <si>
    <t>2Q24</t>
  </si>
  <si>
    <t>3Q24</t>
  </si>
  <si>
    <t>4Q24</t>
  </si>
  <si>
    <t>1Q25</t>
  </si>
  <si>
    <t>2Q25</t>
  </si>
  <si>
    <t>3Q25</t>
  </si>
  <si>
    <t>4Q25</t>
  </si>
  <si>
    <t>1Q26</t>
  </si>
  <si>
    <t>2Q26</t>
  </si>
  <si>
    <t>3Q26</t>
  </si>
  <si>
    <t>4Q26</t>
  </si>
  <si>
    <t>Gross Win</t>
  </si>
  <si>
    <t>Gross Win Margin</t>
  </si>
  <si>
    <t>Net Win</t>
  </si>
  <si>
    <t>Net Win Margin</t>
  </si>
  <si>
    <t>Active Customers (LTM)</t>
  </si>
  <si>
    <t>Marketing Expense</t>
  </si>
  <si>
    <t>Active Players (LTM)</t>
  </si>
  <si>
    <t>£m</t>
  </si>
  <si>
    <t>Sportsbook stakes</t>
  </si>
  <si>
    <t>Sportsbook net revenue margin</t>
  </si>
  <si>
    <t>Total revenue</t>
  </si>
  <si>
    <t>Cost of sales</t>
  </si>
  <si>
    <t>Cost of sales as a % of net revenue</t>
  </si>
  <si>
    <t>Gross profit</t>
  </si>
  <si>
    <t>Sales and marketing</t>
  </si>
  <si>
    <t>Contribution</t>
  </si>
  <si>
    <t>Other operating costs</t>
  </si>
  <si>
    <t>Adjusted EBITDA margin</t>
  </si>
  <si>
    <t>Depreciation and amortisation</t>
  </si>
  <si>
    <t>Adjusted operating profit</t>
  </si>
  <si>
    <t>Adjusted EBITDA</t>
  </si>
  <si>
    <t>Pro Forma</t>
  </si>
  <si>
    <t>%</t>
  </si>
  <si>
    <t>Exchange Rate (Average)</t>
  </si>
  <si>
    <t>x</t>
  </si>
  <si>
    <t>1H</t>
  </si>
  <si>
    <t>2H</t>
  </si>
  <si>
    <t>A$m</t>
  </si>
  <si>
    <t>FLUTTER HALFS</t>
  </si>
  <si>
    <t>TABCORP HALFS</t>
  </si>
  <si>
    <t>YIELDS/MARGINS</t>
  </si>
  <si>
    <t>Cost of Sales % of Net Revenue</t>
  </si>
  <si>
    <t>Add SB Quarterly</t>
  </si>
  <si>
    <t>Pre BetEasy/BetFair</t>
  </si>
  <si>
    <t>Thouroughbred</t>
  </si>
  <si>
    <t>Greyhound</t>
  </si>
  <si>
    <t>Harness</t>
  </si>
  <si>
    <t>Sport</t>
  </si>
  <si>
    <t>iPhone</t>
  </si>
  <si>
    <t>Website</t>
  </si>
  <si>
    <t>Android</t>
  </si>
  <si>
    <t>Call Centre</t>
  </si>
  <si>
    <t>Bet Count</t>
  </si>
  <si>
    <t>Cost per First Time Depositor</t>
  </si>
  <si>
    <t>Average Annual Customer Value</t>
  </si>
  <si>
    <t>Check</t>
  </si>
  <si>
    <t>NWM</t>
  </si>
  <si>
    <t>Revenue</t>
  </si>
  <si>
    <t>H2 Gambling</t>
  </si>
  <si>
    <t>Vixio</t>
  </si>
  <si>
    <t xml:space="preserve"> proforma incl Neds</t>
  </si>
  <si>
    <t>ex Neds</t>
  </si>
  <si>
    <t>ENTAIN HALFS</t>
  </si>
  <si>
    <t>FY00</t>
  </si>
  <si>
    <t>FY01</t>
  </si>
  <si>
    <t>FY02</t>
  </si>
  <si>
    <t>FY03</t>
  </si>
  <si>
    <t>FY04</t>
  </si>
  <si>
    <t>FY05</t>
  </si>
  <si>
    <t>FY06</t>
  </si>
  <si>
    <t>FY07</t>
  </si>
  <si>
    <t>FY08</t>
  </si>
  <si>
    <t>FY09</t>
  </si>
  <si>
    <t>FY10</t>
  </si>
  <si>
    <t>FY11</t>
  </si>
  <si>
    <t>FY12</t>
  </si>
  <si>
    <t>FY13</t>
  </si>
  <si>
    <t>FY14</t>
  </si>
  <si>
    <t>FY15</t>
  </si>
  <si>
    <t>FY16</t>
  </si>
  <si>
    <t>FY17</t>
  </si>
  <si>
    <t>FY18</t>
  </si>
  <si>
    <t>FY19</t>
  </si>
  <si>
    <t>FY20</t>
  </si>
  <si>
    <t>FY21</t>
  </si>
  <si>
    <t>FY22</t>
  </si>
  <si>
    <t>FY23</t>
  </si>
  <si>
    <t>FY24</t>
  </si>
  <si>
    <t>FY25</t>
  </si>
  <si>
    <t>Tab Races</t>
  </si>
  <si>
    <t>Non Tab Races</t>
  </si>
  <si>
    <t>TOTE</t>
  </si>
  <si>
    <t>States ?</t>
  </si>
  <si>
    <t>FIXED ODDS</t>
  </si>
  <si>
    <t>TOTAL TAB</t>
  </si>
  <si>
    <t>Corporate/Exchange</t>
  </si>
  <si>
    <t>Total</t>
  </si>
  <si>
    <t>NSW</t>
  </si>
  <si>
    <t>VIC</t>
  </si>
  <si>
    <t>QLD</t>
  </si>
  <si>
    <t>SA</t>
  </si>
  <si>
    <t>WA</t>
  </si>
  <si>
    <t>TAS</t>
  </si>
  <si>
    <t>ACT</t>
  </si>
  <si>
    <t>NT</t>
  </si>
  <si>
    <t>Thoroughbred</t>
  </si>
  <si>
    <t>TOTAL</t>
  </si>
  <si>
    <t>Harness &amp; Greyhound Racing</t>
  </si>
  <si>
    <t>Total Racing</t>
  </si>
  <si>
    <t>Sports Betting</t>
  </si>
  <si>
    <t xml:space="preserve">Thoroughbred Racing </t>
  </si>
  <si>
    <t>Thoroughbreds</t>
  </si>
  <si>
    <t>Harness &amp; Greyhounds</t>
  </si>
  <si>
    <t>OVERALL MARKET</t>
  </si>
  <si>
    <t>FY26</t>
  </si>
  <si>
    <t>FY27</t>
  </si>
  <si>
    <t>FY28</t>
  </si>
  <si>
    <t>FY29</t>
  </si>
  <si>
    <t>FY30</t>
  </si>
  <si>
    <t>RACING</t>
  </si>
  <si>
    <t>GREYHOUND</t>
  </si>
  <si>
    <t>SPORTS</t>
  </si>
  <si>
    <t>HARNESS</t>
  </si>
  <si>
    <t>THOUROUGHBREAD</t>
  </si>
  <si>
    <t>Bookmaker/Turnover</t>
  </si>
  <si>
    <t>ALL WAGERING</t>
  </si>
  <si>
    <t>RACING - SPLITS</t>
  </si>
  <si>
    <t>SPORTS - SPLITS</t>
  </si>
  <si>
    <t>ALL WAGERING - SPLITS</t>
  </si>
  <si>
    <t>SEGMENTS SPLITS</t>
  </si>
  <si>
    <t>SEGMENTS GROWTHS</t>
  </si>
  <si>
    <t>RACING - GROWTHS</t>
  </si>
  <si>
    <t>SPORTS - GROWTHS</t>
  </si>
  <si>
    <t>ALL WAGERING - GROWTHS</t>
  </si>
  <si>
    <t>STATES &amp; SEGMENTS</t>
  </si>
  <si>
    <t>FORM</t>
  </si>
  <si>
    <t>TAB</t>
  </si>
  <si>
    <t>Internet</t>
  </si>
  <si>
    <t>Bookmakers</t>
  </si>
  <si>
    <t>Total Pari-Mutuel</t>
  </si>
  <si>
    <t>Total Fixed Odds</t>
  </si>
  <si>
    <t>Total TAB</t>
  </si>
  <si>
    <t>SPORT</t>
  </si>
  <si>
    <t>Bookmaker</t>
  </si>
  <si>
    <t>TAB Retail</t>
  </si>
  <si>
    <t>Corporate Bookmarkers</t>
  </si>
  <si>
    <t>Bookmarkers</t>
  </si>
  <si>
    <t>Does have some Face to Face which was on the decline</t>
  </si>
  <si>
    <t>Needs to be restated</t>
  </si>
  <si>
    <t>Bookmakers Phone &amp; Internet</t>
  </si>
  <si>
    <t>Bookmaker On Course</t>
  </si>
  <si>
    <t>TAB on Course</t>
  </si>
  <si>
    <t>BOOKMAKER</t>
  </si>
  <si>
    <t>TAB - DIGITAL</t>
  </si>
  <si>
    <t>OLD</t>
  </si>
  <si>
    <t>VC MARGIN</t>
  </si>
  <si>
    <t>TAB RETAIL</t>
  </si>
  <si>
    <t>NEW</t>
  </si>
  <si>
    <t>XX</t>
  </si>
  <si>
    <t>TAB ONLINE</t>
  </si>
  <si>
    <t>OVERSEAS PLAYERS</t>
  </si>
  <si>
    <t>DIFFERANCE PLAYERS</t>
  </si>
  <si>
    <t>Clean up Tabcorp Model</t>
  </si>
  <si>
    <t>Look Through Sacha old Notes</t>
  </si>
  <si>
    <t>Fill out VC margins</t>
  </si>
  <si>
    <t>Get bet365/entain data</t>
  </si>
  <si>
    <t>Look at industry reports</t>
  </si>
  <si>
    <t>Look at Rival Investor Days</t>
  </si>
  <si>
    <t>PoCT</t>
  </si>
  <si>
    <t>Applied to</t>
  </si>
  <si>
    <t>NWR</t>
  </si>
  <si>
    <t>NA</t>
  </si>
  <si>
    <t>Date from</t>
  </si>
  <si>
    <t>Date</t>
  </si>
  <si>
    <t>Operator threshold</t>
  </si>
  <si>
    <t>Racing Industry proceeds</t>
  </si>
  <si>
    <t>Compare all state retail licences</t>
  </si>
  <si>
    <t>Bet365 Australia data</t>
  </si>
  <si>
    <t>Other Income</t>
  </si>
  <si>
    <t>-----</t>
  </si>
  <si>
    <t>Employee Expenses</t>
  </si>
  <si>
    <t>Advertising Expenses</t>
  </si>
  <si>
    <t>Levy Expense</t>
  </si>
  <si>
    <t>Other Opex</t>
  </si>
  <si>
    <t>D&amp;A</t>
  </si>
  <si>
    <t>EBIT</t>
  </si>
  <si>
    <t>Tax</t>
  </si>
  <si>
    <t>NPAT</t>
  </si>
  <si>
    <t>FY COMPS</t>
  </si>
  <si>
    <t>QUARTERLY COMPS</t>
  </si>
  <si>
    <t>TAB - RETAIL</t>
  </si>
  <si>
    <t>Actual</t>
  </si>
  <si>
    <t>Racing Turnover - All States</t>
  </si>
  <si>
    <t>POCT rate</t>
  </si>
  <si>
    <t>POCT tax expense</t>
  </si>
  <si>
    <t>Racing Share of POCT</t>
  </si>
  <si>
    <t>Total Turnover - All States</t>
  </si>
  <si>
    <t>https://www.treasury.nsw.gov.au/sites/default/files/2018-06/NSW%20Point%20of%20Consumption%20Tax%20-%20PoC%20Tax%20Fact%20sheet.pdf</t>
  </si>
  <si>
    <t>Net Yield - Retail</t>
  </si>
  <si>
    <t>Net Yield - Online</t>
  </si>
  <si>
    <t>Total Net Revenue</t>
  </si>
  <si>
    <t>NSW Proportion</t>
  </si>
  <si>
    <t>NSW Turnover</t>
  </si>
  <si>
    <t>TAB REPORTED</t>
  </si>
  <si>
    <t>take off WA</t>
  </si>
  <si>
    <t>TAB REPORTED - RACING</t>
  </si>
  <si>
    <t>TAB REPORTED - SPORT</t>
  </si>
  <si>
    <t>Effective Tax to Racing</t>
  </si>
  <si>
    <t>Tax free threshold</t>
  </si>
  <si>
    <t>Tote</t>
  </si>
  <si>
    <t>Fixed Odds</t>
  </si>
  <si>
    <t>Other</t>
  </si>
  <si>
    <t>https://www.treasury.nsw.gov.au/sites/default/files/2022-07/20220714_review-of-the-point-of-consumption-tax.pdf</t>
  </si>
  <si>
    <t>Rest of Aus</t>
  </si>
  <si>
    <t>POCT &amp; RF</t>
  </si>
  <si>
    <t>Betting Location</t>
  </si>
  <si>
    <t>POCT</t>
  </si>
  <si>
    <t>Race Location</t>
  </si>
  <si>
    <t>RF</t>
  </si>
  <si>
    <t>Tax Free Threshold</t>
  </si>
  <si>
    <t>Tax Tote</t>
  </si>
  <si>
    <t>State Revenues</t>
  </si>
  <si>
    <t>https://www.revenue.nsw.gov.au/taxes-duties-levies-royalties/gaming-wagering-tax/point-of-consumption-tax</t>
  </si>
  <si>
    <t>Link</t>
  </si>
  <si>
    <t>Racing Fees</t>
  </si>
  <si>
    <t>Thoughroughbreads</t>
  </si>
  <si>
    <t>5% online levy</t>
  </si>
  <si>
    <t>https://www.treasury.nsw.gov.au/sites/default/files/2023-06/trp23-15_interstate-comparison-of-taxes_2022-23.pdf</t>
  </si>
  <si>
    <t>Hotel Gaming Devices</t>
  </si>
  <si>
    <t>Lotteries &amp; Lotto</t>
  </si>
  <si>
    <t>Casino</t>
  </si>
  <si>
    <t>TOTAL Gambling</t>
  </si>
  <si>
    <t>17/18</t>
  </si>
  <si>
    <t>Club Gaming Devices</t>
  </si>
  <si>
    <t>22/23</t>
  </si>
  <si>
    <t>Act</t>
  </si>
  <si>
    <t>Forecast</t>
  </si>
  <si>
    <t>Source</t>
  </si>
  <si>
    <t>Year</t>
  </si>
  <si>
    <t>SEGMENTS SPLITS - GAMBLING</t>
  </si>
  <si>
    <t>Other Gambling &amp; Betting</t>
  </si>
  <si>
    <t>Total Gambling</t>
  </si>
  <si>
    <t>TOTAL Taxation</t>
  </si>
  <si>
    <t>TOTAL Revenue</t>
  </si>
  <si>
    <t>SEGMENTS SPLITS - TAXES</t>
  </si>
  <si>
    <t>21/22</t>
  </si>
  <si>
    <t>20/21</t>
  </si>
  <si>
    <t>23/24</t>
  </si>
  <si>
    <t>19/20</t>
  </si>
  <si>
    <t>18/19</t>
  </si>
  <si>
    <t>16/17</t>
  </si>
  <si>
    <t>15/16</t>
  </si>
  <si>
    <t>14/15</t>
  </si>
  <si>
    <t>13/14</t>
  </si>
  <si>
    <t>12/13</t>
  </si>
  <si>
    <t>11/12</t>
  </si>
  <si>
    <t>Net Debt</t>
  </si>
  <si>
    <t>Gross Debt</t>
  </si>
  <si>
    <t>Budget Result</t>
  </si>
  <si>
    <t>Net Debt as a % of GSP</t>
  </si>
  <si>
    <t>Gross Debt as a % of GSP</t>
  </si>
  <si>
    <t>GSP</t>
  </si>
  <si>
    <t>Budget Result as a % of GSP</t>
  </si>
  <si>
    <t>SEGMENTS SPLITS - TOTAL REVENUE</t>
  </si>
  <si>
    <t>10/11</t>
  </si>
  <si>
    <t>09/10</t>
  </si>
  <si>
    <t>01/02</t>
  </si>
  <si>
    <t>02/03</t>
  </si>
  <si>
    <t>03/04</t>
  </si>
  <si>
    <t>04/05</t>
  </si>
  <si>
    <t>05/06</t>
  </si>
  <si>
    <t>06/07</t>
  </si>
  <si>
    <t>07/08</t>
  </si>
  <si>
    <t>08/09</t>
  </si>
  <si>
    <t>https://www.racingnsw.com.au/wp-content/uploads/RNSW-Annual-Report_2023-FINAL.pdf</t>
  </si>
  <si>
    <t>TAB On Course</t>
  </si>
  <si>
    <t>Total Off Course</t>
  </si>
  <si>
    <t>Bookmaker Face to Face</t>
  </si>
  <si>
    <t>Total Bookmakers</t>
  </si>
  <si>
    <t>TOTAL WAGERING</t>
  </si>
  <si>
    <t>NSW THOROUGHBREAD</t>
  </si>
  <si>
    <t>NT THOROUGHBREAD</t>
  </si>
  <si>
    <t>FORM &amp; STATE</t>
  </si>
  <si>
    <t>AUS THOROUGHBREAD</t>
  </si>
  <si>
    <t>NSW GREYHOUND</t>
  </si>
  <si>
    <t>NSW HARNESS</t>
  </si>
  <si>
    <t>NSW SPORT</t>
  </si>
  <si>
    <t>NT HARNESS</t>
  </si>
  <si>
    <t>NT GREYHOUND</t>
  </si>
  <si>
    <t>NT SPORT</t>
  </si>
  <si>
    <t>IAUSernet</t>
  </si>
  <si>
    <t>AUS HARNESS</t>
  </si>
  <si>
    <t>AUS GREYHOUND</t>
  </si>
  <si>
    <t>AUS SPORT</t>
  </si>
  <si>
    <t>-</t>
  </si>
  <si>
    <t>NSW RACING REVENUE</t>
  </si>
  <si>
    <t>NT BOOKMAKERS</t>
  </si>
  <si>
    <t>AUS</t>
  </si>
  <si>
    <t>AUS EX NT BOOKMAKERS</t>
  </si>
  <si>
    <t>Thouroughbread</t>
  </si>
  <si>
    <t>Greyound</t>
  </si>
  <si>
    <t>NSW SPLIT OF AUS EX NT BOOKMAKERS</t>
  </si>
  <si>
    <t>NT BOOKMAKERS ALLOCATED TO NSW</t>
  </si>
  <si>
    <t>NSW + NT BOOKMAKERS ALLOCATED TO NSW</t>
  </si>
  <si>
    <t>NSW RACE FEES</t>
  </si>
  <si>
    <t>NSW RACE FEES AMOUNT - NSW + NT BM ATNSW</t>
  </si>
  <si>
    <t>NSW Racing Revenue</t>
  </si>
  <si>
    <t>Operator Revenue</t>
  </si>
  <si>
    <t>NSW Gov Revenue</t>
  </si>
  <si>
    <t>NSW RACE FEES AMOUNT - NSW Only</t>
  </si>
  <si>
    <t>NSW RACING REVENUE - TAB RETAIL + ON COURSE</t>
  </si>
  <si>
    <t>NSW RACE FEES AMOUNT - NSW TAB RETAIL + ON COURSE</t>
  </si>
  <si>
    <t>TABcorp retail monopoly rights</t>
  </si>
  <si>
    <t>Look at state lottery revenue budgets</t>
  </si>
  <si>
    <t>Read demerger Docs</t>
  </si>
  <si>
    <t>Look at Total Wagering Revenue</t>
  </si>
  <si>
    <t>TAB Revenues</t>
  </si>
  <si>
    <t>Race Fields Revenue</t>
  </si>
  <si>
    <t>Tax Parity Revenue</t>
  </si>
  <si>
    <t>Point of Consumption Tax Grant</t>
  </si>
  <si>
    <t>Product Fee</t>
  </si>
  <si>
    <t>Wagering Incentive Fee</t>
  </si>
  <si>
    <t>NSW TAB Turnover</t>
  </si>
  <si>
    <t>Interstate TAB Turnover</t>
  </si>
  <si>
    <t>Average Turnover per NSW TAB race</t>
  </si>
  <si>
    <t>Corporate Wagering Operators Turnover</t>
  </si>
  <si>
    <t>Average Turnover per Interstate TAB race</t>
  </si>
  <si>
    <t>Average Turnover per Corpotate bookmaker race</t>
  </si>
  <si>
    <t>A$</t>
  </si>
  <si>
    <t>Units</t>
  </si>
  <si>
    <t>REVENUE</t>
  </si>
  <si>
    <t>HARNESS RACING TURNOVER</t>
  </si>
  <si>
    <t>TOTAL REVENUE</t>
  </si>
  <si>
    <t>TOTAL TURNOVER</t>
  </si>
  <si>
    <t>AVERAGE TURNOVER PER RACE</t>
  </si>
  <si>
    <t>Race Field Fees / Turnover</t>
  </si>
  <si>
    <t>Tab Revenue (ex Racefield Fees) / Turnover</t>
  </si>
  <si>
    <t>NSW GREYHOUNDS</t>
  </si>
  <si>
    <t>GREYHOUNDS  TURNOVER</t>
  </si>
  <si>
    <t>TAB Fixed Odds</t>
  </si>
  <si>
    <t>TAB Parimutual</t>
  </si>
  <si>
    <t>Corporates Fixed Odds</t>
  </si>
  <si>
    <t>Corportate Derivatives</t>
  </si>
  <si>
    <t>Race field information use fees</t>
  </si>
  <si>
    <t>TAB distributions</t>
  </si>
  <si>
    <t>Tax Parity</t>
  </si>
  <si>
    <t>Tax Receipts</t>
  </si>
  <si>
    <t>Deferred Revenue Realised</t>
  </si>
  <si>
    <t>Comibined Tab</t>
  </si>
  <si>
    <t>Combined Corporate</t>
  </si>
  <si>
    <t>&lt;&lt; not just race fees (% wagering)</t>
  </si>
  <si>
    <t>Trackside Fee</t>
  </si>
  <si>
    <t>TAB Distributions</t>
  </si>
  <si>
    <t>Other Wagering</t>
  </si>
  <si>
    <t xml:space="preserve">Total Wagering </t>
  </si>
  <si>
    <t>Wagering Revenue</t>
  </si>
  <si>
    <t>Sale of Services</t>
  </si>
  <si>
    <t>TAB Limited is party to a Racing Distribution Agreement, under which it pays to the NSW racing industry a Product Fee of 21.9965% of net wagering revenue, a Wagering Incentive Fee of 25% of wagering earnings, an annual Fixed Product Fee of $12 million indexed to CPI, and certain other fees in respect of particular products.</t>
  </si>
  <si>
    <t>https://www.accc.gov.au/system/files/public-registers/documents/D16%2B25873.pdf</t>
  </si>
  <si>
    <t>NSW THOROUGHBRED</t>
  </si>
  <si>
    <t>THOROUGHBRED RACING TURNOVER</t>
  </si>
  <si>
    <t>Racing NSW recorded a first charge to the NSW Thoroughbred Racing Industry against the TAB distribution of $10.698 million, a modest increase from the previous year ($10.178 million in 2019). This efficiency continues to facilitate increases in funding to NSW Thoroughbred Race Clubs including a 300% increase from $3.073 million to $12.259 million in Capital Expenditure funding.</t>
  </si>
  <si>
    <t>https://www.racingnsw.com.au/wp-content/uploads/RNSW-Annual-Report_2020-2.pdf</t>
  </si>
  <si>
    <t>Racing NSW received 4.11% (2019: 3.88%) of its income via a First Charge on the TAB distributions to the Thoroughbred Racing Industry. This distribution is governed by the NSW Racing Distribution Agreement as entered into by Racingcorp Pty Limited and TAB Limited. Consequently, Racing NSW is economically dependent on TAB Limited.</t>
  </si>
  <si>
    <t>First Charge on the TAB distributions to the Thoroughbred Racing Industry</t>
  </si>
  <si>
    <t>Everest Revenue</t>
  </si>
  <si>
    <t>Race Fields Fees</t>
  </si>
  <si>
    <t>TAB distribution - Prizemoney Subsidies</t>
  </si>
  <si>
    <t>Race Fields Interest</t>
  </si>
  <si>
    <t>Parity Funds/ Championships Grant from NSW Government</t>
  </si>
  <si>
    <t>TAB Turnover</t>
  </si>
  <si>
    <t>https://www.racingnsw.com.au/wp-content/uploads/2014-annual-report.pdf</t>
  </si>
  <si>
    <t>http://racingnswcountry.com.au/wp-content/uploads/2016/09/RacingNSWCountry_Annual-Report_2020_final-PDF-2.pdf</t>
  </si>
  <si>
    <t>Racing NSW Country</t>
  </si>
  <si>
    <t>https://cdn.australianturfclub.com.au/app/uploads/2019/10/2019_WEB_Download_ATC-Annual-Report_2018.pdf</t>
  </si>
  <si>
    <t>Racing Clubs</t>
  </si>
  <si>
    <t>https://www.ifhaonline.org/resources/Annual_Report_2019.pdf</t>
  </si>
  <si>
    <t>Racing vs World</t>
  </si>
  <si>
    <t>COMBINED</t>
  </si>
  <si>
    <t>TAB DISTRIBUTIONS</t>
  </si>
  <si>
    <t>sig items other tax matters is different but has been received. Related to 150m tax deducted. Only costed 105m</t>
  </si>
  <si>
    <t>At 15% POCT gonna be similar EBITDA numbers to VIC</t>
  </si>
  <si>
    <t>getting sued over 400k due to soft market. Don’t read into it.</t>
  </si>
  <si>
    <t>Better off from company perspective if speculative</t>
  </si>
  <si>
    <t>Gov needs to change Act. Primary path is with gov not Racing industry. Greyhounds want reforms</t>
  </si>
  <si>
    <t>Not just peter vlansy but he is a prick</t>
  </si>
  <si>
    <t>New licences are just new terms with incremental value</t>
  </si>
  <si>
    <t>QLD is smaller state by fair whack, RDA particular handbrake on both earnings but also strategy initiatives. Meaningful strategic compenent. Would be similar payment to VIC</t>
  </si>
  <si>
    <t>Geoblocking a whole pub, ACCC would probably not allow, lience to operate betting business in pub is more cash.</t>
  </si>
  <si>
    <t>TAX PARITY</t>
  </si>
  <si>
    <t>TAB DISTRIBUTIONS - Adjusted</t>
  </si>
  <si>
    <t>Proportions</t>
  </si>
  <si>
    <t>Race Field Fees</t>
  </si>
  <si>
    <t>RACE FIELD FEES</t>
  </si>
  <si>
    <t>Tab Revenue (ex Racefield Fees) / Tab Turnover</t>
  </si>
  <si>
    <t>POCT returns to Racing</t>
  </si>
  <si>
    <t>POCT to the Government</t>
  </si>
  <si>
    <t>NSW Gov Revenue - ex POCT</t>
  </si>
  <si>
    <t>1% to racing</t>
  </si>
  <si>
    <t>Look Into</t>
  </si>
  <si>
    <t>https://connectonline.asic.gov.au/RegistrySearch/faces/landing/panelSearch.jspx?searchText=080959495&amp;searchType=OrgAndBusNm&amp;_adf.ctrl-state=javmibtd9_30</t>
  </si>
  <si>
    <t>RacinigCorp ATO</t>
  </si>
  <si>
    <t>https://www.austlii.edu.au/cgi-bin/viewdoc/au/cases/nsw/NSWSC/2023/220.html?context=1;query=entain;mask_path=#fn9</t>
  </si>
  <si>
    <t>Tabcorp vs Entain Racing Case</t>
  </si>
  <si>
    <t>https://www.troa.com.au/news/racing-nsw-wins-both-race-fields-legislation-cases</t>
  </si>
  <si>
    <t>Racing NSW race field fees Case</t>
  </si>
  <si>
    <t>Tax comparison</t>
  </si>
  <si>
    <t>https://www.austlii.edu.au/cgi-bin/viewdoc/au/legis/nsw/consol_act/ta1997167/notes.html</t>
  </si>
  <si>
    <t>1997 NSW Tote Act Notes</t>
  </si>
  <si>
    <t>https://sportsbetting.legal/revenue-tracking/</t>
  </si>
  <si>
    <t>US Sports Betting Revenue</t>
  </si>
  <si>
    <t>https://www.liquorandgaming.nsw.gov.au/operating-a-business/gaming-licences/gaming-licences-permits/sports-wagering-in-nsw</t>
  </si>
  <si>
    <t>NSW Wagering</t>
  </si>
  <si>
    <t>POCT example</t>
  </si>
  <si>
    <t>https://www.treasury.tas.gov.au/liquor-and-gaming/fees/wagering-point-of-consumption-tax</t>
  </si>
  <si>
    <t>Market Share - SB Investor Day</t>
  </si>
  <si>
    <t>Market Share - Annual Reports</t>
  </si>
  <si>
    <t>Market Share - Annual Reports pre Bet Easy</t>
  </si>
  <si>
    <t>https://www.flutter.com/media/pzuc0n0y/flutter-entertainment-plc-annual-report-accounts-2022.pdf</t>
  </si>
  <si>
    <t>https://www.flutter.com/media/dvvn0ith/flutter-entertainment-plc-annual-report-2021.pdf</t>
  </si>
  <si>
    <t>https://www.flutter.com/media/3akfm0gk/annual-report-and-accounts-2020-1.pdf</t>
  </si>
  <si>
    <t>https://www.flutter.com/media/jtzac4uu/2019-annual-report-28-02-20.pdf</t>
  </si>
  <si>
    <t>https://www.flutter.com/media/ebldbz5p/annual-report-and-accounts-2018.pdf</t>
  </si>
  <si>
    <t>https://www.flutter.com/media/otjhgrgn/sb-investor-day-presentation.pdf</t>
  </si>
  <si>
    <t>ID</t>
  </si>
  <si>
    <t>https://www.flutter.com/media/entjjnsy/ppb-r-n-a-2017-180327.pdf</t>
  </si>
  <si>
    <t>CY18</t>
  </si>
  <si>
    <t>CY19</t>
  </si>
  <si>
    <t>CY20</t>
  </si>
  <si>
    <t>CY21</t>
  </si>
  <si>
    <t>CY22</t>
  </si>
  <si>
    <t>CY23</t>
  </si>
  <si>
    <t>CY24</t>
  </si>
  <si>
    <t>CY25</t>
  </si>
  <si>
    <t>Digital Revenue Market Share - Tabcorp</t>
  </si>
  <si>
    <t>Total Revenue Market Share - Tabcorp</t>
  </si>
  <si>
    <t>Market Share - reported</t>
  </si>
  <si>
    <t>Grossed Up Market Size</t>
  </si>
  <si>
    <t>Tabcorp - Retail - per VRI Share</t>
  </si>
  <si>
    <t>Tabcorp - Digital - per VRI Share</t>
  </si>
  <si>
    <t>Digital Revenue Market Share - Tabcorp per VRI</t>
  </si>
  <si>
    <t>Total Revenue Market Share - Tabcorp per VRI</t>
  </si>
  <si>
    <t>Digital Turnover Market Share - Tabcorp</t>
  </si>
  <si>
    <t>Digital Market</t>
  </si>
  <si>
    <t>Other - Balancing</t>
  </si>
  <si>
    <t>Share</t>
  </si>
  <si>
    <t>SportsBet Share - Investor Day</t>
  </si>
  <si>
    <t>SportsBet Share - Annual Reports</t>
  </si>
  <si>
    <t xml:space="preserve">Net Revenue - Tabcorp </t>
  </si>
  <si>
    <t>MARKET SHARE ESTIMATES - NET REVENUE</t>
  </si>
  <si>
    <t xml:space="preserve">MARKET SHARE ESTIMATES - TURNOVER </t>
  </si>
  <si>
    <t>Turnover - Tabcorp</t>
  </si>
  <si>
    <t>Digital Turnover</t>
  </si>
  <si>
    <t>Digital Net Revenue</t>
  </si>
  <si>
    <t>Digital Turnover Market Share - SportsBet</t>
  </si>
  <si>
    <t>Total Market</t>
  </si>
  <si>
    <t>Tabcorp - Total</t>
  </si>
  <si>
    <t>US$m</t>
  </si>
  <si>
    <t>Headcount</t>
  </si>
  <si>
    <t>US</t>
  </si>
  <si>
    <t>UK</t>
  </si>
  <si>
    <t>Combined</t>
  </si>
  <si>
    <t>UK/US</t>
  </si>
  <si>
    <t xml:space="preserve">Average monthly players </t>
  </si>
  <si>
    <t>(‘000s)</t>
  </si>
  <si>
    <t>RACING AUSTRALIA ANNAUL REPORT</t>
  </si>
  <si>
    <t>Land Racing</t>
  </si>
  <si>
    <t>Land Sports</t>
  </si>
  <si>
    <t xml:space="preserve">Online Racing </t>
  </si>
  <si>
    <t>Online Sports</t>
  </si>
  <si>
    <t>Total Sports</t>
  </si>
  <si>
    <t>Total Land</t>
  </si>
  <si>
    <t>Total Online</t>
  </si>
  <si>
    <t>RESPONSIBLE WAGERING AUSTRALIA</t>
  </si>
  <si>
    <t>Grey Market Racing</t>
  </si>
  <si>
    <t>Grey Market Sports</t>
  </si>
  <si>
    <t>Offshore Market</t>
  </si>
  <si>
    <t>Total Wagering</t>
  </si>
  <si>
    <t>https://treasury.nt.gov.au/publications/annual-reports</t>
  </si>
  <si>
    <t>https://industry.nt.gov.au/publications/corporate/annual-reports</t>
  </si>
  <si>
    <t xml:space="preserve">NT Licenced Turnover </t>
  </si>
  <si>
    <t>NT Turnover</t>
  </si>
  <si>
    <t>Total Net Revenue (ex WA retail)</t>
  </si>
  <si>
    <t>AUSTRALIAN GAMBLING STATS</t>
  </si>
  <si>
    <t>SPORTSBET</t>
  </si>
  <si>
    <t>Retail %</t>
  </si>
  <si>
    <t>Digital %</t>
  </si>
  <si>
    <t>Market Size</t>
  </si>
  <si>
    <t>Retail Market</t>
  </si>
  <si>
    <t>Digital market</t>
  </si>
  <si>
    <t>https://www.flutter.com/media/a0rj0ng5/flutter-entertainment-plc-annual-report-and-accounts-2023-10-k_updated.pdf</t>
  </si>
  <si>
    <t>Digital Revenue Market Share - SB Investor Day</t>
  </si>
  <si>
    <t>Digital Revenue Market Share - SB Annual Reports</t>
  </si>
  <si>
    <t>Racing Australia Annual Report</t>
  </si>
  <si>
    <t>Total Market (incl Retail)</t>
  </si>
  <si>
    <t>NT Licenced Turnover</t>
  </si>
  <si>
    <t>Digitlal Market</t>
  </si>
  <si>
    <t>TURNOVER</t>
  </si>
  <si>
    <t>Responsible Wagering Australia</t>
  </si>
  <si>
    <t>Digital Market - SB Annual Reports</t>
  </si>
  <si>
    <t>Australian Gambling Stats - Total Gambling</t>
  </si>
  <si>
    <t>Total Market - SB Annual Reports</t>
  </si>
  <si>
    <t>GST, Point of Consumption Tax, and Product Fee payments to Australian Governments and Racing and Sports Bodies, representing</t>
  </si>
  <si>
    <t>#</t>
  </si>
  <si>
    <t>YoY</t>
  </si>
  <si>
    <t>https://www.bluebetplc.com/_files/ugd/b0ca0f_63bddb44985044d2b2f70a4eeed24e0e.pdf</t>
  </si>
  <si>
    <t>2H17</t>
  </si>
  <si>
    <t>Active Customers (L6M)</t>
  </si>
  <si>
    <t>Pro Forma EBITDA</t>
  </si>
  <si>
    <t>Pro Forma Net Win</t>
  </si>
  <si>
    <t>BetR</t>
  </si>
  <si>
    <t>Net Margin</t>
  </si>
  <si>
    <t>FX</t>
  </si>
  <si>
    <t>AUD/USD</t>
  </si>
  <si>
    <t>AUD/GBP</t>
  </si>
  <si>
    <t>QoQ</t>
  </si>
  <si>
    <t>Q1</t>
  </si>
  <si>
    <t>Q2</t>
  </si>
  <si>
    <t>Q3</t>
  </si>
  <si>
    <t>Q4</t>
  </si>
  <si>
    <t>Ladbrokes</t>
  </si>
  <si>
    <t>Neds</t>
  </si>
  <si>
    <t>Tabcorp</t>
  </si>
  <si>
    <t>Dabble</t>
  </si>
  <si>
    <t>X (Twitter)</t>
  </si>
  <si>
    <t>Facebook</t>
  </si>
  <si>
    <t>Instagram</t>
  </si>
  <si>
    <t>TikTok</t>
  </si>
  <si>
    <t>RaceNet</t>
  </si>
  <si>
    <t>SkyRacing</t>
  </si>
  <si>
    <t>Racing.Com</t>
  </si>
  <si>
    <t>Punters+</t>
  </si>
  <si>
    <t>*</t>
  </si>
  <si>
    <t>Ladbrokes.com.au</t>
  </si>
  <si>
    <t>Dabble Fantasy</t>
  </si>
  <si>
    <t>Youtube</t>
  </si>
  <si>
    <t>ladbrokes has AU and global</t>
  </si>
  <si>
    <t>lots of bots</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</si>
  <si>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</si>
  <si>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</si>
  <si>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</si>
  <si>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</si>
  <si>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</si>
  <si>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</si>
  <si>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</si>
  <si>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</si>
  <si>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</si>
  <si>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</si>
  <si>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</si>
  <si>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</si>
  <si>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</si>
  <si>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</si>
  <si>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</si>
  <si>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</si>
  <si>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</si>
  <si>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</si>
  <si>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</si>
  <si>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</si>
  <si>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</si>
  <si>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</si>
  <si>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</si>
  <si>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</si>
  <si>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</si>
  <si>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</si>
  <si>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Minor Gaming</t>
  </si>
  <si>
    <t>Lotteries</t>
  </si>
  <si>
    <t>Keno</t>
  </si>
  <si>
    <t>Wagering</t>
  </si>
  <si>
    <t>Gaming Machine</t>
  </si>
  <si>
    <t>Interactive Gaming</t>
  </si>
  <si>
    <t>PER</t>
  </si>
  <si>
    <t>CAPITA</t>
  </si>
  <si>
    <t>GAMBLING</t>
  </si>
  <si>
    <t>EXPENDITURE</t>
  </si>
  <si>
    <t>ex-Wagering</t>
  </si>
  <si>
    <t>PER ADULT</t>
  </si>
  <si>
    <t>FY96</t>
  </si>
  <si>
    <t>FY97</t>
  </si>
  <si>
    <t>FY98</t>
  </si>
  <si>
    <t>FY99</t>
  </si>
  <si>
    <t>Gaming Machines</t>
  </si>
  <si>
    <t>1H24A</t>
  </si>
  <si>
    <t>BlueBet/BetR</t>
  </si>
  <si>
    <t>BlueBet/BetR
ProForma</t>
  </si>
  <si>
    <t>Tabcorp Total</t>
  </si>
  <si>
    <t>Reported Net Win</t>
  </si>
  <si>
    <t>BetR - Reported</t>
  </si>
  <si>
    <t>BetR - ProForma</t>
  </si>
  <si>
    <t>BlueBet
Proforma</t>
  </si>
  <si>
    <t>Reported EBITDA</t>
  </si>
  <si>
    <t>active</t>
  </si>
  <si>
    <t>inactive</t>
  </si>
  <si>
    <t>open accounts</t>
  </si>
  <si>
    <t>CPI</t>
  </si>
  <si>
    <t>Level Playing Field</t>
  </si>
  <si>
    <t>Tax base: Inclusion of free or bonus bets in net wagering revenue?</t>
  </si>
  <si>
    <t>N/A</t>
  </si>
  <si>
    <t>(until 30 June 2024;</t>
  </si>
  <si>
    <t>15% as from 1 July 2024)</t>
  </si>
  <si>
    <t>Included</t>
  </si>
  <si>
    <t>Excluded</t>
  </si>
  <si>
    <t>https://www.revenue.act.gov.au/betting-operations-tax#:~:text=As%20of%201%20July%202023,of%20the%20tax%20was%2020%25.</t>
  </si>
  <si>
    <t>Latest Change</t>
  </si>
  <si>
    <t>Notes</t>
  </si>
  <si>
    <t>Wagering Bodies pay Licencing Fees instead</t>
  </si>
  <si>
    <t>https://qro.qld.gov.au/betting-tax/rate-threshold/</t>
  </si>
  <si>
    <t>Yes</t>
  </si>
  <si>
    <t>https://www.revenuesa.sa.gov.au/betting-operations-tax</t>
  </si>
  <si>
    <t>https://www.racenet.com.au/news/act-government-continues-to-take-from-local-racing-industry-20230725</t>
  </si>
  <si>
    <t>Racing Industry Flow</t>
  </si>
  <si>
    <t>https://www.smh.com.au/national/nsw/unfathomable-the-new-tax-fuelling-racing-s-growing-power-20231201-p5eodq.html</t>
  </si>
  <si>
    <t>No</t>
  </si>
  <si>
    <t>https://www.premier.tas.gov.au/releases/point_of_consumption_tax2</t>
  </si>
  <si>
    <t>https://www.sro.vic.gov.au/wagering-and-betting-tax</t>
  </si>
  <si>
    <t>https://www.premier.vic.gov.au/supporting-victorias-racing-industry</t>
  </si>
  <si>
    <t>https://www.wa.gov.au/government/publications/betting-tax</t>
  </si>
  <si>
    <t>10% POCT until Jul-24,
35% Racing Split</t>
  </si>
  <si>
    <t>From 1 July 2024</t>
  </si>
  <si>
    <t>In discussions for a review</t>
  </si>
  <si>
    <t>State or Territory</t>
  </si>
  <si>
    <t>Note: In the NT, wagering bodies pay licencing fees instead of POCT</t>
  </si>
  <si>
    <t>Affiliates</t>
  </si>
  <si>
    <t>Social Media</t>
  </si>
  <si>
    <t>Racing Channels</t>
  </si>
  <si>
    <t>Sponsorships</t>
  </si>
  <si>
    <t>Entain</t>
  </si>
  <si>
    <t>Smaller Players</t>
  </si>
  <si>
    <t>Monopoly</t>
  </si>
  <si>
    <t>Group Betting</t>
  </si>
  <si>
    <t>Heavy</t>
  </si>
  <si>
    <t>Moderate</t>
  </si>
  <si>
    <t>Light</t>
  </si>
  <si>
    <t>None/Minimal</t>
  </si>
  <si>
    <t>Channel</t>
  </si>
  <si>
    <t>TV, Radio</t>
  </si>
  <si>
    <t>Existing Scale</t>
  </si>
  <si>
    <t>Under Review</t>
  </si>
  <si>
    <t>Alternatives</t>
  </si>
  <si>
    <t>Sporting Code Integration</t>
  </si>
  <si>
    <t>https://h2gc.com/site/assets/News%20Stories/IBIA-Report-2024_FINAL-TEXT_SINGLE_AW.pdf</t>
  </si>
  <si>
    <t>Technology, research and development expenses</t>
  </si>
  <si>
    <t>Sales &amp; marketing expenses</t>
  </si>
  <si>
    <t>General and administrative expenses</t>
  </si>
  <si>
    <t>Margin</t>
  </si>
  <si>
    <t>Average Monthly Players</t>
  </si>
  <si>
    <t>Active Customers</t>
  </si>
  <si>
    <t>Marketing as a % of Net Win</t>
  </si>
  <si>
    <t xml:space="preserve">Wagering </t>
  </si>
  <si>
    <t>24/25</t>
  </si>
  <si>
    <t>25/26</t>
  </si>
  <si>
    <t>Over the forward estimates, sustained growth in lotteries revenue is expected be largely offset by a decline in EGM revenue as gambling harm minimisation measures take effect in hotels and clubs.</t>
  </si>
  <si>
    <t>https://s3.ap-southeast-2.amazonaws.com/vicbudgetfiles2026.27vicbudget/2026-27+State+Budget+-+Statement+of+Finances.pdf</t>
  </si>
  <si>
    <t>Growth</t>
  </si>
  <si>
    <t>ASIC</t>
  </si>
  <si>
    <t>Cost of Sales</t>
  </si>
  <si>
    <t>Asia Pacific</t>
  </si>
  <si>
    <t>Revenue by region</t>
  </si>
  <si>
    <t>Q1 2026</t>
  </si>
  <si>
    <t>FY 2025</t>
  </si>
  <si>
    <t>Q4 2025</t>
  </si>
  <si>
    <t>Q3 2025</t>
  </si>
  <si>
    <t>Q2 2025</t>
  </si>
  <si>
    <t>Q1 2025</t>
  </si>
  <si>
    <t>FY 2024</t>
  </si>
  <si>
    <t>Q4 2024</t>
  </si>
  <si>
    <t>Q3 2024</t>
  </si>
  <si>
    <t>Q2 2024</t>
  </si>
  <si>
    <t>Q1 2024</t>
  </si>
  <si>
    <t>FY 2023</t>
  </si>
  <si>
    <t>Q4 2023</t>
  </si>
  <si>
    <t>Q3 2023</t>
  </si>
  <si>
    <t>Q2 2023</t>
  </si>
  <si>
    <t>Q1 2023</t>
  </si>
  <si>
    <t>FY 2022</t>
  </si>
  <si>
    <t>Q4 2022</t>
  </si>
  <si>
    <t>Q3 2022</t>
  </si>
  <si>
    <t>Q2 2022</t>
  </si>
  <si>
    <t>Q1 2022</t>
  </si>
  <si>
    <t>FY 2021</t>
  </si>
  <si>
    <t>Q4 2021</t>
  </si>
  <si>
    <t>Q3 2021</t>
  </si>
  <si>
    <t>Q2 2021</t>
  </si>
  <si>
    <t>Q1 2021</t>
  </si>
  <si>
    <r>
      <t>$m</t>
    </r>
    <r>
      <rPr>
        <b/>
        <sz val="9"/>
        <color theme="0"/>
        <rFont val="Poppins"/>
      </rPr>
      <t xml:space="preserve"> (except AMPS and %)</t>
    </r>
  </si>
  <si>
    <t>International - revenue and Adjusted EBITDA US GAAP</t>
  </si>
  <si>
    <r>
      <t>Additional information: Segment operating expenses</t>
    </r>
    <r>
      <rPr>
        <b/>
        <vertAlign val="superscript"/>
        <sz val="11"/>
        <color theme="1"/>
        <rFont val="Poppins"/>
      </rPr>
      <t>2</t>
    </r>
  </si>
  <si>
    <r>
      <t>Adjusted EBITDA margin</t>
    </r>
    <r>
      <rPr>
        <b/>
        <vertAlign val="superscript"/>
        <sz val="11"/>
        <color theme="1"/>
        <rFont val="Poppins"/>
      </rPr>
      <t>1,2</t>
    </r>
  </si>
  <si>
    <r>
      <t>Adjusted EBITDA</t>
    </r>
    <r>
      <rPr>
        <b/>
        <vertAlign val="superscript"/>
        <sz val="11"/>
        <color theme="1"/>
        <rFont val="Poppins"/>
      </rPr>
      <t>1,2</t>
    </r>
  </si>
  <si>
    <t>Sportsbook</t>
  </si>
  <si>
    <t>Average monthly players ('000s)</t>
  </si>
  <si>
    <t>Australia - revenue and Adjusted EBITDA US GAAP</t>
  </si>
  <si>
    <t>-52m rev, -62m EBITDA</t>
  </si>
  <si>
    <t>SPORTSBET FY</t>
  </si>
  <si>
    <t>Statutory EBITDA</t>
  </si>
  <si>
    <t>Advertising &amp; Marketing Expenses</t>
  </si>
  <si>
    <t>Depreciation &amp; Ammortisation Expense</t>
  </si>
  <si>
    <t>Results from Operating Activities</t>
  </si>
  <si>
    <t>point</t>
  </si>
  <si>
    <t>VicTAB joint venture distributions</t>
  </si>
  <si>
    <t>Race fields fees</t>
  </si>
  <si>
    <t>PoCT distribution</t>
  </si>
  <si>
    <t>Government Funding and Distributions</t>
  </si>
  <si>
    <t>Media Revenue</t>
  </si>
  <si>
    <t>Total Turnover</t>
  </si>
  <si>
    <t>Free Bet Turnover</t>
  </si>
  <si>
    <t>Total Revenue</t>
  </si>
  <si>
    <t>A$ 000's</t>
  </si>
  <si>
    <t>Parimutuel Turnover - Total Meetings</t>
  </si>
  <si>
    <t>Non Parimutuel Turnover - Total Meetings</t>
  </si>
  <si>
    <t>Total Turnover - Total Meetings</t>
  </si>
  <si>
    <t>LEGEND &amp; SOURCE NOTES</t>
  </si>
  <si>
    <t>Blue figures</t>
  </si>
  <si>
    <t>sourced primary input (audited RV Annual Report financial statements / wagering statistics).</t>
  </si>
  <si>
    <t>Black figures</t>
  </si>
  <si>
    <t>formula (Wagering Revenue FY23–FY25 = rows 5+6; Government Funding FY22–FY25 = rows 9+10).</t>
  </si>
  <si>
    <t>Yellow fill</t>
  </si>
  <si>
    <t>lower-confidence input to verify (chart/narrative-derived; $bn or $m chart-label precision rather than audited line item).</t>
  </si>
  <si>
    <t>Restatement rule:</t>
  </si>
  <si>
    <t>each year taken from the most recent report that contains it (FYn from the AR(n+1) prior-year column; FY25 from AR2025). Key restatements applied:</t>
  </si>
  <si>
    <t>• FY18 Race fields 168,130 → 171,778 (AR2019, audit recoveries reallocated to correct periods).</t>
  </si>
  <si>
    <t>• FY23 VicTAB JV 122,644 → 128,577 (AR2024 folds JV international returns into the JV line – reclassification, not an economic restatement).</t>
  </si>
  <si>
    <t>• FY22 Government Funding broken out at 95,760 (AR2023); prior periods reported government funding within Other revenue.</t>
  </si>
  <si>
    <t>Structural flags:</t>
  </si>
  <si>
    <t>1. Wagering Revenue (row 7): FY15–FY22 reported subtotal = VicTAB JV + JV international line + Race fields. The international line has no template row, so rows 5+6 understate row 7 (see cell comments for the annual amount). FY23–FY25 the international line is folded into the JV line, so row 7 = rows 5+6 (formula).</t>
  </si>
  <si>
    <t>2. Government Funding (row 11): separately disclosed from FY22 only. PoCT (row 9, from FY19) was reported within Other revenue in FY19–FY21, so rows 10/11 are blank those years.</t>
  </si>
  <si>
    <t>3. Total Revenue (row 14): does NOT foot to rows 7+11+13 – RV’s income statement carries a fourth category, Other revenue, with no template row (FY25 19,308; FY24 23,410; FY23 24,653). Composition shifts over time (government funding in/out of Other; investment income classification). FY15–FY16 use the pre-FY17 single-line “Revenue from operations” presentation – limited comparability across the FY16/FY17 break. Hardcoded reported figures, not a formula.</t>
  </si>
  <si>
    <t>4. Turnover split (rows 17/18): pari-mutuel vs fixed-odds $ split tabulated from FY21 only. FY15–FY20 only the total (row 19) is available, from charts/narrative in $bn precision.</t>
  </si>
  <si>
    <t>5. Total Turnover (row 19): hardcoded reported totals (a published total row in RV wagering statistics). For FY21–FY25 the rows 17+18 component sum reconciles to the reported total within source rounding (FY23 and FY25 differ by 10 and 100 respectively – see comments).</t>
  </si>
  <si>
    <t>6. Free Bet Turnover (row 21): series begins FY20; chart-label sourced.</t>
  </si>
  <si>
    <t>Tabcorp readthrough:</t>
  </si>
  <si>
    <t>VicTAB joint venture with Tabcorp ceased 15 Aug 2024 (expiry of the previous Victorian wagering licence). FY25 VicTAB JV distributions fall to 11,310 (FY24: 119,713); race fields fees become the dominant wagering revenue source under the new funding model.</t>
  </si>
  <si>
    <t>Units: all rows AUD ’000. Turnover/free-bet figures reported in A$m have been scaled ×1,000. FY26–FY30 columns left blank (future periods).</t>
  </si>
  <si>
    <t>Source set: RV Annual Reports FY2016–FY2025 (audited consolidated financial statements and wagering statistics). Figures reflect primary-source statements only.</t>
  </si>
  <si>
    <t>Corporate Bookmakers</t>
  </si>
  <si>
    <t>Interstate TABs</t>
  </si>
  <si>
    <t>VicTAB</t>
  </si>
  <si>
    <t>Racefields Income</t>
  </si>
  <si>
    <t>Point of Consumption Tax</t>
  </si>
  <si>
    <t>Government VRI Funding</t>
  </si>
  <si>
    <t>Tabcorp Joint Venture Distribution</t>
  </si>
  <si>
    <t>sourced primary input (GRV audited Annual Report financial statements / five-year financial summary / wagering statistics).</t>
  </si>
  <si>
    <t>formula (Total Revenue = sum of rows 5–9; Total Turnover = sum of rows 13–15).</t>
  </si>
  <si>
    <t>lower-confidence input read from stacked-bar chart data labels (whole A$m), reconciled to reported totals.</t>
  </si>
  <si>
    <t>Units &amp; vintage:</t>
  </si>
  <si>
    <t>all rows A$m (revenue 1dp; turnover whole A$m). Each year taken from the most recent report containing it (restatement rule). FY26–FY30 left blank (future).</t>
  </si>
  <si>
    <t>Revenue structural flags:</t>
  </si>
  <si>
    <t>1. Source: GRV’s audited income statement lumps revenue into 3 lines for FY20–FY22 (TABCORP Income = JV + Vision Rights; Racefields; Income from other sources = PoCT + interest + other). The template’s granular split is taken from GRV’s five-year financial summary, which uses these exact categories; totals reconcile to the audited statements (cited in row-10 comments).</t>
  </si>
  <si>
    <t>2. Tabcorp JV (row 8): FY15–FY18 = GRV’s bundled “Tabcorp Income” (JV + International &amp; Domestic / Vision Rights) – no JV/Vision split was published before FY19, so Vision is in row 8 (not row 9) for those years. FY19–FY25 are JV-only, with Vision Rights moved into row 9 Other.</t>
  </si>
  <si>
    <t>3. PoCT (row 6): Vic PoCT commenced 1 Jan 2019 (10%; 15% from 1 Jul 2024). Separately disclosed in GRV’s five-year summary from FY21 only; FY19–FY20 PoCT is included within row 9 Other; nil FY15–FY18.</t>
  </si>
  <si>
    <t>4. Government VRI Funding (row 7): FY25 only (A$14.2m) – the new 3-code VRI funding agreement that replaced the VICTAB JV from 16 Aug 2024. Blank FY15–FY24.</t>
  </si>
  <si>
    <t>5. Total Revenue (row 10): formula = rows 5–9, footing to GRV’s five-year-table total and reconciling to the audited total (cited per year). FY18 sums to 98.9 vs reported 98.8, and FY21 to 132.2 vs audited 132.1 – 0.1 rounding in GRV’s own disclosures.</t>
  </si>
  <si>
    <t>Turnover structural flags:</t>
  </si>
  <si>
    <t>6. Channel splits (rows 13–15) are GRV’s domestic wagering turnover on Victorian greyhound racing. FY15–FY18 from text tables; FY19–FY25 read from stacked-bar chart data labels (whole A$m, yellow). FY24 is slightly restated in AR2025 (Corporate Bookmakers 2,160 vs 2,156; total 2,986 vs 2,982).</t>
  </si>
  <si>
    <t>7. Total Turnover (row 16): formula = rows 13–15. FY15–FY17 component sums differ from GRV’s reported total by 1 (rounding). Precise reported totals (e.g. FY25 3,017.61; FY22 3,693.61) are in the row-16 comments.</t>
  </si>
  <si>
    <t>The VICTAB Joint Venture with Tabcorp concluded 15 Aug 2024 and Tabcorp was awarded a new exclusive 20-year Victorian wagering licence from 16 Aug 2024. FY25 Tabcorp JV distribution collapses to A$2.8m (FY24: 31.7), replaced by Government VRI Funding (14.2) plus GRV’s 50% share of a larger PoCT base (rate 10%→15%), for a net +A$1.8m wagering revenue effect.</t>
  </si>
  <si>
    <t>Source set: GRV Annual Reports FY2013–FY2025 (audited statements, five-year financial summaries, wagering statistics). Primary-source figures only.</t>
  </si>
  <si>
    <t>Greyhounds</t>
  </si>
  <si>
    <t>Race Field Fees Revenue</t>
  </si>
  <si>
    <t>Queensland Product Rebate</t>
  </si>
  <si>
    <t>Betting Tax Contributions</t>
  </si>
  <si>
    <t>sourced primary input.</t>
  </si>
  <si>
    <t>formula (Total rows 8 &amp; 20 = sum of codes; row 13 Other = Total − rows 10–12; both Total rows are independent measures – see note 2).</t>
  </si>
  <si>
    <t>read from RQ performance charts (PDF p.13) – lower confidence. By-code revenue is $m (1dp); by-code turnover is ~A$0.1bn granularity.</t>
  </si>
  <si>
    <t>all rows A$m (revenue 1dp; turnover whole A$m – turnover chart is A$bn x1000). Each year uses the most recent report presenting it (restatement rule). FY26–FY30 blank (future).</t>
  </si>
  <si>
    <t>Source set: Racing Queensland Annual Reports FY2016–FY2025 (audited financial statements + notes, and the published “Our Performance” by-code charts). No FY15 report exists and the FY16 report does not present usable FY15 comparatives, so the FY15 column is left blank.</t>
  </si>
  <si>
    <t>1. RQ is the single control body for all three Queensland codes (thoroughbred, greyhound, harness).</t>
  </si>
  <si>
    <t>2. Two revenue views do NOT reconcile to each other. By code (rows 5–8) = RQ’s “TOTAL QLD PRODUCT REVENUE BY CODE” (direct product revenue + estimated betting tax by code; FY25 ~149.5). By type (rows 10–14) = the statutory P&amp;L (Total Revenue FY25 460.4, which also includes grants, media rights, sponsored prize money, racing fees, etc.). They are different measures.</t>
  </si>
  <si>
    <t>3. FY25 chart error: RQ’s “Total Qld Product Revenue by Code” chart prints a FY25 total of 158.5, but its three segments (and the code-report key data, 101.4/32.6/14.4) sum to ~149.5. Row 8 uses the segment sum. More broadly, because chart segments are each rounded (revenue to 0.1, turnover to A$0.1bn), the by-code totals (rows 8 &amp; 20) can differ from RQ’s printed chart totals by ~0.1 in some years (e.g. turnover FY16/FY19/FY22/FY23).</t>
  </si>
  <si>
    <t>4. Wagering-revenue model break: pre-FY19 used a product-fee (UBET/Tatts) model; race field fees (row 10) shown from FY19. FY19–FY23 wagering revenue still carried legacy QTAB Product Fee / Fixed Fee / MPO Top-Up and deductions – these net into row 13 Other, so Other for FY16–FY23 is large and not comparable to FY24–FY25.</t>
  </si>
  <si>
    <t>5. Betting Tax Contributions (row 12): Qld POC betting tax commenced 1 Oct 2018, but the racing-industry “Betting Tax Contributions” share is separately disclosed only from FY22 (Part 6A Betting Tax Act amendment). Pre-FY22, POC-tax support came via “POC Tax Compensation” + Industry Viability / Country Racing programs (in row 13 Other).</t>
  </si>
  <si>
    <t>6. Betting-tax restatements: FY24 betting tax restated down to 235,826 (from 250,822) per AR2025 note 1(f); AR2025 also restates FY23 Total Revenue up ~38,022 to ~526,158 (recognition timing). FY23 (row 14, 488.3) is the AR2024 basis and is presentation-sensitive. FY18 Total Revenue is the AR2018 figure; AR2019 re-presents FY18 as 216,987.</t>
  </si>
  <si>
    <t>7. Queensland Product Rebate (row 11) is a negative (rebate paid to Qld-licensed operators, netted in wagering revenue), disclosed from FY20.</t>
  </si>
  <si>
    <t>8. RQ controlled a subsidiary until FY24 (Loss on Disposal of Subsidiary A$33.0m in FY24); some prior statements show consolidated vs parent columns – consolidated / RQ Board figures used.</t>
  </si>
  <si>
    <t>FY25 Queensland wagering turnover fell 9.3% to A$5.6bn and RQ’s share of total Australian wagering declined from 17.4% to 16.6% (thoroughbred turnover -10.6%, greyhound -4.5%, harness -12.1%) – a soft Qld wagering backdrop relevant to TAH readthrough. The NSW Thoroughbred Racing Act review is a separate track.</t>
  </si>
  <si>
    <t>Charts read from rendered PDF p.13; by-code turnover is at ~A$0.1bn granularity – verify against RQ’s underlying wagering statistics if exact figures are required.</t>
  </si>
  <si>
    <t>% of Turnover</t>
  </si>
  <si>
    <t xml:space="preserve">RDA with NSW. Signed in late 90's gov never seen until around a month ago. Is very complex. </t>
  </si>
  <si>
    <t>NSW POCT Revenue</t>
  </si>
  <si>
    <t>&gt;&gt;DOESN’T ADD UP</t>
  </si>
  <si>
    <t>Race Field Fees %</t>
  </si>
  <si>
    <t>GAMBLING EXPENDITURE AS A PERCENTAGE OF HOUSEHOLD DISPOSABLE INCOME</t>
  </si>
  <si>
    <t>2021–22</t>
  </si>
  <si>
    <t>2022–23</t>
  </si>
  <si>
    <t>2023–24</t>
  </si>
  <si>
    <t>PER CAPITA GAMBLING TURNOVER</t>
  </si>
  <si>
    <t>Total Gambling Expenditure</t>
  </si>
  <si>
    <t>Real Gambling Expenditure</t>
  </si>
  <si>
    <t>2024–25</t>
  </si>
  <si>
    <t>2025–26</t>
  </si>
  <si>
    <t>Crown</t>
  </si>
  <si>
    <t>Star</t>
  </si>
  <si>
    <t>Sky Adel</t>
  </si>
  <si>
    <t>Total revenue incl non gaming*</t>
  </si>
  <si>
    <t>FY19-FY21 and FY24 are unchanged between their own filing and the following year's comparative. FY25 income-statement values read from the source PDF (text layer corrupted); all figures tie to the Form 388 cover and the face of the statement.</t>
  </si>
  <si>
    <t>Gross Profit = Revenue + Cost of Sales. Other Opex = Results from Operating Activities - Gross Profit - A&amp;M - D&amp;A (residual, net of Other Income). EBITDA (statutory) = Results from Operating Activities + D&amp;A.</t>
  </si>
  <si>
    <t>Source: Paddy Power Australia Pty Limited (Sportsbet) - ASIC Form 388 financial statements, FY19-FY25. LATEST reported basis: where a later filing restated a comparative, the restated value is used (FY23 revenue/results; FY22 A&amp;M/D&amp;A). FY18 from the FY19 report comparative; FY25 from its own report.</t>
  </si>
  <si>
    <t>All figures A$'000 unless labelled (%). Negatives in brackets. Blue = hardcoded inputs from the filings; black = formulas.</t>
  </si>
  <si>
    <t xml:space="preserve">  Revenue growth (% YoY)</t>
  </si>
  <si>
    <t xml:space="preserve">  EBITDA margin (%)</t>
  </si>
  <si>
    <t>EBITDA (statutory)</t>
  </si>
  <si>
    <t>Prepared for internal E&amp;P research use. Reconstructed from the source filings; if the original workbook template is provided it can be transposed into that exact layout.</t>
  </si>
  <si>
    <t>EBITDA is not a disclosed measure (these are plain IFRS statements with no adjusted metrics); the bridge above is built by E&amp;P. The 'underlying' line adds back impairment and the FY25 AUSTRAC provision only — it does not normalise for the TAB NZ consideration interest or other items, and is not comparable to an Entain plc group figure.</t>
  </si>
  <si>
    <t>Restatements / reclassifications (each nil impact on loss before tax): FY24 — ~A$14.7m moved from overseas racing revenue into Net changes in fair value in the FY25 report. FY20 — the FY21 report moved ~A$13.2m into cost of sales and separated finance costs out of operating expenses. FY18–FY19 finance costs were not separated and remain within Operating expenses (and within the EBITDA-bridge add-back).</t>
  </si>
  <si>
    <t>Build logic: Net gaming revenue (total) = Australia + New Zealand. Other revenue = Total revenue − Net gaming revenue. Total cost of sales = sum of the four cost lines. Gross profit = Total revenue − Total cost of sales. Other operating expenses = Total operating expenses − Marketing − D&amp;A. Loss before income tax = Gross profit − Total operating expenses − Finance expenses + Net changes in fair value. The check row ties the built loss-before-tax to the figure reported on the face of each filing (nil difference every year).</t>
  </si>
  <si>
    <t>Source: LB Australia Holdings Pty Ltd (Entain's Australian entity; brands Ladbrokes &amp; Neds; ultimate parent Entain plc) — ASIC financial statements for the years ended 31 December (FY19–FY25 filings). Latest-reported basis: where a later filing restated or reclassified a comparative, the later figures are used. FY18 is taken from the FY19 report comparative.</t>
  </si>
  <si>
    <t>All figures A$'000 unless stated. Negatives in brackets; nil / not-applicable shown as "-"; a blank cell = the item was not disclosed as a separate line that year. Blue text = hardcoded inputs from the filings; black text = formulas.</t>
  </si>
  <si>
    <t>Marketing % of net gaming revenue</t>
  </si>
  <si>
    <t>POC taxes % of net gaming revenue</t>
  </si>
  <si>
    <t>Product fees % of net gaming revenue</t>
  </si>
  <si>
    <t>Cost of sales % of total revenue</t>
  </si>
  <si>
    <t>NZ % of total net gaming</t>
  </si>
  <si>
    <t>New Zealand net gaming growth %</t>
  </si>
  <si>
    <t>Australia net gaming growth %</t>
  </si>
  <si>
    <t>Net gaming revenue growth %</t>
  </si>
  <si>
    <t>MEMO — RATIOS &amp; TRENDS</t>
  </si>
  <si>
    <t>Underlying EBITDA margin %</t>
  </si>
  <si>
    <t>Underlying EBITDA</t>
  </si>
  <si>
    <t>add: AUSTRAC legal-dispute provision</t>
  </si>
  <si>
    <t>add: Impairment</t>
  </si>
  <si>
    <t>less: Net changes in fair value (gain)</t>
  </si>
  <si>
    <t>add: Depreciation &amp; amortisation</t>
  </si>
  <si>
    <t>add: Finance expenses (incl. amounts within opex, FY18–19)</t>
  </si>
  <si>
    <t>Loss before income tax</t>
  </si>
  <si>
    <t>MEMO — EBITDA BRIDGE</t>
  </si>
  <si>
    <t>Check (nil = ties to filing)</t>
  </si>
  <si>
    <t>Reported loss before income tax</t>
  </si>
  <si>
    <t>Net changes in fair value</t>
  </si>
  <si>
    <t>Finance expenses</t>
  </si>
  <si>
    <t>Total operating expenses</t>
  </si>
  <si>
    <t>Other operating expenses</t>
  </si>
  <si>
    <t>Depreciation &amp; amortisation</t>
  </si>
  <si>
    <t>Marketing costs</t>
  </si>
  <si>
    <t>OPERATING EXPENSES</t>
  </si>
  <si>
    <t>Gross margin %</t>
  </si>
  <si>
    <t>Total cost of sales</t>
  </si>
  <si>
    <t>Other cost of sales</t>
  </si>
  <si>
    <t>Point of consumption taxes</t>
  </si>
  <si>
    <t>Product fees</t>
  </si>
  <si>
    <t>Licence fees</t>
  </si>
  <si>
    <t>COST OF SALES</t>
  </si>
  <si>
    <t>Other revenue</t>
  </si>
  <si>
    <t>Net gaming revenue — total</t>
  </si>
  <si>
    <t>Net gaming revenue — New Zealand</t>
  </si>
  <si>
    <t>Net gaming revenue — Australia</t>
  </si>
  <si>
    <t>All figures A$'000 unless stated  ·  year ended 31 December  ·  latest-reported basis (restated comparatives used where applicable)</t>
  </si>
  <si>
    <t>Consolidated statement of profit or loss  ·  ABN 96 165 597 482  ·  Ladbrokes / Neds  ·  ultimate parent Entain plc</t>
  </si>
  <si>
    <t>LB Australia Holdings Pty Ltd — Entain Australia / New Zealand</t>
  </si>
  <si>
    <t>Revenue is net betting revenue (net win after payouts, net of GST); turnover / amounts wagered is not disclosed. There is no sport-vs-racing revenue split and no active-customer count in these accounts.</t>
  </si>
  <si>
    <t>'Allocation of group costs' is an intercompany transfer-pricing recharge and swings materially year to year (a A$24.7m charge in FY20 vs a A$1.1m credit in FY23); the 'EBITDA before group-cost allocation' line removes it to show the underlying Australian operating result.</t>
  </si>
  <si>
    <t>Race-field / product fees and point-of-consumption taxes are NOT separately disclosed — they sit inside the single 'Government taxes &amp; levies' line (labelled 'Levy expense' in the FY19 filing). The memo ratio 'Government taxes &amp; levies % of revenue' is the best available proxy for the combined statutory tax + levy + race-field-fee burden.</t>
  </si>
  <si>
    <t>Extraction: FY20-FY24 statement pages are text-readable. FY25, FY20 and FY19 statement pages are scanned images and were read via OCR / direct image inspection; FY25 was validated line-by-line against its FY24 comparative (an exact match to the FY24 filing), and FY18/FY19 were read directly from the rendered FY19/FY20 pages.</t>
  </si>
  <si>
    <t>Source: Hillside (Australia New Media) Pty Ltd (ABN 75 148 920 665), the Australian bet365 operating entity (ultimate parent bet365 Group Ltd, UK) — ASIC financial statements, ~52/53-week periods ending late March, FY19-FY25 filings. Each filing carries the current year plus the prior-year comparative; 'latest reported basis' uses the most recently reported figure for each year (so FY19 is on the FY20-filing AASB 16-restated basis).</t>
  </si>
  <si>
    <t>All figures A$'000 unless stated. Revenues shown positive; expenses shown negative (in brackets) to mirror the filing; nil / not-presented shown as "-"; a blank cell = the item was not presented as a separate line that year. Blue text = hardcoded inputs from the filings; black text = formulas.</t>
  </si>
  <si>
    <t>PBT margin %</t>
  </si>
  <si>
    <t>EBITDA (excl. group allocation) margin %</t>
  </si>
  <si>
    <t>Statutory EBITDA margin %</t>
  </si>
  <si>
    <t>Employee benefits % of revenue</t>
  </si>
  <si>
    <t>Advertising % of revenue</t>
  </si>
  <si>
    <t>Government taxes &amp; levies % of revenue</t>
  </si>
  <si>
    <t>Revenue growth % (net betting revenue)</t>
  </si>
  <si>
    <t>EBITDA before group-cost allocation</t>
  </si>
  <si>
    <t>add back: Allocation of group costs (intercompany)</t>
  </si>
  <si>
    <t>add back: Finance costs</t>
  </si>
  <si>
    <t>add back: Depreciation &amp; amortisation</t>
  </si>
  <si>
    <t>Profit / (loss) before income tax</t>
  </si>
  <si>
    <t>Net profit / (loss) for the period</t>
  </si>
  <si>
    <t>Income tax (expense) / benefit</t>
  </si>
  <si>
    <t>Reported profit / (loss) before income tax</t>
  </si>
  <si>
    <t>Total expenses</t>
  </si>
  <si>
    <t>Other expenses</t>
  </si>
  <si>
    <t>Finance costs</t>
  </si>
  <si>
    <t>Allocation of group costs (intercompany)</t>
  </si>
  <si>
    <t>Advertising expense</t>
  </si>
  <si>
    <t>Employee benefits expense</t>
  </si>
  <si>
    <t>Government taxes &amp; levies</t>
  </si>
  <si>
    <t>EXPENSES</t>
  </si>
  <si>
    <t>Total revenue &amp; other income</t>
  </si>
  <si>
    <t>Other income</t>
  </si>
  <si>
    <t>Revenue from contracts with customers (net betting revenue)</t>
  </si>
  <si>
    <t>REVENUE &amp; OTHER INCOME</t>
  </si>
  <si>
    <t>All figures A$'000 unless stated  ·  ~52/53-week period ending late March (FY25 ended 30 Mar 2025)  ·  latest-reported basis</t>
  </si>
  <si>
    <t>Statement of profit or loss  ·  ABN 75 148 920 665  ·  online sports &amp; racing wagering  ·  ultimate parent bet365 Group Ltd (UK)</t>
  </si>
  <si>
    <t>Hillside (Australia New Media) Pty Ltd — bet365 Australia</t>
  </si>
  <si>
    <t>Caution: the company's Note 3 (shown here) and Note 4 disclose different Racing vs Sports gross-win splits — e.g. FY25 group racing/sports = A$264.8m / A$53.5m in Note 3 but A$120.4m / A$197.9m in Note 4. The geography and consolidated totals tie either way; treat the racing/sports allocation as unreliable.</t>
  </si>
  <si>
    <t>'Total' = Australia + USA + United Kingdom; the UK column (FY25 total revenue -A$0.3m; nil in FY24) is captured only within the Total block. Only the Australian and U.S. businesses operated in FY24.</t>
  </si>
  <si>
    <t>All figures A$ (whole dollars), as reported. Source: Dabble Sports Pty Ltd FY25 ASIC financial statements (year ended 30 June 2025), Note 3 (geographical breakdown). Blue = inputs from the filing; black = formula (Total revenues = sum of the five rows above). FY25 filing provides FY25 + FY24 only.</t>
  </si>
  <si>
    <t>Total revenues</t>
  </si>
  <si>
    <t>Other adjustments</t>
  </si>
  <si>
    <t>Promotions</t>
  </si>
  <si>
    <t>GST on Income</t>
  </si>
  <si>
    <t>Sports - Gross win</t>
  </si>
  <si>
    <t>Racing - Gross win</t>
  </si>
  <si>
    <t>USA</t>
  </si>
  <si>
    <t>Australia</t>
  </si>
  <si>
    <t>US - QTR</t>
  </si>
  <si>
    <t>CY17</t>
  </si>
  <si>
    <t>CY26</t>
  </si>
  <si>
    <t>Revenue ex GST</t>
  </si>
  <si>
    <t>Pre GST</t>
  </si>
  <si>
    <t>Responsible Wagering Australia - Nov 2025</t>
  </si>
  <si>
    <t>CY27</t>
  </si>
  <si>
    <t>CY28</t>
  </si>
  <si>
    <t>CY29</t>
  </si>
  <si>
    <t>CY30</t>
  </si>
  <si>
    <t>Responsible Wagering Australia - Apr 2023</t>
  </si>
  <si>
    <t xml:space="preserve">OffShore Betting </t>
  </si>
  <si>
    <t>OffShore Betting  &amp; Casino</t>
  </si>
  <si>
    <t>Net Win pre GST</t>
  </si>
  <si>
    <t>Digital Net Revenue - Pre GST</t>
  </si>
  <si>
    <t>Adult Pop</t>
  </si>
  <si>
    <t>Total Pop</t>
  </si>
  <si>
    <t>QTR</t>
  </si>
  <si>
    <t>Marketing</t>
  </si>
  <si>
    <t>QtR</t>
  </si>
  <si>
    <t xml:space="preserve"> </t>
  </si>
  <si>
    <t>20.1 FY20</t>
  </si>
  <si>
    <t>Online</t>
  </si>
  <si>
    <t>Television</t>
  </si>
  <si>
    <t>Radio</t>
  </si>
  <si>
    <t>Nielson Tracked</t>
  </si>
  <si>
    <t>Sample Size</t>
  </si>
  <si>
    <t>ex Entain</t>
  </si>
  <si>
    <t xml:space="preserve">TikTok Likes </t>
  </si>
  <si>
    <t>Likes per Follower</t>
  </si>
  <si>
    <t>Ladbrokes Australia</t>
  </si>
  <si>
    <t>BetR Australia</t>
  </si>
  <si>
    <t>Dabble Australia</t>
  </si>
  <si>
    <t xml:space="preserve">Neds </t>
  </si>
  <si>
    <t>Picklebet</t>
  </si>
  <si>
    <t>BetFair</t>
  </si>
  <si>
    <t>Bet365 Australia</t>
  </si>
  <si>
    <t>&lt;&lt; mostly global accounts</t>
  </si>
  <si>
    <t>The AGRC provided its final report to the department on 18 July 2024. It has been used by the department to provide an estimate of the benefit to Australians in this Impact Analysis. While the report has not been published, this section provides a summary of the options considered, the methodology used, the key findings, and limitations with the analysis.</t>
  </si>
  <si>
    <t>As flagged above, this section relies on research undertaken by the AGRC</t>
  </si>
  <si>
    <t>The estimates in this research are likely to be underestimated.</t>
  </si>
  <si>
    <t>Lower rev</t>
  </si>
  <si>
    <t>Lower spend</t>
  </si>
  <si>
    <t>2024 Base Line</t>
  </si>
  <si>
    <t>Option 3</t>
  </si>
  <si>
    <t>lower spend</t>
  </si>
  <si>
    <t>Option 2</t>
  </si>
  <si>
    <t>Online Platforms</t>
  </si>
  <si>
    <t>Broadcasters</t>
  </si>
  <si>
    <t>Segment</t>
  </si>
  <si>
    <t>Post Restrictions</t>
  </si>
  <si>
    <t>Post Ban</t>
  </si>
  <si>
    <t>Net Impact</t>
  </si>
  <si>
    <t>Sporting Bodies</t>
  </si>
  <si>
    <t>Wagering Participants</t>
  </si>
  <si>
    <t>WA RETAIL?</t>
  </si>
  <si>
    <t>Total Online Betting</t>
  </si>
  <si>
    <t>Offshore Betting</t>
  </si>
  <si>
    <t>Onshore Betting</t>
  </si>
  <si>
    <t>2024-29 CAGR</t>
  </si>
  <si>
    <t>2029e</t>
  </si>
  <si>
    <t>2028e</t>
  </si>
  <si>
    <t>2027e</t>
  </si>
  <si>
    <t>2026e</t>
  </si>
  <si>
    <t>2025e</t>
  </si>
  <si>
    <t>2024</t>
  </si>
  <si>
    <t>GGR (A$m)</t>
  </si>
  <si>
    <t>2023</t>
  </si>
  <si>
    <t>2022</t>
  </si>
  <si>
    <t>2021</t>
  </si>
  <si>
    <t>2020</t>
  </si>
  <si>
    <t>2019</t>
  </si>
  <si>
    <t>Historical (CY2019-CY2024)  -  original caption: '2025 ANALYSIS: GGR ($m)'</t>
  </si>
  <si>
    <t>Blue = published figures (as-is). Black = independent audit formulas. Yellow = audit differs from published (see Notes). A$m; calendar year (assumed); 'e' = estimate.</t>
  </si>
  <si>
    <t>Australia online betting GGR (A$m) - transcribed from source tables</t>
  </si>
  <si>
    <t>Offshore Betting &amp; Gaming</t>
  </si>
  <si>
    <t>Total Online Betting &amp; Gaming</t>
  </si>
  <si>
    <t>Implied Offshore Gaming</t>
  </si>
  <si>
    <t>Offshore Gaming</t>
  </si>
  <si>
    <t>Channelling Rate</t>
  </si>
  <si>
    <t>CY25E</t>
  </si>
  <si>
    <t>CY26E</t>
  </si>
  <si>
    <t>CY27E</t>
  </si>
  <si>
    <t>CY28E</t>
  </si>
  <si>
    <t>CY29E</t>
  </si>
  <si>
    <t>FY18A</t>
  </si>
  <si>
    <t>FY19A</t>
  </si>
  <si>
    <t>FY20A</t>
  </si>
  <si>
    <t>FY21A</t>
  </si>
  <si>
    <t>FY22A</t>
  </si>
  <si>
    <t>FY23A</t>
  </si>
  <si>
    <t>FY24A</t>
  </si>
  <si>
    <t>FY25A</t>
  </si>
  <si>
    <t>Cost of Sales as a % of Revenue</t>
  </si>
  <si>
    <t>Advertising &amp; Marketing Expenses as a % of Revenue</t>
  </si>
  <si>
    <t>EBITDA margin (statutory)</t>
  </si>
  <si>
    <t>Ratios</t>
  </si>
  <si>
    <t>NPAT (statutory)</t>
  </si>
  <si>
    <t>NPAT margin (statutory)</t>
  </si>
  <si>
    <t>Advertising &amp; Marketing  as a % of Revenue</t>
  </si>
  <si>
    <t>P&amp;L</t>
  </si>
  <si>
    <t>Net Gaming Revenue</t>
  </si>
  <si>
    <t>Net Gaming Revenue — Australia</t>
  </si>
  <si>
    <t>Net Gaming Revenue — New Zealand</t>
  </si>
  <si>
    <t>Total Cost of Sales</t>
  </si>
  <si>
    <t>Marketing Costs</t>
  </si>
  <si>
    <t>Licence Fees</t>
  </si>
  <si>
    <t>Other COGS</t>
  </si>
  <si>
    <t>FY17A</t>
  </si>
  <si>
    <t>Other Revenue</t>
  </si>
  <si>
    <t>Total Expenses</t>
  </si>
  <si>
    <t>Government Taxes &amp; Levies</t>
  </si>
  <si>
    <t>Advertising Expense</t>
  </si>
  <si>
    <t>Intercompany Costs</t>
  </si>
  <si>
    <t>Other Expenses</t>
  </si>
  <si>
    <t>NPAT Margin (Statutory)</t>
  </si>
  <si>
    <t>EBITDA Margin (Statutory)</t>
  </si>
  <si>
    <t>EBITDA (Statutory)</t>
  </si>
  <si>
    <t>NPAT (Statutory)</t>
  </si>
  <si>
    <t>Marketing  as a % of Revenue</t>
  </si>
  <si>
    <t>Advertising as a % of Revenue</t>
  </si>
  <si>
    <t>Expenses</t>
  </si>
  <si>
    <t>Depreciation and amortisation expense</t>
  </si>
  <si>
    <t>Share based payments</t>
  </si>
  <si>
    <t>Advertising and marketing costs</t>
  </si>
  <si>
    <t>Office expenses</t>
  </si>
  <si>
    <t>Occupancy cost</t>
  </si>
  <si>
    <t>Profit/(Loss) before Income Tax Expense</t>
  </si>
  <si>
    <t>Income tax benefit/(expense)</t>
  </si>
  <si>
    <t>Profit/(Loss) after Income Tax Expense</t>
  </si>
  <si>
    <t>Total Profit/(Loss) for the Year Attributable to the Owners</t>
  </si>
  <si>
    <t>Other Comprehensive Income/(Loss)</t>
  </si>
  <si>
    <t>Foreign currency translation</t>
  </si>
  <si>
    <t>Other comprehensive income/(loss) for the year, net of tax</t>
  </si>
  <si>
    <t>Total comprehensive income/(loss) for the year</t>
  </si>
  <si>
    <t>Markets</t>
  </si>
  <si>
    <t>Marketing as a % of Revenue</t>
  </si>
  <si>
    <t>000's</t>
  </si>
  <si>
    <t>Product Fees</t>
  </si>
  <si>
    <t>A.  SEGMENT REVENUE — statutory (audited), A$'000</t>
  </si>
  <si>
    <t>A$'000</t>
  </si>
  <si>
    <t>Year ended</t>
  </si>
  <si>
    <t>30 Jun 2019</t>
  </si>
  <si>
    <t>30 Jun 2020</t>
  </si>
  <si>
    <t>30 Jun 2021</t>
  </si>
  <si>
    <t>30 Jun 2022</t>
  </si>
  <si>
    <t>30 Jun 2023</t>
  </si>
  <si>
    <t>30 Jun 2024</t>
  </si>
  <si>
    <t>30 Jun 2025</t>
  </si>
  <si>
    <t>Australia — Sports betting</t>
  </si>
  <si>
    <t>Australia — Gaming (iGaming)</t>
  </si>
  <si>
    <t>United States — Sports betting + iGaming (combined)</t>
  </si>
  <si>
    <t>Canada — Sports betting + iGaming (combined)</t>
  </si>
  <si>
    <t>Technology (Ireland)</t>
  </si>
  <si>
    <t>Total revenue — continuing operations (as reported)</t>
  </si>
  <si>
    <t>Memo: consolidated revenue incl. discontinued (US) — FY23</t>
  </si>
  <si>
    <t>B.  NET WIN by product x region  —  Operating &amp; Financial Review (TRADING METRIC, A$m; NOT statutory revenue)</t>
  </si>
  <si>
    <t>A$ million</t>
  </si>
  <si>
    <t>Australia — iGaming</t>
  </si>
  <si>
    <t>United States — Sports betting</t>
  </si>
  <si>
    <t>United States — iGaming</t>
  </si>
  <si>
    <t>Canada — Sports betting</t>
  </si>
  <si>
    <t>Canada — iGaming</t>
  </si>
  <si>
    <t>Group — Sports betting Net Win</t>
  </si>
  <si>
    <t>Group — iGaming Net Win</t>
  </si>
  <si>
    <t>Group — Total Net Win</t>
  </si>
  <si>
    <t>A.  SEGMENT EBITDA — statutory (CODM measure), A$'000</t>
  </si>
  <si>
    <t>United States</t>
  </si>
  <si>
    <t>Canada</t>
  </si>
  <si>
    <t>Technology</t>
  </si>
  <si>
    <t>Corporate</t>
  </si>
  <si>
    <t>Group total — statutory EBITDA (continuing basis)</t>
  </si>
  <si>
    <t>Memo: consolidated EBITDA incl. discontinued — FY23</t>
  </si>
  <si>
    <t>UNDERLYING EBITDA (by region &amp; group)</t>
  </si>
  <si>
    <t>B.  MARKETING EXPENSE, A$'000  (group P&amp;L line; NOT disclosed by region)</t>
  </si>
  <si>
    <t>Marketing — Australia</t>
  </si>
  <si>
    <t>Marketing — United States</t>
  </si>
  <si>
    <t>Marketing — Canada</t>
  </si>
  <si>
    <t>Marketing — Group total (per P&amp;L)</t>
  </si>
  <si>
    <t>Marketing is reported only at group level. FY19–FY22 include US; FY23+ continuing (ex-US).</t>
  </si>
  <si>
    <t>C.  COST OF SALES (COGS), A$'000  (group P&amp;L line; NOT disclosed by region)</t>
  </si>
  <si>
    <t>Cost of sales — Australia</t>
  </si>
  <si>
    <t>Cost of sales — United States</t>
  </si>
  <si>
    <t>Cost of sales — Canada</t>
  </si>
  <si>
    <t>Cost of sales — Group total (per P&amp;L)</t>
  </si>
  <si>
    <t>Cost of sales is reported only at group level. FY19–FY22 include US; FY23+ continuing (ex-US).</t>
  </si>
  <si>
    <t>Continuing operations</t>
  </si>
  <si>
    <t>Other income/(expense)</t>
  </si>
  <si>
    <t>Administration expenses</t>
  </si>
  <si>
    <t>Consulting expenses</t>
  </si>
  <si>
    <t>Employee benefits expenses</t>
  </si>
  <si>
    <t>Information technology costs</t>
  </si>
  <si>
    <t>Occupancy expenses</t>
  </si>
  <si>
    <t>Marketing expenses</t>
  </si>
  <si>
    <t>Travel and accommodation expenses</t>
  </si>
  <si>
    <t>Fees and permits</t>
  </si>
  <si>
    <t>Impairment expense</t>
  </si>
  <si>
    <t>Finance income</t>
  </si>
  <si>
    <t>Net finance income/(costs)</t>
  </si>
  <si>
    <t>Loss after tax — continuing operations</t>
  </si>
  <si>
    <t>Discontinued operations</t>
  </si>
  <si>
    <t>Net gain/(loss) on deconsolidation / sale</t>
  </si>
  <si>
    <t>Loss after tax from discontinued operations</t>
  </si>
  <si>
    <t>Net loss after tax — discontinued operations</t>
  </si>
  <si>
    <t>Total loss for the year</t>
  </si>
  <si>
    <t>Other comprehensive income/(loss):</t>
  </si>
  <si>
    <t>Exchange differences on translation of foreign operations</t>
  </si>
  <si>
    <t>Total comprehensive loss for the year</t>
  </si>
  <si>
    <t>Racing - Gross Win</t>
  </si>
  <si>
    <t>Sports - Gross Win</t>
  </si>
  <si>
    <t>Advertising and Marketing Costs</t>
  </si>
  <si>
    <t>Marketing Expenses</t>
  </si>
  <si>
    <t>PointsBet Holdings Limited (ASX: PBH) — Revenue by region / product, FY18–FY25</t>
  </si>
  <si>
    <t>Consolidated group • 30 June year-end • statutory A$'000 (FY18–FY21 rescaled from whole $) • Net Win A$m. Blue = as reported; black = subtotal/derived; blank = not separately reported / not applicable.</t>
  </si>
  <si>
    <t>30 Jun 2018</t>
  </si>
  <si>
    <t xml:space="preserve">   of which: US Sports betting (statutory)</t>
  </si>
  <si>
    <t xml:space="preserve">   of which: US iGaming (statutory)</t>
  </si>
  <si>
    <t xml:space="preserve">   of which: Canada Sports betting (statutory)</t>
  </si>
  <si>
    <t xml:space="preserve">   of which: Canada iGaming (statutory)</t>
  </si>
  <si>
    <t>Audited accounts split revenue by geography only, not by product. US shown combined (SB+iGaming); FY23 US is discontinued ops. Canada shown combined. Australia has no legal online gaming. FY18 was Australia-only (US launched FY19, Canada FY22).</t>
  </si>
  <si>
    <t>Net Win = gross win less client promotional costs (trading metric). NOT statutory revenue; will not reconcile to P&amp;L (Aus Net Win is pre-GST). FY24–FY25 Group = continuing (Aus+Canada) only; FY23 &amp; earlier include US. Derived (group less disclosed regions): Aus SB FY25 240.6; US iGaming FY22 ~19.7. FY18–FY19 Net Win split not disclosed/extracted (blank).</t>
  </si>
  <si>
    <t>No separate 'underlying' EBITDA is reported (segment EBITDA is the CODM measure, already ex-significant-items). FY19–FY22 include US in continuing; FY23 US EBITDA is within Discontinued Ops (US+Ireland) $(186,114)k; FY22 US $(197,445)k as reported was later restated to discontinued $(223,797)k in FY23. FY18 was Australia-only.</t>
  </si>
  <si>
    <t>Normalised EBITDA</t>
  </si>
  <si>
    <t>COGS</t>
  </si>
  <si>
    <t xml:space="preserve">Marketing </t>
  </si>
  <si>
    <t>PointsBet paid $115.3m in GST, POCT and Product Fees to Australian Governments, Racing bodies and Sports bodies.</t>
  </si>
  <si>
    <t>GST will be diff</t>
  </si>
  <si>
    <t>FY24 (june)</t>
  </si>
  <si>
    <t>COGS/Revenue</t>
  </si>
  <si>
    <t>Marketing/Revenue</t>
  </si>
  <si>
    <t>Other Opex/Revenue</t>
  </si>
  <si>
    <t>EBITDA Margin</t>
  </si>
  <si>
    <t>Sportsbet</t>
  </si>
  <si>
    <t>Tabcorp Holdings Limited (ASX: TAH) — Divisional &amp; Wagering KPIs, FY18–FY25</t>
  </si>
  <si>
    <t>A$ million. Continuing Tabcorp (Wagering &amp; Media + Gaming Services); FY18–FY19 pro-forma (incl. Tatts full year); Lotteries demerged 1 Jun 2022. Figures as reported in each year's own full-year results. Blue = as reported; grey = memo/alt-basis; blank = not reported on this basis. See Notes.</t>
  </si>
  <si>
    <t>A.  WAGERING &amp; MEDIA (A$m)</t>
  </si>
  <si>
    <t>Digital domestic wagering revenue</t>
  </si>
  <si>
    <t>Cash domestic wagering revenue</t>
  </si>
  <si>
    <t>Domestic wagering revenue</t>
  </si>
  <si>
    <t>International wagering revenue</t>
  </si>
  <si>
    <t>Total wagering revenue</t>
  </si>
  <si>
    <t>Media revenue</t>
  </si>
  <si>
    <t xml:space="preserve">   (memo) Internal eliminations (SKY/TAB, FY24–25 basis)</t>
  </si>
  <si>
    <t xml:space="preserve">   (memo) Media &amp; International revenue (bundled, FY22–23 basis)</t>
  </si>
  <si>
    <t>Wagering &amp; Media revenue</t>
  </si>
  <si>
    <t>Wagering &amp; Media VC</t>
  </si>
  <si>
    <t>Wagering &amp; Media EBITDA</t>
  </si>
  <si>
    <t>Media basis change: FY23 media (220.4) is NET of internal SKY/TAB charges (FY23/FY24 decks); FY24–FY25 (360.9/370.6) are GROSS with eliminations shown separately — on the net basis FY24 media was 206.7, so the FY23→FY24 media step is largely presentation, not growth. FY22 international &amp; media were bundled as 'Media &amp; International' (454.4). VC/EBITDA are own-year reported: FY22 was restated in the FY23 deck (W&amp;M EBITDA 306.0→287.0) and FY23 W&amp;M VC was 815.1 as-reported vs 775.0 restated in the FY24 deck (VC definition changed). FY25 revenue grossed up post the Victorian JV ending 15 Aug 2024 — not like-for-like vs FY24.</t>
  </si>
  <si>
    <t>B.  GAMING SERVICES / INTEGRITY SERVICES (A$m)</t>
  </si>
  <si>
    <t>Gaming Services / Integrity Services revenue</t>
  </si>
  <si>
    <t>Gaming Services / Integrity Services EBITDA</t>
  </si>
  <si>
    <t>Renamed 'Integrity Services' from FY24. MPS business sold 1H24 (reduced FY24 vs FY23). Own-year reported; FY22 restated in FY23 deck (Rev 192.9→196.9, EBITDA 75.2→73.2). FY18–19 pro-forma.</t>
  </si>
  <si>
    <t>C.  NET REVENUE PRE VRI SHARE (A$m)  — Victorian 50/50 JV, ended 15 Aug 2024</t>
  </si>
  <si>
    <t>Net digital revenue pre VRI share</t>
  </si>
  <si>
    <t>Net cash revenue pre VRI share</t>
  </si>
  <si>
    <t>'Pre VRI share' = before deducting the Victorian Racing Industry JV's revenue share. Reported FY22–FY25 (JV ended 15 Aug 2024, so FY25 largely equals post-share revenue).</t>
  </si>
  <si>
    <t>D.  DOMESTIC WAGERING TURNOVER (A$m)  — FY23–FY25 basis (incl. VRI to 15 Aug 2024)</t>
  </si>
  <si>
    <t>Racing turnover</t>
  </si>
  <si>
    <t>Sport turnover</t>
  </si>
  <si>
    <t>Total turnover</t>
  </si>
  <si>
    <t>Digital turnover</t>
  </si>
  <si>
    <t>Cash turnover</t>
  </si>
  <si>
    <t>Domestic wagering turnover (Racing+Sport = Digital+Cash = Total). Disclosed on this basis only from FY23; FY18–FY22 turnover was reported differently (see Block F). Includes 100% of VRI turnover until the JV ended 15 Aug 2024.</t>
  </si>
  <si>
    <t>E.  WAGERING PRODUCT REVENUE (A$m)  — FY18–FY22 (combined wagering incl 100% VRI, EXCL media)</t>
  </si>
  <si>
    <t>Totalisator revenue</t>
  </si>
  <si>
    <t>Fixed Odds Racing revenue</t>
  </si>
  <si>
    <t>Sport revenue</t>
  </si>
  <si>
    <t>Trackside revenue</t>
  </si>
  <si>
    <t xml:space="preserve">   (memo) Total product revenue</t>
  </si>
  <si>
    <t>Product split on a 'combined wagering incl 100% VRI, excludes Media' basis — different from the statutory W&amp;M divisional revenue in Block A. NOT disclosed from FY23. FY18–19 pro-forma.</t>
  </si>
  <si>
    <t>F.  COMBINED WAGERING CHANNEL TURNOVER (A$m)  — FY18–FY22 memo (incl 100% VRI, all channels)</t>
  </si>
  <si>
    <t>Retail (cash) turnover</t>
  </si>
  <si>
    <t>Total turnover (all channels)</t>
  </si>
  <si>
    <t>Different basis to Block D: total includes call-centre/other/export channels and 100% VRI, so it is NOT comparable to the FY23–FY25 domestic wagering turnover total. Shown for the pre-FY23 years only. FY18–19 pro-forma.</t>
  </si>
  <si>
    <t>Commissions and fees</t>
  </si>
  <si>
    <t>Government taxes and levies</t>
  </si>
  <si>
    <t>Employment costs</t>
  </si>
  <si>
    <t>Communications and technology costs</t>
  </si>
  <si>
    <t>Advertising and promotions</t>
  </si>
  <si>
    <t>Impairment - goodwill</t>
  </si>
  <si>
    <t>Impairment - other</t>
  </si>
  <si>
    <t>Profit/(loss) before income tax, net finance costs &amp; equity accounted investment</t>
  </si>
  <si>
    <t>Profit/(loss) from equity accounted investment</t>
  </si>
  <si>
    <t>Profit/(loss) from continuing operations before income tax</t>
  </si>
  <si>
    <t>Income tax (expense)/benefit</t>
  </si>
  <si>
    <t>Profit/(loss) from continuing operations after income tax</t>
  </si>
  <si>
    <t>Profit/(loss) from discontinued operations after tax</t>
  </si>
  <si>
    <t>Net profit/(loss) after tax</t>
  </si>
  <si>
    <t>Other comprehensive income</t>
  </si>
  <si>
    <t>Change in fair value of cash flow hedges</t>
  </si>
  <si>
    <t>Income tax relating to these items</t>
  </si>
  <si>
    <t>Actuarial gains/(losses) on retirement benefit obligation</t>
  </si>
  <si>
    <t>Income tax relating to actuarial items</t>
  </si>
  <si>
    <t>Other comprehensive income for the year, net of tax</t>
  </si>
  <si>
    <t>Total comprehensive income for the year</t>
  </si>
  <si>
    <t>Per share (cents)</t>
  </si>
  <si>
    <t>Basic EPS - continuing operations</t>
  </si>
  <si>
    <t>Diluted EPS - continuing operations</t>
  </si>
  <si>
    <t>Basic EPS - total</t>
  </si>
  <si>
    <t>Diluted EPS - total</t>
  </si>
  <si>
    <t>DPS - declared and paid during the year</t>
  </si>
  <si>
    <t>DPS - determined in respect of the year</t>
  </si>
  <si>
    <t>Retail Wagering Revenue</t>
  </si>
  <si>
    <t>Retail Wagering</t>
  </si>
  <si>
    <t>Digital Wagering</t>
  </si>
  <si>
    <t>Cash</t>
  </si>
  <si>
    <t>International</t>
  </si>
  <si>
    <t>Media External</t>
  </si>
  <si>
    <t>Taxes and Commissions</t>
  </si>
  <si>
    <t>Variable contribution</t>
  </si>
  <si>
    <t>Wagering &amp; Media P&amp;L</t>
  </si>
  <si>
    <t>Wagering &amp; Media Ratios</t>
  </si>
  <si>
    <t>Group P&amp;L</t>
  </si>
  <si>
    <t>Statutory NPAT</t>
  </si>
  <si>
    <t>Decrease in Gaming Machine Expenditure</t>
  </si>
  <si>
    <t>Expenditure that Shifts to Wagering</t>
  </si>
  <si>
    <t>See more crossover with Retail Wagering then Digital</t>
  </si>
  <si>
    <t>Gambling Commission</t>
  </si>
  <si>
    <t xml:space="preserve">Industry Statistics. Annual report April 2024 to March 2025 </t>
  </si>
  <si>
    <t>Reporting Period</t>
  </si>
  <si>
    <t>Betting (remote)</t>
  </si>
  <si>
    <t>Casino (remote)</t>
  </si>
  <si>
    <t>Apr 2008 - Mar 2009</t>
  </si>
  <si>
    <t>Apr 2009 - Mar 2010</t>
  </si>
  <si>
    <t>Apr 2010 - Mar 2011</t>
  </si>
  <si>
    <t>Apr 2011 - Mar 2012</t>
  </si>
  <si>
    <t>Apr 2012 - Mar 2013</t>
  </si>
  <si>
    <t>Apr 2013 - Mar 2014</t>
  </si>
  <si>
    <t>Apr 2014 - Mar 2015</t>
  </si>
  <si>
    <t>Apr 2015 - Mar 2016</t>
  </si>
  <si>
    <t>Apr 2016 - Mar 2017</t>
  </si>
  <si>
    <t>Apr 2017 - Mar 2018</t>
  </si>
  <si>
    <t>Apr 2018 - Mar 2019</t>
  </si>
  <si>
    <t>Apr 2019 - Mar 2020</t>
  </si>
  <si>
    <t>Apr 2020 - Mar 2021</t>
  </si>
  <si>
    <t>Apr 2021 - Mar 2022</t>
  </si>
  <si>
    <r>
      <t>Apr 2022 - Mar 2023</t>
    </r>
    <r>
      <rPr>
        <vertAlign val="superscript"/>
        <sz val="11"/>
        <rFont val="Calibri"/>
        <family val="2"/>
      </rPr>
      <t>R</t>
    </r>
  </si>
  <si>
    <r>
      <t>Apr 2023 - Mar 2024</t>
    </r>
    <r>
      <rPr>
        <vertAlign val="superscript"/>
        <sz val="11"/>
        <rFont val="Calibri"/>
        <family val="2"/>
      </rPr>
      <t>R</t>
    </r>
  </si>
  <si>
    <r>
      <t>Apr 2024 - Mar 2025</t>
    </r>
    <r>
      <rPr>
        <vertAlign val="superscript"/>
        <sz val="11"/>
        <rFont val="Calibri"/>
        <family val="2"/>
      </rPr>
      <t>P</t>
    </r>
  </si>
  <si>
    <t>£</t>
  </si>
  <si>
    <t>Household Conusmption</t>
  </si>
  <si>
    <t>Q3 25–26</t>
  </si>
  <si>
    <t>Q2 25–26</t>
  </si>
  <si>
    <t>~</t>
  </si>
  <si>
    <t>Q1 25–26</t>
  </si>
  <si>
    <t>FY 24–25</t>
  </si>
  <si>
    <t>FY 23–24</t>
  </si>
  <si>
    <t>Oct</t>
  </si>
  <si>
    <t>AUS
Aug-23</t>
  </si>
  <si>
    <t>GER
Aug-21</t>
  </si>
  <si>
    <t>GER</t>
  </si>
  <si>
    <t>SWE
Jan-19</t>
  </si>
  <si>
    <t>SWE</t>
  </si>
  <si>
    <t>UK
Apr-18</t>
  </si>
  <si>
    <t>DEN
Jan-12</t>
  </si>
  <si>
    <t>DEN</t>
  </si>
  <si>
    <t>Proportion</t>
  </si>
  <si>
    <t>Incremenatl</t>
  </si>
  <si>
    <t>20+ Pop</t>
  </si>
  <si>
    <t>Incremental</t>
  </si>
  <si>
    <t>ROFUS (Register of self-excluded players)</t>
  </si>
  <si>
    <t>GamStop Total</t>
  </si>
  <si>
    <t>Oasis Total</t>
  </si>
  <si>
    <t>GamStop Year</t>
  </si>
  <si>
    <t>Q4 24–25</t>
  </si>
  <si>
    <t>Q3 24–25</t>
  </si>
  <si>
    <t>Q2 24–25</t>
  </si>
  <si>
    <t>Q1 24–25</t>
  </si>
  <si>
    <t>Q4 23–24</t>
  </si>
  <si>
    <t>Q3 23–24</t>
  </si>
  <si>
    <t>Q2 23–24</t>
  </si>
  <si>
    <t>Q1 23–24</t>
  </si>
  <si>
    <t>Jurisdiction</t>
  </si>
  <si>
    <t>Western Australia</t>
  </si>
  <si>
    <t>Victoria</t>
  </si>
  <si>
    <t>Tasmania</t>
  </si>
  <si>
    <t>South Australia</t>
  </si>
  <si>
    <t>Queensland</t>
  </si>
  <si>
    <t>Northern Territory</t>
  </si>
  <si>
    <t>New South Wales</t>
  </si>
  <si>
    <t>Australian Capital Territory </t>
  </si>
  <si>
    <t>Australian Wagering Point-of-Consumption Tax (POCT) — by jurisdiction</t>
  </si>
  <si>
    <t>Informational summary for E&amp;P research use only — not legal or tax advice. Confirm against the primary source (cited in cell comments) before any published use.</t>
  </si>
  <si>
    <t>Last verified: 6 July 2026   |   Jurisdiction basis: Australia (ASIC / state &amp; territory revenue offices)   |   Australian English   |   Measures in rows, jurisdictions in columns</t>
  </si>
  <si>
    <t>No POCT</t>
  </si>
  <si>
    <t>Tax-free threshold (p.a.)</t>
  </si>
  <si>
    <t>n/a</t>
  </si>
  <si>
    <t>Free bets in tax base?</t>
  </si>
  <si>
    <t>Incl. (face value)</t>
  </si>
  <si>
    <t>Incl. (from 1 Dec 2022)</t>
  </si>
  <si>
    <t>Incl. (staked amt only)</t>
  </si>
  <si>
    <t>Incl. (non-cash comp.)</t>
  </si>
  <si>
    <t>1 Jul 2022</t>
  </si>
  <si>
    <t>1 Jul 2024</t>
  </si>
  <si>
    <t>1 Dec 2022</t>
  </si>
  <si>
    <t>1 Jan 2019 (intro)</t>
  </si>
  <si>
    <t>1 Jul 2017 (intro)</t>
  </si>
  <si>
    <t>1 Jan 2020 (intro)</t>
  </si>
  <si>
    <t>1 Jul 2023</t>
  </si>
  <si>
    <t>Proceeds → racing</t>
  </si>
  <si>
    <t>Proceeds → sport</t>
  </si>
  <si>
    <t>Legend &amp; notes</t>
  </si>
  <si>
    <t>Blue text</t>
  </si>
  <si>
    <t>Sourced data input (primary source cited in the cell comment). Hover a cell to read the source, including the relevant Act/section and URL.</t>
  </si>
  <si>
    <t>Grey column</t>
  </si>
  <si>
    <t>Northern Territory — no POCT (see NT cell comments).</t>
  </si>
  <si>
    <t>Basis varies. STATUTORY: WA 30% (RWWA Act 2003 s107B); QLD 80% (Betting Tax Act 2018). GRANT DEED: TAS 80% (of incremental POC tax). POLICY / ARRANGEMENT: VIC 50% (7.5 of 15 pp), NSW 33%, SA 20% (four-year funding model from June 2023). EXCEPTION: the ACT returns NONE of its POCT to racing — Canberra racing is funded via an annual MOU grant (~$8.5m FY25) from consolidated revenue, not a tax share. Percentages are of POCT/BOT revenue and are separate from race-fields/product fees, which operators also pay directly to racing bodies.</t>
  </si>
  <si>
    <t>Nil in every jurisdiction. No Australian POCT is hypothecated to a 'sports industry'. Sports controlling bodies are funded via separately negotiated product (race-fields-equivalent) fees paid directly by operators — commercial, not tax. Non-racing POCT proceeds flow to consolidated revenue / health &amp; charities funds.</t>
  </si>
  <si>
    <t>Free bets</t>
  </si>
  <si>
    <t>Face value of free/bonus bets is included in the base in NSW, VIC, QLD (from 1 Dec 2022) and WA (Act s13); the ACT includes the monetary value of non-cash bet components. TAS excludes free bets. SA includes only the staked promotional amount as an ordinary bet (not the full face value) — a comparability nuance.</t>
  </si>
  <si>
    <t>No POCT (licensing hub for corporate bookmakers). NT-licensed sports bookmakers / betting exchanges instead pay 5% of gross profit (wagers less payouts), capped at A$1,410,000 p.a. — the 5%/cap detail is secondary; verify against the primary NT instrument.</t>
  </si>
  <si>
    <t>Tax base</t>
  </si>
  <si>
    <t>All rates apply to a 'net wagering revenue' base (broadly turnover less payouts) above the tax-free threshold, GST-inclusive in most jurisdictions. Definitions and inclusions vary by Act — see cell comments.</t>
  </si>
  <si>
    <t>Scope / caveat</t>
  </si>
  <si>
    <t>Informational only; not legal or tax advice. Prepared under an Australian (ASIC / state &amp; territory) context in Australian English. Where regulation is ambiguous, the more conservative reading has been taken and flagged. Rates and shares change frequently — re-verify before publication.</t>
  </si>
  <si>
    <t>Primary sources</t>
  </si>
  <si>
    <t>•  Revenue NSW — Point of consumption tax: revenue.nsw.gov.au/taxes-duties-levies-royalties/gaming-wagering-tax/point-of-consumption-tax</t>
  </si>
  <si>
    <t>•  SRO Victoria — Wagering and betting tax: sro.vic.gov.au/wagering-and-betting-tax</t>
  </si>
  <si>
    <t>•  Queensland Revenue Office — Betting tax: qro.qld.gov.au/betting-tax  |  Qld Office of Racing (80% to racing): racing.qld.gov.au/racing-initiatives</t>
  </si>
  <si>
    <t>•  RevenueWA — Betting Tax: wa.gov.au/government/publications/betting-tax  |  Betting Tax Assessment Act 2018 (WA), ss 12-13 (free components) &amp; s 40 -&gt; RWWA Act 2003 s 107B (30% to RWWA)</t>
  </si>
  <si>
    <t>•  RevenueSA — Betting Operations Tax: revenuesa.sa.gov.au/betting-operations-tax  |  SA 20% funding model: The Straight (7 Jun 2024; 14 Nov 2025)</t>
  </si>
  <si>
    <t>•  Treasury Tasmania — POC tax on wagering: treasury.tas.gov.au/liquor-and-gaming/fees/point-of-consumption-tax-on-wagering  |  Tasracing Review (80% grant deed)</t>
  </si>
  <si>
    <t>•  ACT Revenue Office — Betting Operations Tax: revenue.act.gov.au/betting-operations-tax  |  ACT racing MOU grant (no BOT share): The Canberra Times, 3 Nov 2024 &amp; ~1 Jul 2026</t>
  </si>
  <si>
    <t>•  Racing NSW Annual Report 2024/25 (NSW 33%; cross-state racing shares).</t>
  </si>
  <si>
    <t>Level Playing Field (Tabcorp)</t>
  </si>
  <si>
    <t>Last rate change</t>
  </si>
  <si>
    <t>betr</t>
  </si>
  <si>
    <t>bet365</t>
  </si>
  <si>
    <t xml:space="preserve">   (memo) Statutory EBITDA — consolidated, incl. discontinued US</t>
  </si>
  <si>
    <t xml:space="preserve">   (memo) Normalised EBITDA — consolidated, incl. discontinued US</t>
  </si>
  <si>
    <t>Net profit/(loss) from continuing operations</t>
  </si>
  <si>
    <t>Total comprehensive income/(loss) for the period</t>
  </si>
  <si>
    <t>Australian Wagering KPIs</t>
  </si>
  <si>
    <t>Digital Wagering Revenue</t>
  </si>
  <si>
    <t>Net Digital Revenue pre VRI Share</t>
  </si>
  <si>
    <t>Net Retail Revenue pre VRI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</si>
</sst>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6" formatCode="&quot;$&quot;#,##0;[Red]\-&quot;$&quot;#,##0"/>
    <numFmt numFmtId="8" formatCode="&quot;$&quot;#,##0.00;[Red]\-&quot;$&quot;#,##0.00"/>
    <numFmt numFmtId="43" formatCode="_-* #,##0.00_-;\-* #,##0.00_-;_-* &quot;-&quot;??_-;_-@_-"/>
    <numFmt numFmtId="164" formatCode="0.0%"/>
    <numFmt numFmtId="165" formatCode="d\-mmm\-yy_);\(###0\);&quot;-  &quot;;&quot; &quot;@&quot; &quot;"/>
    <numFmt numFmtId="166" formatCode="0.0"/>
    <numFmt numFmtId="167" formatCode="#,##0.0"/>
    <numFmt numFmtId="168" formatCode="0.0000"/>
    <numFmt numFmtId="169" formatCode="[Color10]\+0.0%;[Red]\-0.0%;\-"/>
    <numFmt numFmtId="170" formatCode="0.0&quot;ppts&quot;"/>
    <numFmt numFmtId="171" formatCode="[Color10]\+0%;[Red]\-0%;\-"/>
    <numFmt numFmtId="172" formatCode="#,##0.0000"/>
    <numFmt numFmtId="173" formatCode="#,##0.00\x"/>
    <numFmt numFmtId="174" formatCode="#,##0;\(#,##0\);\-"/>
    <numFmt numFmtId="175" formatCode="_-* #,##0_-;\-* #,##0_-;_-* &quot;-&quot;??_-;_-@_-"/>
    <numFmt numFmtId="176" formatCode="0.0%;\(0.0%\)"/>
    <numFmt numFmtId="177" formatCode="#,##0.0;\(#,##0.0\);\-"/>
    <numFmt numFmtId="178" formatCode="#,##0.000"/>
    <numFmt numFmtId="179" formatCode="#,##0;\(#,##0\)"/>
    <numFmt numFmtId="180" formatCode="0.0%;\(0.0%\);\-"/>
    <numFmt numFmtId="181" formatCode="[Color10]\+0.0;[Red]\-0.0;\-"/>
    <numFmt numFmtId="182" formatCode="#,##0.0;[Red]\-#,##0.0;\-"/>
    <numFmt numFmtId="183" formatCode="0.00%_);\(0.00%\);0.00%_);@_)"/>
    <numFmt numFmtId="184" formatCode="#,##0;[Red]\-#,##0;\-"/>
    <numFmt numFmtId="185" formatCode="#,##0_);\(#,##0\);#,##0_);@_)"/>
    <numFmt numFmtId="186" formatCode="dd\-mmm\-yy"/>
    <numFmt numFmtId="187" formatCode="0.0%_);\(0.0%\);0.0%_);@_)"/>
    <numFmt numFmtId="188" formatCode="\$#,##0"/>
    <numFmt numFmtId="189" formatCode="0.0%;\-0.0%;&quot;Nil&quot;"/>
    <numFmt numFmtId="190" formatCode="0%;\-0%;&quot;Nil&quot;"/>
  </numFmts>
  <fonts count="141" x14ac:knownFonts="1">
    <font>
      <sz val="11"/>
      <color theme="1"/>
      <name val="Calibri"/>
      <family val="2"/>
      <scheme val="minor"/>
    </font>
    <font>
      <sz val="8"/>
      <color theme="1"/>
      <name val="Calibri"/>
      <family val="2"/>
      <scheme val="minor"/>
    </font>
    <font>
      <b/>
      <sz val="8"/>
      <color theme="0"/>
      <name val="Calibri"/>
      <family val="2"/>
      <scheme val="minor"/>
    </font>
    <font>
      <sz val="10"/>
      <name val="Arial"/>
      <family val="2"/>
    </font>
    <font>
      <sz val="8"/>
      <name val="Calibri"/>
      <family val="2"/>
      <scheme val="minor"/>
    </font>
    <font>
      <b/>
      <u/>
      <sz val="8"/>
      <color theme="3"/>
      <name val="Calibri"/>
      <family val="2"/>
      <scheme val="minor"/>
    </font>
    <font>
      <b/>
      <u/>
      <sz val="8"/>
      <color theme="1"/>
      <name val="Calibri"/>
      <family val="2"/>
      <scheme val="minor"/>
    </font>
    <font>
      <sz val="8"/>
      <color rgb="FF0000FF"/>
      <name val="Calibri"/>
      <family val="2"/>
      <scheme val="minor"/>
    </font>
    <font>
      <sz val="8"/>
      <color rgb="FFFF0000"/>
      <name val="Calibri"/>
      <family val="2"/>
      <scheme val="minor"/>
    </font>
    <font>
      <b/>
      <sz val="9"/>
      <color indexed="81"/>
      <name val="Tahoma"/>
      <family val="2"/>
    </font>
    <font>
      <sz val="9"/>
      <color indexed="81"/>
      <name val="Tahoma"/>
      <family val="2"/>
    </font>
    <font>
      <sz val="10"/>
      <color theme="1"/>
      <name val="Calibri"/>
      <family val="2"/>
    </font>
    <font>
      <sz val="11"/>
      <color rgb="FFFF0000"/>
      <name val="Calibri"/>
      <family val="2"/>
      <scheme val="minor"/>
    </font>
    <font>
      <b/>
      <sz val="11"/>
      <color theme="1"/>
      <name val="Calibri"/>
      <family val="2"/>
      <scheme val="minor"/>
    </font>
    <font>
      <i/>
      <sz val="11"/>
      <color theme="1"/>
      <name val="Calibri"/>
      <family val="2"/>
      <scheme val="minor"/>
    </font>
    <font>
      <sz val="11"/>
      <name val="Calibri"/>
      <family val="2"/>
      <scheme val="minor"/>
    </font>
    <font>
      <i/>
      <sz val="11"/>
      <color rgb="FFFF0000"/>
      <name val="Calibri"/>
      <family val="2"/>
      <scheme val="minor"/>
    </font>
    <font>
      <sz val="11"/>
      <color rgb="FF0000FF"/>
      <name val="Calibri"/>
      <family val="2"/>
      <scheme val="minor"/>
    </font>
    <font>
      <sz val="8"/>
      <color rgb="FF00B050"/>
      <name val="Calibri"/>
      <family val="2"/>
      <scheme val="minor"/>
    </font>
    <font>
      <b/>
      <sz val="11"/>
      <color rgb="FFFF0000"/>
      <name val="Calibri"/>
      <family val="2"/>
      <scheme val="minor"/>
    </font>
    <font>
      <b/>
      <sz val="11"/>
      <color theme="0"/>
      <name val="Calibri"/>
      <family val="2"/>
      <scheme val="minor"/>
    </font>
    <font>
      <b/>
      <sz val="8"/>
      <color theme="1"/>
      <name val="Calibri"/>
      <family val="2"/>
      <scheme val="minor"/>
    </font>
    <font>
      <b/>
      <sz val="8"/>
      <color rgb="FFFF0000"/>
      <name val="Calibri"/>
      <family val="2"/>
      <scheme val="minor"/>
    </font>
    <font>
      <b/>
      <sz val="8"/>
      <name val="Calibri"/>
      <family val="2"/>
      <scheme val="minor"/>
    </font>
    <font>
      <b/>
      <u/>
      <sz val="8"/>
      <color rgb="FF0000FF"/>
      <name val="Calibri"/>
      <family val="2"/>
      <scheme val="minor"/>
    </font>
    <font>
      <b/>
      <u/>
      <sz val="8"/>
      <color rgb="FF7030A0"/>
      <name val="Calibri"/>
      <family val="2"/>
      <scheme val="minor"/>
    </font>
    <font>
      <b/>
      <sz val="8"/>
      <color rgb="FF0000FF"/>
      <name val="Calibri"/>
      <family val="2"/>
      <scheme val="minor"/>
    </font>
    <font>
      <b/>
      <u/>
      <sz val="11"/>
      <color theme="3"/>
      <name val="Calibri"/>
      <family val="2"/>
      <scheme val="minor"/>
    </font>
    <font>
      <b/>
      <u/>
      <sz val="11"/>
      <color theme="4"/>
      <name val="Calibri"/>
      <family val="2"/>
      <scheme val="minor"/>
    </font>
    <font>
      <u/>
      <sz val="11"/>
      <color theme="10"/>
      <name val="Calibri"/>
      <family val="2"/>
      <scheme val="minor"/>
    </font>
    <font>
      <sz val="8"/>
      <color rgb="FF7030A0"/>
      <name val="Calibri"/>
      <family val="2"/>
      <scheme val="minor"/>
    </font>
    <font>
      <sz val="11"/>
      <color theme="1"/>
      <name val="Calibri"/>
      <family val="2"/>
      <scheme val="minor"/>
    </font>
    <font>
      <u/>
      <sz val="8"/>
      <color theme="1"/>
      <name val="Calibri"/>
      <family val="2"/>
      <scheme val="minor"/>
    </font>
    <font>
      <b/>
      <u/>
      <sz val="8"/>
      <color theme="4"/>
      <name val="Calibri"/>
      <family val="2"/>
      <scheme val="minor"/>
    </font>
    <font>
      <b/>
      <u/>
      <sz val="8"/>
      <color rgb="FF002060"/>
      <name val="Calibri"/>
      <family val="2"/>
      <scheme val="minor"/>
    </font>
    <font>
      <b/>
      <u/>
      <sz val="8"/>
      <color rgb="FFFF0000"/>
      <name val="Calibri"/>
      <family val="2"/>
      <scheme val="minor"/>
    </font>
    <font>
      <b/>
      <sz val="11"/>
      <color theme="4"/>
      <name val="Calibri"/>
      <family val="2"/>
      <scheme val="minor"/>
    </font>
    <font>
      <sz val="11"/>
      <color theme="1"/>
      <name val="Poppins"/>
    </font>
    <font>
      <b/>
      <sz val="11"/>
      <color theme="1"/>
      <name val="Poppins"/>
    </font>
    <font>
      <i/>
      <sz val="11"/>
      <color theme="1"/>
      <name val="Poppins"/>
    </font>
    <font>
      <sz val="11"/>
      <name val="Poppins"/>
    </font>
    <font>
      <b/>
      <sz val="11"/>
      <color theme="0"/>
      <name val="Poppins"/>
    </font>
    <font>
      <b/>
      <sz val="9"/>
      <color theme="0"/>
      <name val="Poppins"/>
    </font>
    <font>
      <b/>
      <sz val="13"/>
      <color theme="0"/>
      <name val="Poppins"/>
    </font>
    <font>
      <b/>
      <vertAlign val="superscript"/>
      <sz val="11"/>
      <color theme="1"/>
      <name val="Poppins"/>
    </font>
    <font>
      <b/>
      <i/>
      <sz val="11"/>
      <color theme="1"/>
      <name val="Poppins"/>
    </font>
    <font>
      <b/>
      <sz val="11"/>
      <name val="Poppins"/>
    </font>
    <font>
      <b/>
      <sz val="11"/>
      <name val="Calibri"/>
      <family val="2"/>
      <scheme val="minor"/>
    </font>
    <font>
      <b/>
      <sz val="8"/>
      <color theme="0"/>
      <name val="Calibri"/>
      <family val="2"/>
      <charset val="1"/>
    </font>
    <font>
      <sz val="8"/>
      <color theme="1"/>
      <name val="Calibri"/>
      <family val="2"/>
      <charset val="1"/>
    </font>
    <font>
      <b/>
      <sz val="8"/>
      <color theme="1"/>
      <name val="Calibri"/>
      <family val="2"/>
      <charset val="1"/>
    </font>
    <font>
      <b/>
      <u/>
      <sz val="8"/>
      <color theme="4"/>
      <name val="Calibri"/>
      <family val="2"/>
      <charset val="1"/>
    </font>
    <font>
      <sz val="8"/>
      <color rgb="FF0000FF"/>
      <name val="Calibri"/>
      <family val="2"/>
    </font>
    <font>
      <sz val="8"/>
      <color rgb="FFFF0000"/>
      <name val="Calibri"/>
      <family val="2"/>
      <charset val="1"/>
    </font>
    <font>
      <sz val="8"/>
      <color rgb="FF000000"/>
      <name val="Calibri"/>
      <family val="2"/>
    </font>
    <font>
      <b/>
      <sz val="11"/>
      <color theme="1"/>
      <name val="Calibri"/>
      <family val="2"/>
      <charset val="1"/>
    </font>
    <font>
      <b/>
      <sz val="8"/>
      <color rgb="FF0000FF"/>
      <name val="Calibri"/>
      <family val="2"/>
    </font>
    <font>
      <b/>
      <sz val="9"/>
      <color rgb="FF000000"/>
      <name val="Calibri"/>
      <family val="2"/>
    </font>
    <font>
      <b/>
      <sz val="8"/>
      <color rgb="FF000000"/>
      <name val="Calibri"/>
      <family val="2"/>
    </font>
    <font>
      <i/>
      <sz val="8"/>
      <color rgb="FF000000"/>
      <name val="Calibri"/>
      <family val="2"/>
    </font>
    <font>
      <sz val="8"/>
      <color rgb="FF0000FF"/>
      <name val="Calibri"/>
      <family val="2"/>
    </font>
    <font>
      <sz val="8"/>
      <color rgb="FF0000FF"/>
      <name val="Calibri"/>
      <family val="2"/>
      <charset val="1"/>
    </font>
    <font>
      <b/>
      <sz val="8"/>
      <color rgb="FF000000"/>
      <name val="Calibri"/>
      <family val="2"/>
    </font>
    <font>
      <b/>
      <sz val="9"/>
      <color rgb="FF000000"/>
      <name val="Calibri"/>
      <family val="2"/>
    </font>
    <font>
      <b/>
      <sz val="8"/>
      <color rgb="FF0000FF"/>
      <name val="Calibri"/>
      <family val="2"/>
    </font>
    <font>
      <sz val="8"/>
      <color rgb="FF000000"/>
      <name val="Calibri"/>
      <family val="2"/>
    </font>
    <font>
      <i/>
      <sz val="8"/>
      <color rgb="FF000000"/>
      <name val="Calibri"/>
      <family val="2"/>
    </font>
    <font>
      <b/>
      <sz val="8"/>
      <color rgb="FF0000FF"/>
      <name val="Calibri"/>
      <family val="2"/>
      <charset val="1"/>
    </font>
    <font>
      <b/>
      <u/>
      <sz val="8"/>
      <name val="Calibri"/>
      <family val="2"/>
    </font>
    <font>
      <b/>
      <sz val="8"/>
      <color theme="1"/>
      <name val="Calibri"/>
      <family val="2"/>
    </font>
    <font>
      <sz val="8"/>
      <color theme="1"/>
      <name val="Calibri"/>
      <family val="2"/>
    </font>
    <font>
      <b/>
      <sz val="8"/>
      <color theme="0"/>
      <name val="Calibri"/>
      <family val="2"/>
    </font>
    <font>
      <b/>
      <sz val="8"/>
      <color rgb="FF7030A0"/>
      <name val="Calibri"/>
      <family val="2"/>
      <scheme val="minor"/>
    </font>
    <font>
      <b/>
      <sz val="11"/>
      <color theme="1"/>
      <name val="Calibri"/>
      <family val="2"/>
    </font>
    <font>
      <sz val="11"/>
      <color theme="1"/>
      <name val="Calibri"/>
      <family val="2"/>
      <charset val="1"/>
    </font>
    <font>
      <sz val="8"/>
      <color rgb="FF595959"/>
      <name val="Arial"/>
      <family val="2"/>
    </font>
    <font>
      <b/>
      <sz val="9"/>
      <color rgb="FF1F3864"/>
      <name val="Arial"/>
      <family val="2"/>
    </font>
    <font>
      <i/>
      <sz val="9"/>
      <color rgb="FF595959"/>
      <name val="Arial"/>
      <family val="2"/>
    </font>
    <font>
      <b/>
      <sz val="10"/>
      <color rgb="FF000000"/>
      <name val="Arial"/>
      <family val="2"/>
    </font>
    <font>
      <sz val="10"/>
      <color rgb="FF0000FF"/>
      <name val="Arial"/>
      <family val="2"/>
    </font>
    <font>
      <sz val="10"/>
      <color rgb="FF000000"/>
      <name val="Arial"/>
      <family val="2"/>
    </font>
    <font>
      <b/>
      <sz val="13"/>
      <color rgb="FF1F3864"/>
      <name val="Arial"/>
      <family val="2"/>
    </font>
    <font>
      <i/>
      <sz val="10"/>
      <color rgb="FF404040"/>
      <name val="Arial"/>
      <family val="2"/>
    </font>
    <font>
      <i/>
      <sz val="10"/>
      <color rgb="FF595959"/>
      <name val="Arial"/>
      <family val="2"/>
    </font>
    <font>
      <i/>
      <sz val="9"/>
      <color rgb="FF000000"/>
      <name val="Arial"/>
      <family val="2"/>
    </font>
    <font>
      <b/>
      <u/>
      <sz val="8"/>
      <color theme="3"/>
      <name val="Calibri"/>
      <family val="2"/>
    </font>
    <font>
      <i/>
      <sz val="8"/>
      <name val="Calibri"/>
      <family val="2"/>
    </font>
    <font>
      <i/>
      <sz val="8"/>
      <color rgb="FF595959"/>
      <name val="Calibri"/>
      <family val="2"/>
    </font>
    <font>
      <sz val="9"/>
      <color theme="1"/>
      <name val="Calibri"/>
      <family val="2"/>
      <scheme val="minor"/>
    </font>
    <font>
      <b/>
      <sz val="9"/>
      <color theme="0"/>
      <name val="Calibri"/>
      <family val="2"/>
      <scheme val="minor"/>
    </font>
    <font>
      <b/>
      <sz val="9"/>
      <color theme="1"/>
      <name val="Calibri"/>
      <family val="2"/>
      <scheme val="minor"/>
    </font>
    <font>
      <b/>
      <sz val="10"/>
      <name val="Calibri"/>
      <family val="2"/>
      <scheme val="minor"/>
    </font>
    <font>
      <b/>
      <sz val="10"/>
      <color rgb="FF000000"/>
      <name val="Calibri"/>
      <family val="2"/>
      <scheme val="minor"/>
    </font>
    <font>
      <sz val="10"/>
      <name val="Calibri"/>
      <family val="2"/>
      <scheme val="minor"/>
    </font>
    <font>
      <sz val="10"/>
      <color rgb="FF000000"/>
      <name val="Calibri"/>
      <family val="2"/>
      <scheme val="minor"/>
    </font>
    <font>
      <b/>
      <sz val="10"/>
      <color theme="1"/>
      <name val="Calibri"/>
      <family val="2"/>
      <scheme val="minor"/>
    </font>
    <font>
      <b/>
      <sz val="10"/>
      <color rgb="FFFFFFFF"/>
      <name val="Calibri"/>
      <family val="2"/>
      <scheme val="minor"/>
    </font>
    <font>
      <sz val="10"/>
      <color rgb="FF000000"/>
      <name val="Arial"/>
      <family val="2"/>
    </font>
    <font>
      <b/>
      <sz val="10"/>
      <color rgb="FF000000"/>
      <name val="Arial"/>
      <family val="2"/>
    </font>
    <font>
      <sz val="10"/>
      <color rgb="FF0000FF"/>
      <name val="Arial"/>
      <family val="2"/>
    </font>
    <font>
      <b/>
      <sz val="10"/>
      <color rgb="FFFFFFFF"/>
      <name val="Arial"/>
      <family val="2"/>
    </font>
    <font>
      <b/>
      <sz val="11"/>
      <color rgb="FF000000"/>
      <name val="Arial"/>
      <family val="2"/>
    </font>
    <font>
      <i/>
      <sz val="9"/>
      <color rgb="FF808080"/>
      <name val="Arial"/>
      <family val="2"/>
    </font>
    <font>
      <b/>
      <sz val="13"/>
      <color rgb="FF000000"/>
      <name val="Arial"/>
      <family val="2"/>
    </font>
    <font>
      <sz val="11"/>
      <color theme="0"/>
      <name val="Calibri"/>
      <family val="2"/>
      <scheme val="minor"/>
    </font>
    <font>
      <b/>
      <sz val="8"/>
      <name val="Calibri"/>
      <family val="2"/>
    </font>
    <font>
      <sz val="8"/>
      <name val="Calibri"/>
      <family val="2"/>
    </font>
    <font>
      <sz val="8"/>
      <color rgb="FF595959"/>
      <name val="Calibri"/>
      <family val="2"/>
      <scheme val="minor"/>
    </font>
    <font>
      <b/>
      <sz val="8"/>
      <color rgb="FF1F3864"/>
      <name val="Calibri"/>
      <family val="2"/>
      <scheme val="minor"/>
    </font>
    <font>
      <i/>
      <sz val="8"/>
      <color rgb="FF595959"/>
      <name val="Calibri"/>
      <family val="2"/>
      <scheme val="minor"/>
    </font>
    <font>
      <b/>
      <sz val="8"/>
      <color rgb="FFFFFFFF"/>
      <name val="Calibri"/>
      <family val="2"/>
      <scheme val="minor"/>
    </font>
    <font>
      <b/>
      <sz val="8"/>
      <color rgb="FF000000"/>
      <name val="Calibri"/>
      <family val="2"/>
      <scheme val="minor"/>
    </font>
    <font>
      <sz val="8"/>
      <color rgb="FF000000"/>
      <name val="Calibri"/>
      <family val="2"/>
      <scheme val="minor"/>
    </font>
    <font>
      <i/>
      <sz val="8"/>
      <color rgb="FF0000FF"/>
      <name val="Calibri"/>
      <family val="2"/>
      <scheme val="minor"/>
    </font>
    <font>
      <i/>
      <sz val="8"/>
      <color rgb="FF404040"/>
      <name val="Calibri"/>
      <family val="2"/>
      <scheme val="minor"/>
    </font>
    <font>
      <sz val="8"/>
      <color theme="1"/>
      <name val="Calibri Light"/>
      <family val="2"/>
      <scheme val="major"/>
    </font>
    <font>
      <b/>
      <i/>
      <sz val="10"/>
      <color rgb="FF000000"/>
      <name val="Arial"/>
      <family val="2"/>
    </font>
    <font>
      <b/>
      <i/>
      <sz val="8"/>
      <color rgb="FF000000"/>
      <name val="Calibri"/>
      <family val="2"/>
      <scheme val="minor"/>
    </font>
    <font>
      <b/>
      <u/>
      <sz val="8"/>
      <name val="Calibri"/>
      <family val="2"/>
      <scheme val="minor"/>
    </font>
    <font>
      <i/>
      <sz val="8"/>
      <name val="Calibri"/>
      <family val="2"/>
      <scheme val="minor"/>
    </font>
    <font>
      <b/>
      <sz val="12"/>
      <color rgb="FF1F3864"/>
      <name val="Arial"/>
      <family val="2"/>
    </font>
    <font>
      <i/>
      <sz val="9"/>
      <color rgb="FF404040"/>
      <name val="Arial"/>
      <family val="2"/>
    </font>
    <font>
      <i/>
      <sz val="9"/>
      <color rgb="FF606060"/>
      <name val="Arial"/>
      <family val="2"/>
    </font>
    <font>
      <b/>
      <i/>
      <sz val="10"/>
      <name val="Arial"/>
      <family val="2"/>
    </font>
    <font>
      <b/>
      <sz val="16"/>
      <name val="Arial"/>
      <family val="2"/>
    </font>
    <font>
      <b/>
      <sz val="10"/>
      <name val="Arial"/>
      <family val="2"/>
    </font>
    <font>
      <sz val="16"/>
      <name val="Arial"/>
      <family val="2"/>
    </font>
    <font>
      <b/>
      <sz val="24"/>
      <name val="Arial"/>
      <family val="2"/>
    </font>
    <font>
      <sz val="11"/>
      <color theme="1"/>
      <name val="Arial"/>
      <family val="2"/>
    </font>
    <font>
      <sz val="10"/>
      <color theme="1"/>
      <name val="Arial"/>
      <family val="2"/>
    </font>
    <font>
      <vertAlign val="superscript"/>
      <sz val="11"/>
      <name val="Calibri"/>
      <family val="2"/>
    </font>
    <font>
      <sz val="11"/>
      <name val="Calibri"/>
      <family val="2"/>
    </font>
    <font>
      <sz val="11"/>
      <color theme="1"/>
      <name val="Aptos Narrow"/>
      <family val="2"/>
    </font>
    <font>
      <sz val="11"/>
      <color theme="1"/>
      <name val="Calibri"/>
      <family val="2"/>
    </font>
    <font>
      <b/>
      <sz val="12"/>
      <color rgb="FF212529"/>
      <name val="Arial"/>
      <family val="2"/>
    </font>
    <font>
      <sz val="12"/>
      <color rgb="FF1A1A1A"/>
      <name val="Arial"/>
      <family val="2"/>
    </font>
    <font>
      <sz val="12"/>
      <color rgb="FF212529"/>
      <name val="Arial"/>
      <family val="2"/>
    </font>
    <font>
      <sz val="11"/>
      <color rgb="FF000000"/>
      <name val="Calibri"/>
      <family val="2"/>
      <scheme val="minor"/>
    </font>
    <font>
      <sz val="10"/>
      <color theme="1"/>
      <name val="Calibri"/>
      <family val="2"/>
      <scheme val="minor"/>
    </font>
    <font>
      <i/>
      <sz val="10"/>
      <color theme="1"/>
      <name val="Calibri"/>
      <family val="2"/>
      <scheme val="minor"/>
    </font>
    <font>
      <b/>
      <sz val="10"/>
      <color theme="0"/>
      <name val="Calibri"/>
      <family val="2"/>
      <scheme val="minor"/>
    </font>
  </fonts>
  <fills count="32">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4"/>
        <bgColor indexed="64"/>
      </patternFill>
    </fill>
    <fill>
      <patternFill patternType="solid">
        <fgColor theme="2" tint="0.59999389629810485"/>
        <bgColor indexed="64"/>
      </patternFill>
    </fill>
    <fill>
      <patternFill patternType="solid">
        <fgColor theme="6" tint="0.79998168889431442"/>
        <bgColor indexed="64"/>
      </patternFill>
    </fill>
    <fill>
      <patternFill patternType="solid">
        <fgColor rgb="FFC0000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002060"/>
        <bgColor indexed="64"/>
      </patternFill>
    </fill>
    <fill>
      <patternFill patternType="solid">
        <fgColor theme="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021237"/>
        <bgColor indexed="64"/>
      </patternFill>
    </fill>
    <fill>
      <patternFill patternType="solid">
        <fgColor theme="3"/>
        <bgColor rgb="FF800000"/>
      </patternFill>
    </fill>
    <fill>
      <patternFill patternType="solid">
        <fgColor theme="5" tint="0.79998168889431442"/>
        <bgColor rgb="FFFFFF00"/>
      </patternFill>
    </fill>
    <fill>
      <patternFill patternType="solid">
        <fgColor rgb="FFD6DCE5"/>
        <bgColor rgb="FFC0C0C0"/>
      </patternFill>
    </fill>
    <fill>
      <patternFill patternType="solid">
        <fgColor theme="5" tint="0.79998168889431442"/>
        <bgColor indexed="64"/>
      </patternFill>
    </fill>
    <fill>
      <patternFill patternType="solid">
        <fgColor rgb="FFDDEBF7"/>
        <bgColor rgb="FFF2F2F2"/>
      </patternFill>
    </fill>
    <fill>
      <patternFill patternType="solid">
        <fgColor rgb="FF1F3864"/>
        <bgColor rgb="FF333399"/>
      </patternFill>
    </fill>
    <fill>
      <patternFill patternType="solid">
        <fgColor rgb="FF2E5496"/>
        <bgColor rgb="FF1F3864"/>
      </patternFill>
    </fill>
    <fill>
      <patternFill patternType="solid">
        <fgColor rgb="FF1F3864"/>
        <bgColor rgb="FF404040"/>
      </patternFill>
    </fill>
    <fill>
      <patternFill patternType="solid">
        <fgColor indexed="9"/>
        <bgColor indexed="64"/>
      </patternFill>
    </fill>
    <fill>
      <patternFill patternType="solid">
        <fgColor rgb="FFF9F9F9"/>
        <bgColor indexed="64"/>
      </patternFill>
    </fill>
    <fill>
      <patternFill patternType="solid">
        <fgColor rgb="FF00BEC0"/>
        <bgColor indexed="64"/>
      </patternFill>
    </fill>
  </fills>
  <borders count="41">
    <border>
      <left/>
      <right/>
      <top/>
      <bottom/>
      <diagonal/>
    </border>
    <border>
      <left/>
      <right/>
      <top style="thin">
        <color indexed="64"/>
      </top>
      <bottom/>
      <diagonal/>
    </border>
    <border>
      <left/>
      <right style="thin">
        <color theme="0"/>
      </right>
      <top/>
      <bottom/>
      <diagonal/>
    </border>
    <border>
      <left style="thin">
        <color theme="0"/>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right/>
      <top style="thin">
        <color rgb="FF808080"/>
      </top>
      <bottom/>
      <diagonal/>
    </border>
    <border>
      <left/>
      <right/>
      <top style="thin">
        <color rgb="FF404040"/>
      </top>
      <bottom style="double">
        <color rgb="FF404040"/>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double">
        <color auto="1"/>
      </top>
      <bottom/>
      <diagonal/>
    </border>
    <border>
      <left/>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diagonal/>
    </border>
  </borders>
  <cellStyleXfs count="10">
    <xf numFmtId="0" fontId="0" fillId="0" borderId="0"/>
    <xf numFmtId="0" fontId="3" fillId="0" borderId="0" applyNumberFormat="0" applyFill="0" applyBorder="0" applyAlignment="0" applyProtection="0"/>
    <xf numFmtId="165" fontId="11" fillId="0" borderId="0" applyFont="0" applyFill="0" applyBorder="0" applyProtection="0">
      <alignment vertical="top"/>
    </xf>
    <xf numFmtId="0" fontId="29" fillId="0" borderId="0" applyNumberForma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 fillId="0" borderId="0"/>
    <xf numFmtId="0" fontId="74" fillId="0" borderId="0"/>
    <xf numFmtId="0" fontId="3" fillId="0" borderId="0"/>
    <xf numFmtId="0" fontId="3" fillId="0" borderId="0"/>
  </cellStyleXfs>
  <cellXfs count="708">
    <xf numFmtId="0" fontId="0" fillId="0" borderId="0" xfId="0"/>
    <xf numFmtId="0" fontId="1" fillId="2" borderId="0" xfId="0" applyFont="1" applyFill="1" applyAlignment="1">
      <alignment horizontal="left"/>
    </xf>
    <xf numFmtId="0" fontId="2" fillId="2" borderId="0" xfId="0" applyFont="1" applyFill="1" applyAlignment="1">
      <alignment horizontal="left"/>
    </xf>
    <xf numFmtId="2" fontId="2" fillId="2" borderId="1" xfId="1" applyNumberFormat="1" applyFont="1" applyFill="1" applyBorder="1" applyAlignment="1">
      <alignment horizontal="center" vertical="center"/>
    </xf>
    <xf numFmtId="0" fontId="2" fillId="2" borderId="3" xfId="1" applyFont="1" applyFill="1" applyBorder="1" applyAlignment="1">
      <alignment horizontal="center" vertical="center"/>
    </xf>
    <xf numFmtId="0" fontId="2" fillId="2" borderId="2" xfId="1" applyFont="1" applyFill="1" applyBorder="1" applyAlignment="1">
      <alignment horizontal="center" vertical="center"/>
    </xf>
    <xf numFmtId="0" fontId="1" fillId="2" borderId="0" xfId="0" applyFont="1" applyFill="1" applyAlignment="1">
      <alignment horizontal="center"/>
    </xf>
    <xf numFmtId="0" fontId="1" fillId="0" borderId="0" xfId="0" applyFont="1" applyAlignment="1">
      <alignment horizontal="center"/>
    </xf>
    <xf numFmtId="0" fontId="1" fillId="0" borderId="0" xfId="0" applyFont="1" applyAlignment="1">
      <alignment horizontal="left"/>
    </xf>
    <xf numFmtId="17" fontId="1" fillId="0" borderId="0" xfId="0" applyNumberFormat="1" applyFont="1" applyAlignment="1">
      <alignment horizontal="center"/>
    </xf>
    <xf numFmtId="17" fontId="1" fillId="0" borderId="4" xfId="0" applyNumberFormat="1" applyFont="1" applyBorder="1" applyAlignment="1">
      <alignment horizontal="center"/>
    </xf>
    <xf numFmtId="17" fontId="1" fillId="0" borderId="5" xfId="0" applyNumberFormat="1" applyFont="1" applyBorder="1" applyAlignment="1">
      <alignment horizontal="center"/>
    </xf>
    <xf numFmtId="0" fontId="1" fillId="0" borderId="0" xfId="0" applyFont="1"/>
    <xf numFmtId="0" fontId="4" fillId="0" borderId="0" xfId="0" applyFont="1" applyAlignment="1">
      <alignment horizontal="left" indent="1"/>
    </xf>
    <xf numFmtId="0" fontId="2" fillId="0" borderId="0" xfId="0" applyFont="1" applyAlignment="1">
      <alignment horizontal="center"/>
    </xf>
    <xf numFmtId="0" fontId="4" fillId="0" borderId="0" xfId="1" applyFont="1" applyFill="1" applyBorder="1" applyAlignment="1">
      <alignment horizontal="center" vertical="center"/>
    </xf>
    <xf numFmtId="0" fontId="4" fillId="0" borderId="0" xfId="0" applyFont="1"/>
    <xf numFmtId="0" fontId="4" fillId="0" borderId="0" xfId="0" applyFont="1" applyAlignment="1">
      <alignment horizontal="center"/>
    </xf>
    <xf numFmtId="0" fontId="1" fillId="0" borderId="0" xfId="0" applyFont="1" applyAlignment="1">
      <alignment horizontal="left" indent="1"/>
    </xf>
    <xf numFmtId="0" fontId="1" fillId="4" borderId="0" xfId="0" applyFont="1" applyFill="1"/>
    <xf numFmtId="0" fontId="5" fillId="0" borderId="0" xfId="0" applyFont="1"/>
    <xf numFmtId="0" fontId="6" fillId="0" borderId="0" xfId="0" applyFont="1" applyAlignment="1">
      <alignment horizontal="left" indent="1"/>
    </xf>
    <xf numFmtId="0" fontId="1" fillId="0" borderId="0" xfId="0" applyFont="1" applyAlignment="1">
      <alignment horizontal="left" indent="2"/>
    </xf>
    <xf numFmtId="3" fontId="7" fillId="0" borderId="0" xfId="0" applyNumberFormat="1" applyFont="1"/>
    <xf numFmtId="3" fontId="8" fillId="0" borderId="0" xfId="0" applyNumberFormat="1" applyFont="1"/>
    <xf numFmtId="3" fontId="1" fillId="0" borderId="0" xfId="0" applyNumberFormat="1" applyFont="1"/>
    <xf numFmtId="164" fontId="1" fillId="0" borderId="0" xfId="0" applyNumberFormat="1" applyFont="1"/>
    <xf numFmtId="0" fontId="6" fillId="0" borderId="0" xfId="0" applyFont="1" applyAlignment="1">
      <alignment horizontal="left"/>
    </xf>
    <xf numFmtId="0" fontId="2" fillId="2" borderId="0" xfId="0" applyFont="1" applyFill="1" applyAlignment="1">
      <alignment horizontal="right" vertical="center"/>
    </xf>
    <xf numFmtId="17" fontId="7" fillId="0" borderId="6" xfId="2" applyNumberFormat="1" applyFont="1" applyBorder="1" applyAlignment="1">
      <alignment vertical="center"/>
    </xf>
    <xf numFmtId="17" fontId="1" fillId="0" borderId="6" xfId="2" applyNumberFormat="1" applyFont="1" applyBorder="1" applyAlignment="1">
      <alignment vertical="center"/>
    </xf>
    <xf numFmtId="166" fontId="1" fillId="0" borderId="0" xfId="0" applyNumberFormat="1" applyFont="1"/>
    <xf numFmtId="167" fontId="8" fillId="0" borderId="0" xfId="0" applyNumberFormat="1" applyFont="1"/>
    <xf numFmtId="0" fontId="0" fillId="0" borderId="6" xfId="0" applyBorder="1"/>
    <xf numFmtId="0" fontId="13" fillId="0" borderId="0" xfId="0" applyFont="1"/>
    <xf numFmtId="0" fontId="14" fillId="0" borderId="0" xfId="0" applyFont="1"/>
    <xf numFmtId="0" fontId="0" fillId="0" borderId="0" xfId="0" applyAlignment="1">
      <alignment horizontal="left" indent="1"/>
    </xf>
    <xf numFmtId="0" fontId="14" fillId="0" borderId="0" xfId="0" applyFont="1" applyAlignment="1">
      <alignment horizontal="left" indent="2"/>
    </xf>
    <xf numFmtId="0" fontId="12" fillId="0" borderId="0" xfId="0" applyFont="1"/>
    <xf numFmtId="3" fontId="12" fillId="0" borderId="0" xfId="0" applyNumberFormat="1" applyFont="1"/>
    <xf numFmtId="0" fontId="0" fillId="0" borderId="0" xfId="0" applyAlignment="1">
      <alignment horizontal="center"/>
    </xf>
    <xf numFmtId="0" fontId="0" fillId="0" borderId="6" xfId="0" applyBorder="1" applyAlignment="1">
      <alignment horizontal="center"/>
    </xf>
    <xf numFmtId="17" fontId="0" fillId="0" borderId="0" xfId="0" applyNumberFormat="1" applyAlignment="1">
      <alignment horizontal="center"/>
    </xf>
    <xf numFmtId="3" fontId="15" fillId="0" borderId="0" xfId="0" applyNumberFormat="1" applyFont="1"/>
    <xf numFmtId="10" fontId="16" fillId="0" borderId="0" xfId="0" applyNumberFormat="1" applyFont="1"/>
    <xf numFmtId="10" fontId="14" fillId="0" borderId="0" xfId="0" applyNumberFormat="1" applyFont="1"/>
    <xf numFmtId="0" fontId="13" fillId="0" borderId="0" xfId="0" applyFont="1" applyAlignment="1">
      <alignment horizontal="center"/>
    </xf>
    <xf numFmtId="0" fontId="14" fillId="0" borderId="0" xfId="0" applyFont="1" applyAlignment="1">
      <alignment horizontal="center"/>
    </xf>
    <xf numFmtId="168" fontId="17" fillId="0" borderId="0" xfId="0" applyNumberFormat="1" applyFont="1"/>
    <xf numFmtId="164" fontId="1" fillId="3" borderId="0" xfId="0" applyNumberFormat="1" applyFont="1" applyFill="1"/>
    <xf numFmtId="166" fontId="0" fillId="0" borderId="0" xfId="0" applyNumberFormat="1"/>
    <xf numFmtId="9" fontId="0" fillId="0" borderId="0" xfId="0" applyNumberFormat="1"/>
    <xf numFmtId="0" fontId="0" fillId="3" borderId="0" xfId="0" applyFill="1"/>
    <xf numFmtId="167" fontId="18" fillId="0" borderId="0" xfId="0" applyNumberFormat="1" applyFont="1"/>
    <xf numFmtId="0" fontId="18" fillId="0" borderId="0" xfId="0" applyFont="1"/>
    <xf numFmtId="164" fontId="8" fillId="0" borderId="0" xfId="0" applyNumberFormat="1" applyFont="1"/>
    <xf numFmtId="0" fontId="1" fillId="3" borderId="0" xfId="0" applyFont="1" applyFill="1"/>
    <xf numFmtId="4" fontId="0" fillId="0" borderId="0" xfId="0" applyNumberFormat="1"/>
    <xf numFmtId="166" fontId="13" fillId="0" borderId="0" xfId="0" applyNumberFormat="1" applyFont="1"/>
    <xf numFmtId="168" fontId="12" fillId="0" borderId="0" xfId="0" applyNumberFormat="1" applyFont="1"/>
    <xf numFmtId="166" fontId="19" fillId="0" borderId="0" xfId="0" applyNumberFormat="1" applyFont="1"/>
    <xf numFmtId="9" fontId="19" fillId="0" borderId="0" xfId="0" applyNumberFormat="1" applyFont="1"/>
    <xf numFmtId="167" fontId="15" fillId="0" borderId="0" xfId="0" applyNumberFormat="1" applyFont="1"/>
    <xf numFmtId="0" fontId="2" fillId="2" borderId="0" xfId="1" applyFont="1" applyFill="1" applyBorder="1" applyAlignment="1">
      <alignment horizontal="center" vertical="center"/>
    </xf>
    <xf numFmtId="0" fontId="21" fillId="0" borderId="0" xfId="0" applyFont="1" applyAlignment="1">
      <alignment horizontal="left"/>
    </xf>
    <xf numFmtId="8" fontId="1" fillId="0" borderId="0" xfId="0" applyNumberFormat="1" applyFont="1"/>
    <xf numFmtId="0" fontId="21" fillId="0" borderId="0" xfId="0" applyFont="1"/>
    <xf numFmtId="0" fontId="21" fillId="0" borderId="7" xfId="0" applyFont="1" applyBorder="1"/>
    <xf numFmtId="0" fontId="21" fillId="0" borderId="7" xfId="0" applyFont="1" applyBorder="1" applyAlignment="1">
      <alignment horizontal="left" indent="1"/>
    </xf>
    <xf numFmtId="3" fontId="22" fillId="0" borderId="7" xfId="0" applyNumberFormat="1" applyFont="1" applyBorder="1"/>
    <xf numFmtId="3" fontId="4" fillId="0" borderId="0" xfId="0" applyNumberFormat="1" applyFont="1"/>
    <xf numFmtId="3" fontId="23" fillId="0" borderId="7" xfId="0" applyNumberFormat="1" applyFont="1" applyBorder="1"/>
    <xf numFmtId="0" fontId="21" fillId="0" borderId="7" xfId="0" applyFont="1" applyBorder="1" applyAlignment="1">
      <alignment horizontal="left" indent="2"/>
    </xf>
    <xf numFmtId="0" fontId="1" fillId="0" borderId="0" xfId="0" applyFont="1" applyAlignment="1">
      <alignment horizontal="left" indent="3"/>
    </xf>
    <xf numFmtId="0" fontId="24" fillId="0" borderId="0" xfId="0" applyFont="1" applyAlignment="1">
      <alignment horizontal="left" indent="1"/>
    </xf>
    <xf numFmtId="164" fontId="4" fillId="0" borderId="0" xfId="0" applyNumberFormat="1" applyFont="1"/>
    <xf numFmtId="164" fontId="23" fillId="0" borderId="7" xfId="0" applyNumberFormat="1" applyFont="1" applyBorder="1"/>
    <xf numFmtId="0" fontId="25" fillId="0" borderId="0" xfId="0" applyFont="1" applyAlignment="1">
      <alignment horizontal="left" indent="1"/>
    </xf>
    <xf numFmtId="169" fontId="1" fillId="0" borderId="0" xfId="0" applyNumberFormat="1" applyFont="1"/>
    <xf numFmtId="0" fontId="21" fillId="0" borderId="7" xfId="0" applyFont="1" applyBorder="1" applyAlignment="1">
      <alignment horizontal="center"/>
    </xf>
    <xf numFmtId="169" fontId="4" fillId="0" borderId="0" xfId="0" applyNumberFormat="1" applyFont="1"/>
    <xf numFmtId="169" fontId="23" fillId="0" borderId="7" xfId="0" applyNumberFormat="1" applyFont="1" applyBorder="1"/>
    <xf numFmtId="0" fontId="18" fillId="0" borderId="0" xfId="0" applyFont="1" applyAlignment="1">
      <alignment horizontal="left" indent="1"/>
    </xf>
    <xf numFmtId="3" fontId="18" fillId="0" borderId="0" xfId="0" applyNumberFormat="1" applyFont="1"/>
    <xf numFmtId="0" fontId="8" fillId="0" borderId="0" xfId="0" applyFont="1"/>
    <xf numFmtId="0" fontId="1" fillId="0" borderId="0" xfId="0" applyFont="1" applyAlignment="1">
      <alignment horizontal="left" indent="4"/>
    </xf>
    <xf numFmtId="0" fontId="21" fillId="0" borderId="0" xfId="0" applyFont="1" applyAlignment="1">
      <alignment horizontal="left" indent="2"/>
    </xf>
    <xf numFmtId="3" fontId="22" fillId="0" borderId="0" xfId="0" applyNumberFormat="1" applyFont="1"/>
    <xf numFmtId="0" fontId="21" fillId="0" borderId="0" xfId="0" applyFont="1" applyAlignment="1">
      <alignment horizontal="left" indent="3"/>
    </xf>
    <xf numFmtId="3" fontId="23" fillId="0" borderId="0" xfId="0" applyNumberFormat="1" applyFont="1"/>
    <xf numFmtId="0" fontId="21" fillId="0" borderId="6" xfId="0" applyFont="1" applyBorder="1" applyAlignment="1">
      <alignment horizontal="left" indent="2"/>
    </xf>
    <xf numFmtId="0" fontId="21" fillId="0" borderId="6" xfId="0" applyFont="1" applyBorder="1"/>
    <xf numFmtId="3" fontId="22" fillId="0" borderId="6" xfId="0" applyNumberFormat="1" applyFont="1" applyBorder="1"/>
    <xf numFmtId="3" fontId="26" fillId="0" borderId="6" xfId="0" applyNumberFormat="1" applyFont="1" applyBorder="1"/>
    <xf numFmtId="3" fontId="8" fillId="3" borderId="0" xfId="0" applyNumberFormat="1" applyFont="1" applyFill="1"/>
    <xf numFmtId="3" fontId="22" fillId="5" borderId="7" xfId="0" applyNumberFormat="1" applyFont="1" applyFill="1" applyBorder="1"/>
    <xf numFmtId="3" fontId="21" fillId="0" borderId="0" xfId="0" applyNumberFormat="1" applyFont="1"/>
    <xf numFmtId="0" fontId="20" fillId="2" borderId="0" xfId="0" applyFont="1" applyFill="1" applyAlignment="1">
      <alignment horizontal="center"/>
    </xf>
    <xf numFmtId="0" fontId="27" fillId="0" borderId="0" xfId="0" applyFont="1"/>
    <xf numFmtId="0" fontId="13" fillId="0" borderId="7" xfId="0" applyFont="1" applyBorder="1"/>
    <xf numFmtId="0" fontId="28" fillId="0" borderId="0" xfId="0" applyFont="1"/>
    <xf numFmtId="0" fontId="20" fillId="6" borderId="0" xfId="0" applyFont="1" applyFill="1" applyAlignment="1">
      <alignment horizontal="center"/>
    </xf>
    <xf numFmtId="0" fontId="0" fillId="7" borderId="0" xfId="0" applyFill="1"/>
    <xf numFmtId="0" fontId="13" fillId="7" borderId="0" xfId="0" applyFont="1" applyFill="1"/>
    <xf numFmtId="0" fontId="13" fillId="8" borderId="0" xfId="0" applyFont="1" applyFill="1"/>
    <xf numFmtId="0" fontId="0" fillId="8" borderId="0" xfId="0" applyFill="1"/>
    <xf numFmtId="0" fontId="0" fillId="2" borderId="0" xfId="0" applyFill="1"/>
    <xf numFmtId="0" fontId="0" fillId="2" borderId="0" xfId="0" applyFill="1" applyAlignment="1">
      <alignment horizontal="center"/>
    </xf>
    <xf numFmtId="9" fontId="0" fillId="0" borderId="0" xfId="0" applyNumberFormat="1" applyAlignment="1">
      <alignment horizontal="center"/>
    </xf>
    <xf numFmtId="0" fontId="14" fillId="0" borderId="0" xfId="0" applyFont="1" applyAlignment="1">
      <alignment horizontal="left" indent="1"/>
    </xf>
    <xf numFmtId="15" fontId="14" fillId="0" borderId="0" xfId="0" applyNumberFormat="1" applyFont="1" applyAlignment="1">
      <alignment horizontal="center"/>
    </xf>
    <xf numFmtId="2" fontId="14" fillId="0" borderId="0" xfId="0" applyNumberFormat="1" applyFont="1" applyAlignment="1">
      <alignment horizontal="center"/>
    </xf>
    <xf numFmtId="10" fontId="0" fillId="0" borderId="0" xfId="0" applyNumberFormat="1" applyAlignment="1">
      <alignment horizontal="center"/>
    </xf>
    <xf numFmtId="0" fontId="20" fillId="9" borderId="0" xfId="0" applyFont="1" applyFill="1"/>
    <xf numFmtId="0" fontId="20" fillId="9" borderId="0" xfId="0" applyFont="1" applyFill="1" applyAlignment="1">
      <alignment horizontal="right"/>
    </xf>
    <xf numFmtId="0" fontId="0" fillId="4" borderId="0" xfId="0" applyFill="1"/>
    <xf numFmtId="166" fontId="0" fillId="4" borderId="0" xfId="0" applyNumberFormat="1" applyFill="1" applyAlignment="1">
      <alignment horizontal="right"/>
    </xf>
    <xf numFmtId="0" fontId="0" fillId="4" borderId="0" xfId="0" quotePrefix="1" applyFill="1"/>
    <xf numFmtId="166" fontId="0" fillId="4" borderId="0" xfId="0" quotePrefix="1" applyNumberFormat="1" applyFill="1" applyAlignment="1">
      <alignment horizontal="right"/>
    </xf>
    <xf numFmtId="0" fontId="1" fillId="10" borderId="0" xfId="0" applyFont="1" applyFill="1"/>
    <xf numFmtId="3" fontId="1" fillId="10" borderId="0" xfId="0" applyNumberFormat="1" applyFont="1" applyFill="1"/>
    <xf numFmtId="166" fontId="8" fillId="0" borderId="0" xfId="0" applyNumberFormat="1" applyFont="1"/>
    <xf numFmtId="9" fontId="8" fillId="0" borderId="0" xfId="0" applyNumberFormat="1" applyFont="1"/>
    <xf numFmtId="9" fontId="7" fillId="0" borderId="0" xfId="0" applyNumberFormat="1" applyFont="1"/>
    <xf numFmtId="0" fontId="21" fillId="0" borderId="0" xfId="0" applyFont="1" applyAlignment="1">
      <alignment horizontal="center"/>
    </xf>
    <xf numFmtId="0" fontId="21" fillId="0" borderId="6" xfId="0" applyFont="1" applyBorder="1" applyAlignment="1">
      <alignment horizontal="center"/>
    </xf>
    <xf numFmtId="0" fontId="21" fillId="0" borderId="0" xfId="0" applyFont="1" applyAlignment="1">
      <alignment horizontal="left" indent="1"/>
    </xf>
    <xf numFmtId="0" fontId="21" fillId="3" borderId="0" xfId="0" applyFont="1" applyFill="1" applyAlignment="1">
      <alignment horizontal="left" indent="1"/>
    </xf>
    <xf numFmtId="3" fontId="22" fillId="3" borderId="0" xfId="0" applyNumberFormat="1" applyFont="1" applyFill="1"/>
    <xf numFmtId="10" fontId="1" fillId="0" borderId="0" xfId="0" applyNumberFormat="1" applyFont="1"/>
    <xf numFmtId="0" fontId="14" fillId="3" borderId="0" xfId="0" applyFont="1" applyFill="1" applyAlignment="1">
      <alignment horizontal="left" indent="1"/>
    </xf>
    <xf numFmtId="0" fontId="29" fillId="0" borderId="0" xfId="3" applyAlignment="1">
      <alignment horizontal="left" wrapText="1"/>
    </xf>
    <xf numFmtId="3" fontId="4" fillId="0" borderId="0" xfId="0" quotePrefix="1" applyNumberFormat="1" applyFont="1" applyAlignment="1">
      <alignment horizontal="center"/>
    </xf>
    <xf numFmtId="3" fontId="18" fillId="0" borderId="0" xfId="0" applyNumberFormat="1" applyFont="1" applyAlignment="1">
      <alignment horizontal="center"/>
    </xf>
    <xf numFmtId="0" fontId="7" fillId="0" borderId="0" xfId="0" applyFont="1"/>
    <xf numFmtId="3" fontId="26" fillId="0" borderId="7" xfId="0" applyNumberFormat="1" applyFont="1" applyBorder="1"/>
    <xf numFmtId="0" fontId="21" fillId="0" borderId="8" xfId="0" applyFont="1" applyBorder="1" applyAlignment="1">
      <alignment horizontal="left" indent="2"/>
    </xf>
    <xf numFmtId="0" fontId="21" fillId="0" borderId="8" xfId="0" applyFont="1" applyBorder="1" applyAlignment="1">
      <alignment horizontal="center"/>
    </xf>
    <xf numFmtId="0" fontId="21" fillId="0" borderId="8" xfId="0" applyFont="1" applyBorder="1"/>
    <xf numFmtId="3" fontId="22" fillId="0" borderId="8" xfId="0" applyNumberFormat="1" applyFont="1" applyBorder="1"/>
    <xf numFmtId="3" fontId="26" fillId="0" borderId="8" xfId="0" applyNumberFormat="1" applyFont="1" applyBorder="1"/>
    <xf numFmtId="0" fontId="21" fillId="0" borderId="9" xfId="0" applyFont="1" applyBorder="1" applyAlignment="1">
      <alignment horizontal="left" indent="2"/>
    </xf>
    <xf numFmtId="0" fontId="21" fillId="0" borderId="9" xfId="0" applyFont="1" applyBorder="1" applyAlignment="1">
      <alignment horizontal="center"/>
    </xf>
    <xf numFmtId="0" fontId="21" fillId="0" borderId="9" xfId="0" applyFont="1" applyBorder="1"/>
    <xf numFmtId="3" fontId="22" fillId="0" borderId="9" xfId="0" applyNumberFormat="1" applyFont="1" applyBorder="1"/>
    <xf numFmtId="3" fontId="26" fillId="0" borderId="9" xfId="0" applyNumberFormat="1" applyFont="1" applyBorder="1"/>
    <xf numFmtId="3" fontId="26" fillId="0" borderId="0" xfId="0" applyNumberFormat="1" applyFont="1"/>
    <xf numFmtId="164" fontId="7" fillId="0" borderId="0" xfId="0" applyNumberFormat="1" applyFont="1"/>
    <xf numFmtId="0" fontId="1" fillId="0" borderId="0" xfId="0" applyFont="1" applyAlignment="1">
      <alignment horizontal="left" indent="5"/>
    </xf>
    <xf numFmtId="0" fontId="21" fillId="0" borderId="0" xfId="0" applyFont="1" applyAlignment="1">
      <alignment horizontal="left" indent="4"/>
    </xf>
    <xf numFmtId="10" fontId="7" fillId="0" borderId="0" xfId="0" applyNumberFormat="1" applyFont="1"/>
    <xf numFmtId="167" fontId="1" fillId="0" borderId="0" xfId="0" applyNumberFormat="1" applyFont="1"/>
    <xf numFmtId="0" fontId="6" fillId="0" borderId="0" xfId="0" applyFont="1" applyAlignment="1">
      <alignment horizontal="left" indent="2"/>
    </xf>
    <xf numFmtId="0" fontId="6" fillId="0" borderId="0" xfId="0" applyFont="1" applyAlignment="1">
      <alignment horizontal="left" indent="3"/>
    </xf>
    <xf numFmtId="0" fontId="6" fillId="0" borderId="0" xfId="0" applyFont="1" applyAlignment="1">
      <alignment horizontal="left" indent="4"/>
    </xf>
    <xf numFmtId="0" fontId="21" fillId="0" borderId="8" xfId="0" applyFont="1" applyBorder="1" applyAlignment="1">
      <alignment horizontal="left" indent="3"/>
    </xf>
    <xf numFmtId="0" fontId="21" fillId="0" borderId="1" xfId="0" applyFont="1" applyBorder="1" applyAlignment="1">
      <alignment horizontal="left" indent="4"/>
    </xf>
    <xf numFmtId="0" fontId="21" fillId="0" borderId="1" xfId="0" applyFont="1" applyBorder="1" applyAlignment="1">
      <alignment horizontal="center"/>
    </xf>
    <xf numFmtId="3" fontId="22" fillId="0" borderId="1" xfId="0" applyNumberFormat="1" applyFont="1" applyBorder="1"/>
    <xf numFmtId="3" fontId="23" fillId="0" borderId="1" xfId="0" applyNumberFormat="1" applyFont="1" applyBorder="1"/>
    <xf numFmtId="0" fontId="21" fillId="0" borderId="1" xfId="0" applyFont="1" applyBorder="1" applyAlignment="1">
      <alignment horizontal="left" indent="3"/>
    </xf>
    <xf numFmtId="0" fontId="29" fillId="0" borderId="0" xfId="3"/>
    <xf numFmtId="9" fontId="1" fillId="0" borderId="0" xfId="0" applyNumberFormat="1" applyFont="1"/>
    <xf numFmtId="164" fontId="30" fillId="0" borderId="0" xfId="0" applyNumberFormat="1" applyFont="1"/>
    <xf numFmtId="9" fontId="8" fillId="0" borderId="0" xfId="4" applyFont="1"/>
    <xf numFmtId="0" fontId="21" fillId="0" borderId="7" xfId="0" applyFont="1" applyBorder="1" applyAlignment="1">
      <alignment horizontal="left" indent="3"/>
    </xf>
    <xf numFmtId="3" fontId="21" fillId="0" borderId="7" xfId="0" applyNumberFormat="1" applyFont="1" applyBorder="1"/>
    <xf numFmtId="0" fontId="32" fillId="0" borderId="0" xfId="0" applyFont="1" applyAlignment="1">
      <alignment horizontal="left" indent="3"/>
    </xf>
    <xf numFmtId="0" fontId="33" fillId="0" borderId="0" xfId="0" applyFont="1" applyAlignment="1">
      <alignment horizontal="left" indent="2"/>
    </xf>
    <xf numFmtId="3" fontId="21" fillId="0" borderId="0" xfId="0" applyNumberFormat="1" applyFont="1" applyAlignment="1">
      <alignment horizontal="right"/>
    </xf>
    <xf numFmtId="164" fontId="8" fillId="3" borderId="0" xfId="0" applyNumberFormat="1" applyFont="1" applyFill="1"/>
    <xf numFmtId="10" fontId="12" fillId="0" borderId="0" xfId="0" applyNumberFormat="1" applyFont="1"/>
    <xf numFmtId="0" fontId="2" fillId="2" borderId="0" xfId="0" applyFont="1" applyFill="1" applyAlignment="1">
      <alignment horizontal="center" vertical="center"/>
    </xf>
    <xf numFmtId="17" fontId="7" fillId="0" borderId="6" xfId="2" applyNumberFormat="1" applyFont="1" applyBorder="1" applyAlignment="1">
      <alignment horizontal="center" vertical="center"/>
    </xf>
    <xf numFmtId="17" fontId="1" fillId="0" borderId="6" xfId="2" applyNumberFormat="1" applyFont="1" applyBorder="1" applyAlignment="1">
      <alignment horizontal="center" vertical="center"/>
    </xf>
    <xf numFmtId="3" fontId="1" fillId="0" borderId="0" xfId="0" applyNumberFormat="1" applyFont="1" applyAlignment="1">
      <alignment horizontal="center"/>
    </xf>
    <xf numFmtId="1" fontId="1" fillId="0" borderId="0" xfId="0" applyNumberFormat="1" applyFont="1" applyAlignment="1">
      <alignment horizontal="left" vertical="center" indent="2"/>
    </xf>
    <xf numFmtId="167" fontId="22" fillId="0" borderId="0" xfId="0" applyNumberFormat="1" applyFont="1"/>
    <xf numFmtId="0" fontId="5" fillId="0" borderId="0" xfId="0" applyFont="1" applyAlignment="1">
      <alignment horizontal="left"/>
    </xf>
    <xf numFmtId="1" fontId="1" fillId="0" borderId="0" xfId="0" applyNumberFormat="1" applyFont="1" applyAlignment="1">
      <alignment horizontal="left" vertical="center" indent="3"/>
    </xf>
    <xf numFmtId="0" fontId="0" fillId="11" borderId="0" xfId="0" applyFill="1" applyAlignment="1">
      <alignment horizontal="center"/>
    </xf>
    <xf numFmtId="3" fontId="0" fillId="0" borderId="0" xfId="0" applyNumberFormat="1"/>
    <xf numFmtId="0" fontId="0" fillId="8" borderId="0" xfId="0" applyFill="1" applyAlignment="1">
      <alignment horizontal="center"/>
    </xf>
    <xf numFmtId="10" fontId="0" fillId="0" borderId="0" xfId="0" applyNumberFormat="1"/>
    <xf numFmtId="3" fontId="8" fillId="0" borderId="7" xfId="0" applyNumberFormat="1" applyFont="1" applyBorder="1"/>
    <xf numFmtId="0" fontId="34" fillId="0" borderId="0" xfId="0" applyFont="1" applyAlignment="1">
      <alignment horizontal="left" indent="1"/>
    </xf>
    <xf numFmtId="0" fontId="23" fillId="0" borderId="7" xfId="1" applyFont="1" applyFill="1" applyBorder="1" applyAlignment="1">
      <alignment horizontal="center" vertical="center"/>
    </xf>
    <xf numFmtId="0" fontId="20" fillId="12" borderId="0" xfId="0" applyFont="1" applyFill="1"/>
    <xf numFmtId="0" fontId="35" fillId="0" borderId="0" xfId="0" applyFont="1" applyAlignment="1">
      <alignment horizontal="left" indent="1"/>
    </xf>
    <xf numFmtId="167" fontId="4" fillId="0" borderId="0" xfId="0" applyNumberFormat="1" applyFont="1"/>
    <xf numFmtId="170" fontId="1" fillId="0" borderId="0" xfId="0" applyNumberFormat="1" applyFont="1"/>
    <xf numFmtId="0" fontId="2" fillId="6" borderId="0" xfId="0" applyFont="1" applyFill="1" applyAlignment="1">
      <alignment horizontal="center" vertical="center"/>
    </xf>
    <xf numFmtId="171" fontId="1" fillId="0" borderId="0" xfId="0" applyNumberFormat="1" applyFont="1" applyAlignment="1">
      <alignment horizontal="center"/>
    </xf>
    <xf numFmtId="167" fontId="7" fillId="0" borderId="0" xfId="0" applyNumberFormat="1" applyFont="1"/>
    <xf numFmtId="172" fontId="7" fillId="0" borderId="0" xfId="0" applyNumberFormat="1" applyFont="1"/>
    <xf numFmtId="17" fontId="21" fillId="0" borderId="0" xfId="2" applyNumberFormat="1" applyFont="1" applyBorder="1" applyAlignment="1">
      <alignment horizontal="center" vertical="center"/>
    </xf>
    <xf numFmtId="17" fontId="1" fillId="0" borderId="0" xfId="2" applyNumberFormat="1" applyFont="1" applyBorder="1" applyAlignment="1">
      <alignment horizontal="center" vertical="center"/>
    </xf>
    <xf numFmtId="0" fontId="2" fillId="13" borderId="0" xfId="0" applyFont="1" applyFill="1" applyAlignment="1">
      <alignment horizontal="center" vertical="center"/>
    </xf>
    <xf numFmtId="167" fontId="4" fillId="14" borderId="0" xfId="0" applyNumberFormat="1" applyFont="1" applyFill="1"/>
    <xf numFmtId="167" fontId="8" fillId="14" borderId="0" xfId="0" applyNumberFormat="1" applyFont="1" applyFill="1"/>
    <xf numFmtId="0" fontId="1" fillId="14" borderId="0" xfId="0" applyFont="1" applyFill="1"/>
    <xf numFmtId="17" fontId="1" fillId="0" borderId="0" xfId="2" applyNumberFormat="1" applyFont="1" applyBorder="1" applyAlignment="1">
      <alignment vertical="center"/>
    </xf>
    <xf numFmtId="167" fontId="0" fillId="0" borderId="0" xfId="0" applyNumberFormat="1" applyAlignment="1">
      <alignment horizontal="center"/>
    </xf>
    <xf numFmtId="2" fontId="0" fillId="0" borderId="0" xfId="0" applyNumberFormat="1"/>
    <xf numFmtId="164" fontId="0" fillId="0" borderId="0" xfId="0" applyNumberFormat="1"/>
    <xf numFmtId="17" fontId="0" fillId="0" borderId="0" xfId="0" applyNumberFormat="1"/>
    <xf numFmtId="0" fontId="1" fillId="0" borderId="0" xfId="0" applyFont="1" applyAlignment="1">
      <alignment horizontal="left" wrapText="1" indent="2"/>
    </xf>
    <xf numFmtId="3" fontId="8" fillId="0" borderId="0" xfId="0" applyNumberFormat="1" applyFont="1" applyAlignment="1">
      <alignment horizontal="center"/>
    </xf>
    <xf numFmtId="0" fontId="1" fillId="10" borderId="0" xfId="0" applyFont="1" applyFill="1" applyAlignment="1">
      <alignment horizontal="center"/>
    </xf>
    <xf numFmtId="173" fontId="4" fillId="0" borderId="0" xfId="0" applyNumberFormat="1" applyFont="1" applyAlignment="1">
      <alignment horizontal="center"/>
    </xf>
    <xf numFmtId="3" fontId="8" fillId="0" borderId="0" xfId="0" applyNumberFormat="1" applyFont="1" applyAlignment="1">
      <alignment horizontal="center" vertical="center"/>
    </xf>
    <xf numFmtId="0" fontId="0" fillId="0" borderId="0" xfId="0" applyAlignment="1">
      <alignment horizontal="left" vertical="center"/>
    </xf>
    <xf numFmtId="3" fontId="0" fillId="0" borderId="0" xfId="0" applyNumberFormat="1" applyAlignment="1">
      <alignment horizontal="left" vertical="center"/>
    </xf>
    <xf numFmtId="3" fontId="8" fillId="0" borderId="0" xfId="0" applyNumberFormat="1" applyFont="1" applyAlignment="1">
      <alignment horizontal="left" vertical="center"/>
    </xf>
    <xf numFmtId="3" fontId="1" fillId="0" borderId="0" xfId="0" applyNumberFormat="1" applyFont="1" applyAlignment="1">
      <alignment horizontal="left" vertical="center"/>
    </xf>
    <xf numFmtId="0" fontId="1" fillId="10" borderId="0" xfId="0" applyFont="1" applyFill="1" applyAlignment="1">
      <alignment horizontal="left" vertical="center"/>
    </xf>
    <xf numFmtId="0" fontId="0" fillId="2" borderId="0" xfId="0" applyFill="1" applyAlignment="1">
      <alignment horizontal="left" vertical="center"/>
    </xf>
    <xf numFmtId="0" fontId="21" fillId="0" borderId="0" xfId="0" applyFont="1" applyAlignment="1">
      <alignment horizontal="left" vertical="center"/>
    </xf>
    <xf numFmtId="0" fontId="21" fillId="0" borderId="0" xfId="0" applyFont="1" applyAlignment="1">
      <alignment horizontal="center" vertical="center"/>
    </xf>
    <xf numFmtId="173" fontId="4" fillId="0" borderId="1" xfId="0" applyNumberFormat="1" applyFont="1" applyBorder="1" applyAlignment="1">
      <alignment horizontal="center"/>
    </xf>
    <xf numFmtId="173" fontId="4" fillId="0" borderId="10" xfId="0" applyNumberFormat="1" applyFont="1" applyBorder="1" applyAlignment="1">
      <alignment horizontal="center"/>
    </xf>
    <xf numFmtId="173" fontId="4" fillId="0" borderId="4" xfId="0" applyNumberFormat="1" applyFont="1" applyBorder="1" applyAlignment="1">
      <alignment horizontal="center"/>
    </xf>
    <xf numFmtId="164" fontId="1" fillId="0" borderId="0" xfId="0" applyNumberFormat="1" applyFont="1" applyAlignment="1">
      <alignment horizontal="left" vertical="center"/>
    </xf>
    <xf numFmtId="3" fontId="0" fillId="0" borderId="0" xfId="0" applyNumberFormat="1" applyAlignment="1">
      <alignment horizontal="center"/>
    </xf>
    <xf numFmtId="168" fontId="0" fillId="0" borderId="0" xfId="0" applyNumberFormat="1"/>
    <xf numFmtId="15" fontId="0" fillId="0" borderId="0" xfId="0" applyNumberFormat="1" applyAlignment="1">
      <alignment horizontal="center"/>
    </xf>
    <xf numFmtId="0" fontId="0" fillId="0" borderId="0" xfId="0" applyAlignment="1">
      <alignment horizontal="center" wrapText="1"/>
    </xf>
    <xf numFmtId="9" fontId="0" fillId="8" borderId="0" xfId="0" applyNumberFormat="1" applyFill="1" applyAlignment="1">
      <alignment horizontal="center"/>
    </xf>
    <xf numFmtId="15" fontId="0" fillId="8" borderId="0" xfId="0" applyNumberFormat="1" applyFill="1" applyAlignment="1">
      <alignment horizontal="center"/>
    </xf>
    <xf numFmtId="0" fontId="0" fillId="15" borderId="0" xfId="0" applyFill="1"/>
    <xf numFmtId="9" fontId="0" fillId="15" borderId="0" xfId="0" applyNumberFormat="1" applyFill="1" applyAlignment="1">
      <alignment horizontal="center"/>
    </xf>
    <xf numFmtId="15" fontId="0" fillId="15" borderId="0" xfId="0" applyNumberFormat="1" applyFill="1" applyAlignment="1">
      <alignment horizontal="center"/>
    </xf>
    <xf numFmtId="0" fontId="0" fillId="15" borderId="0" xfId="0" applyFill="1" applyAlignment="1">
      <alignment horizontal="center"/>
    </xf>
    <xf numFmtId="0" fontId="20" fillId="2" borderId="7" xfId="0" applyFont="1" applyFill="1" applyBorder="1" applyAlignment="1">
      <alignment horizontal="left"/>
    </xf>
    <xf numFmtId="0" fontId="20" fillId="2" borderId="7" xfId="0" applyFont="1" applyFill="1" applyBorder="1" applyAlignment="1">
      <alignment horizontal="center"/>
    </xf>
    <xf numFmtId="6" fontId="0" fillId="8" borderId="0" xfId="0" applyNumberFormat="1" applyFill="1" applyAlignment="1">
      <alignment horizontal="center"/>
    </xf>
    <xf numFmtId="6" fontId="0" fillId="15" borderId="0" xfId="0" applyNumberFormat="1" applyFill="1" applyAlignment="1">
      <alignment horizontal="center"/>
    </xf>
    <xf numFmtId="6" fontId="0" fillId="0" borderId="0" xfId="0" applyNumberFormat="1" applyAlignment="1">
      <alignment horizontal="center"/>
    </xf>
    <xf numFmtId="2" fontId="1" fillId="0" borderId="0" xfId="0" applyNumberFormat="1" applyFont="1"/>
    <xf numFmtId="0" fontId="0" fillId="0" borderId="11" xfId="0" applyBorder="1" applyAlignment="1">
      <alignment horizontal="center"/>
    </xf>
    <xf numFmtId="0" fontId="0" fillId="16" borderId="0" xfId="0" applyFill="1" applyAlignment="1">
      <alignment horizontal="center"/>
    </xf>
    <xf numFmtId="0" fontId="0" fillId="17" borderId="0" xfId="0" applyFill="1" applyAlignment="1">
      <alignment horizontal="center"/>
    </xf>
    <xf numFmtId="0" fontId="0" fillId="18" borderId="0" xfId="0" applyFill="1" applyAlignment="1">
      <alignment horizontal="center"/>
    </xf>
    <xf numFmtId="0" fontId="0" fillId="17" borderId="11" xfId="0" applyFill="1" applyBorder="1" applyAlignment="1">
      <alignment horizontal="center"/>
    </xf>
    <xf numFmtId="0" fontId="0" fillId="15" borderId="11" xfId="0" applyFill="1" applyBorder="1" applyAlignment="1">
      <alignment horizontal="center"/>
    </xf>
    <xf numFmtId="0" fontId="0" fillId="18" borderId="11" xfId="0" applyFill="1" applyBorder="1" applyAlignment="1">
      <alignment horizontal="center"/>
    </xf>
    <xf numFmtId="0" fontId="0" fillId="15" borderId="12" xfId="0" applyFill="1" applyBorder="1" applyAlignment="1">
      <alignment horizontal="center"/>
    </xf>
    <xf numFmtId="0" fontId="0" fillId="18" borderId="12" xfId="0" applyFill="1" applyBorder="1" applyAlignment="1">
      <alignment horizontal="center"/>
    </xf>
    <xf numFmtId="0" fontId="0" fillId="0" borderId="13" xfId="0" applyBorder="1" applyAlignment="1">
      <alignment horizontal="center"/>
    </xf>
    <xf numFmtId="0" fontId="0" fillId="18" borderId="17" xfId="0" applyFill="1" applyBorder="1" applyAlignment="1">
      <alignment horizontal="center"/>
    </xf>
    <xf numFmtId="0" fontId="0" fillId="0" borderId="16" xfId="0" applyBorder="1" applyAlignment="1">
      <alignment horizontal="center"/>
    </xf>
    <xf numFmtId="0" fontId="0" fillId="15" borderId="18" xfId="0" applyFill="1" applyBorder="1" applyAlignment="1">
      <alignment horizontal="center"/>
    </xf>
    <xf numFmtId="0" fontId="0" fillId="0" borderId="18" xfId="0" applyBorder="1" applyAlignment="1">
      <alignment horizontal="center"/>
    </xf>
    <xf numFmtId="0" fontId="0" fillId="18" borderId="18" xfId="0" applyFill="1" applyBorder="1" applyAlignment="1">
      <alignment horizontal="center"/>
    </xf>
    <xf numFmtId="0" fontId="0" fillId="16" borderId="18" xfId="0" applyFill="1" applyBorder="1" applyAlignment="1">
      <alignment horizontal="center"/>
    </xf>
    <xf numFmtId="0" fontId="0" fillId="18" borderId="19" xfId="0" applyFill="1" applyBorder="1" applyAlignment="1">
      <alignment horizontal="center"/>
    </xf>
    <xf numFmtId="0" fontId="13" fillId="11" borderId="15" xfId="0" applyFont="1" applyFill="1" applyBorder="1"/>
    <xf numFmtId="0" fontId="13" fillId="11" borderId="13" xfId="0" applyFont="1" applyFill="1" applyBorder="1" applyAlignment="1">
      <alignment horizontal="center"/>
    </xf>
    <xf numFmtId="0" fontId="13" fillId="11" borderId="16" xfId="0" applyFont="1" applyFill="1" applyBorder="1" applyAlignment="1">
      <alignment horizontal="center"/>
    </xf>
    <xf numFmtId="0" fontId="0" fillId="19" borderId="11" xfId="0" applyFill="1" applyBorder="1" applyAlignment="1">
      <alignment horizontal="center"/>
    </xf>
    <xf numFmtId="0" fontId="0" fillId="19" borderId="18" xfId="0" applyFill="1" applyBorder="1" applyAlignment="1">
      <alignment horizontal="center"/>
    </xf>
    <xf numFmtId="0" fontId="0" fillId="0" borderId="23" xfId="0" applyBorder="1" applyAlignment="1">
      <alignment horizontal="center"/>
    </xf>
    <xf numFmtId="0" fontId="0" fillId="17" borderId="24" xfId="0" applyFill="1" applyBorder="1" applyAlignment="1">
      <alignment horizontal="center"/>
    </xf>
    <xf numFmtId="0" fontId="0" fillId="15" borderId="24" xfId="0" applyFill="1" applyBorder="1" applyAlignment="1">
      <alignment horizontal="center"/>
    </xf>
    <xf numFmtId="0" fontId="0" fillId="0" borderId="25" xfId="0" applyBorder="1" applyAlignment="1">
      <alignment horizontal="center"/>
    </xf>
    <xf numFmtId="0" fontId="0" fillId="16" borderId="26" xfId="0" applyFill="1" applyBorder="1" applyAlignment="1">
      <alignment horizontal="center"/>
    </xf>
    <xf numFmtId="0" fontId="0" fillId="0" borderId="26" xfId="0" applyBorder="1" applyAlignment="1">
      <alignment horizontal="center"/>
    </xf>
    <xf numFmtId="0" fontId="0" fillId="19" borderId="26" xfId="0" applyFill="1" applyBorder="1" applyAlignment="1">
      <alignment horizontal="center"/>
    </xf>
    <xf numFmtId="0" fontId="0" fillId="16" borderId="27" xfId="0" applyFill="1" applyBorder="1" applyAlignment="1">
      <alignment horizontal="center"/>
    </xf>
    <xf numFmtId="0" fontId="0" fillId="15" borderId="20" xfId="0" applyFill="1" applyBorder="1" applyAlignment="1">
      <alignment horizontal="center"/>
    </xf>
    <xf numFmtId="0" fontId="0" fillId="16" borderId="28" xfId="0" applyFill="1" applyBorder="1" applyAlignment="1">
      <alignment horizontal="center"/>
    </xf>
    <xf numFmtId="0" fontId="13" fillId="0" borderId="13" xfId="0" applyFont="1" applyBorder="1" applyAlignment="1">
      <alignment horizontal="center"/>
    </xf>
    <xf numFmtId="0" fontId="13" fillId="0" borderId="16" xfId="0" applyFont="1" applyBorder="1" applyAlignment="1">
      <alignment horizontal="center"/>
    </xf>
    <xf numFmtId="0" fontId="36" fillId="0" borderId="15" xfId="0" applyFont="1" applyBorder="1" applyAlignment="1">
      <alignment horizontal="left" indent="1"/>
    </xf>
    <xf numFmtId="0" fontId="0" fillId="0" borderId="14" xfId="0" applyBorder="1" applyAlignment="1">
      <alignment horizontal="left" indent="2"/>
    </xf>
    <xf numFmtId="0" fontId="0" fillId="0" borderId="21" xfId="0" applyBorder="1" applyAlignment="1">
      <alignment horizontal="left" indent="2"/>
    </xf>
    <xf numFmtId="0" fontId="0" fillId="0" borderId="22" xfId="0" applyBorder="1" applyAlignment="1">
      <alignment horizontal="left" indent="2"/>
    </xf>
    <xf numFmtId="167" fontId="30" fillId="0" borderId="0" xfId="0" applyNumberFormat="1" applyFont="1"/>
    <xf numFmtId="164" fontId="1" fillId="14" borderId="0" xfId="0" applyNumberFormat="1" applyFont="1" applyFill="1"/>
    <xf numFmtId="3" fontId="8" fillId="15" borderId="0" xfId="0" applyNumberFormat="1" applyFont="1" applyFill="1"/>
    <xf numFmtId="0" fontId="1" fillId="15" borderId="0" xfId="0" applyFont="1" applyFill="1"/>
    <xf numFmtId="3" fontId="4" fillId="15" borderId="0" xfId="0" applyNumberFormat="1" applyFont="1" applyFill="1"/>
    <xf numFmtId="0" fontId="37" fillId="0" borderId="0" xfId="0" applyFont="1"/>
    <xf numFmtId="174" fontId="37" fillId="0" borderId="0" xfId="6" applyNumberFormat="1" applyFont="1" applyAlignment="1">
      <alignment horizontal="center" vertical="center"/>
    </xf>
    <xf numFmtId="174" fontId="38" fillId="14" borderId="0" xfId="6" applyNumberFormat="1" applyFont="1" applyFill="1" applyAlignment="1">
      <alignment horizontal="center" vertical="center"/>
    </xf>
    <xf numFmtId="174" fontId="37" fillId="4" borderId="0" xfId="6" applyNumberFormat="1" applyFont="1" applyFill="1" applyAlignment="1">
      <alignment horizontal="center" vertical="center"/>
    </xf>
    <xf numFmtId="0" fontId="37" fillId="0" borderId="0" xfId="0" applyFont="1" applyAlignment="1">
      <alignment horizontal="left" vertical="center"/>
    </xf>
    <xf numFmtId="3" fontId="39" fillId="0" borderId="0" xfId="0" applyNumberFormat="1" applyFont="1"/>
    <xf numFmtId="3" fontId="38" fillId="0" borderId="0" xfId="4" applyNumberFormat="1" applyFont="1" applyFill="1" applyBorder="1" applyAlignment="1">
      <alignment horizontal="center" vertical="center"/>
    </xf>
    <xf numFmtId="3" fontId="38" fillId="14" borderId="0" xfId="4" applyNumberFormat="1" applyFont="1" applyFill="1" applyBorder="1" applyAlignment="1">
      <alignment horizontal="center" vertical="center"/>
    </xf>
    <xf numFmtId="3" fontId="37" fillId="0" borderId="0" xfId="4" applyNumberFormat="1" applyFont="1" applyFill="1" applyBorder="1" applyAlignment="1">
      <alignment horizontal="center" vertical="center"/>
    </xf>
    <xf numFmtId="3" fontId="37" fillId="4" borderId="0" xfId="4" applyNumberFormat="1" applyFont="1" applyFill="1" applyBorder="1" applyAlignment="1">
      <alignment horizontal="center" vertical="center"/>
    </xf>
    <xf numFmtId="3" fontId="37" fillId="0" borderId="0" xfId="4" applyNumberFormat="1" applyFont="1" applyBorder="1" applyAlignment="1">
      <alignment horizontal="center" vertical="center"/>
    </xf>
    <xf numFmtId="3" fontId="38" fillId="0" borderId="0" xfId="0" applyNumberFormat="1" applyFont="1" applyAlignment="1">
      <alignment horizontal="left" vertical="center"/>
    </xf>
    <xf numFmtId="0" fontId="39" fillId="0" borderId="0" xfId="0" applyFont="1"/>
    <xf numFmtId="164" fontId="38" fillId="0" borderId="0" xfId="4" applyNumberFormat="1" applyFont="1" applyFill="1" applyBorder="1" applyAlignment="1">
      <alignment horizontal="center" vertical="center"/>
    </xf>
    <xf numFmtId="164" fontId="38" fillId="14" borderId="0" xfId="4" applyNumberFormat="1" applyFont="1" applyFill="1" applyBorder="1" applyAlignment="1">
      <alignment horizontal="center" vertical="center"/>
    </xf>
    <xf numFmtId="164" fontId="37" fillId="0" borderId="0" xfId="4" applyNumberFormat="1" applyFont="1" applyFill="1" applyBorder="1" applyAlignment="1">
      <alignment horizontal="center" vertical="center"/>
    </xf>
    <xf numFmtId="164" fontId="37" fillId="4" borderId="0" xfId="4" applyNumberFormat="1" applyFont="1" applyFill="1" applyBorder="1" applyAlignment="1">
      <alignment horizontal="center" vertical="center"/>
    </xf>
    <xf numFmtId="164" fontId="37" fillId="0" borderId="0" xfId="4" applyNumberFormat="1" applyFont="1" applyBorder="1" applyAlignment="1">
      <alignment horizontal="center" vertical="center"/>
    </xf>
    <xf numFmtId="0" fontId="38" fillId="0" borderId="0" xfId="0" applyFont="1" applyAlignment="1">
      <alignment horizontal="left" vertical="center"/>
    </xf>
    <xf numFmtId="0" fontId="40" fillId="0" borderId="0" xfId="0" applyFont="1"/>
    <xf numFmtId="0" fontId="41" fillId="20" borderId="6" xfId="0" applyFont="1" applyFill="1" applyBorder="1" applyAlignment="1">
      <alignment horizontal="center"/>
    </xf>
    <xf numFmtId="0" fontId="41" fillId="20" borderId="29" xfId="0" applyFont="1" applyFill="1" applyBorder="1" applyAlignment="1">
      <alignment horizontal="left"/>
    </xf>
    <xf numFmtId="174" fontId="38" fillId="14" borderId="6" xfId="6" applyNumberFormat="1" applyFont="1" applyFill="1" applyBorder="1" applyAlignment="1">
      <alignment horizontal="center" vertical="center"/>
    </xf>
    <xf numFmtId="174" fontId="37" fillId="0" borderId="6" xfId="6" applyNumberFormat="1" applyFont="1" applyBorder="1" applyAlignment="1">
      <alignment horizontal="center" vertical="center"/>
    </xf>
    <xf numFmtId="174" fontId="37" fillId="4" borderId="6" xfId="6" applyNumberFormat="1" applyFont="1" applyFill="1" applyBorder="1" applyAlignment="1">
      <alignment horizontal="center" vertical="center"/>
    </xf>
    <xf numFmtId="0" fontId="37" fillId="0" borderId="29" xfId="0" applyFont="1" applyBorder="1" applyAlignment="1">
      <alignment horizontal="left" vertical="center"/>
    </xf>
    <xf numFmtId="0" fontId="37" fillId="0" borderId="4" xfId="0" applyFont="1" applyBorder="1" applyAlignment="1">
      <alignment horizontal="left" vertical="center"/>
    </xf>
    <xf numFmtId="174" fontId="38" fillId="14" borderId="1" xfId="6" applyNumberFormat="1" applyFont="1" applyFill="1" applyBorder="1" applyAlignment="1">
      <alignment horizontal="center" vertical="center"/>
    </xf>
    <xf numFmtId="174" fontId="37" fillId="4" borderId="1" xfId="6" applyNumberFormat="1" applyFont="1" applyFill="1" applyBorder="1" applyAlignment="1">
      <alignment horizontal="center" vertical="center"/>
    </xf>
    <xf numFmtId="174" fontId="37" fillId="0" borderId="1" xfId="6" applyNumberFormat="1" applyFont="1" applyBorder="1" applyAlignment="1">
      <alignment horizontal="center" vertical="center"/>
    </xf>
    <xf numFmtId="0" fontId="37" fillId="0" borderId="10" xfId="0" applyFont="1" applyBorder="1" applyAlignment="1">
      <alignment horizontal="left" vertical="center"/>
    </xf>
    <xf numFmtId="174" fontId="38" fillId="0" borderId="6" xfId="0" applyNumberFormat="1" applyFont="1" applyBorder="1" applyAlignment="1">
      <alignment vertical="center"/>
    </xf>
    <xf numFmtId="0" fontId="38" fillId="0" borderId="6" xfId="0" applyFont="1" applyBorder="1" applyAlignment="1">
      <alignment vertical="center"/>
    </xf>
    <xf numFmtId="175" fontId="38" fillId="0" borderId="0" xfId="5" applyNumberFormat="1" applyFont="1" applyFill="1" applyBorder="1" applyAlignment="1">
      <alignment horizontal="center" vertical="center"/>
    </xf>
    <xf numFmtId="175" fontId="37" fillId="0" borderId="0" xfId="5" applyNumberFormat="1" applyFont="1" applyFill="1" applyBorder="1" applyAlignment="1">
      <alignment horizontal="center" vertical="center"/>
    </xf>
    <xf numFmtId="176" fontId="45" fillId="14" borderId="0" xfId="4" applyNumberFormat="1" applyFont="1" applyFill="1" applyBorder="1" applyAlignment="1">
      <alignment horizontal="center" vertical="center"/>
    </xf>
    <xf numFmtId="176" fontId="45" fillId="0" borderId="0" xfId="4" applyNumberFormat="1" applyFont="1" applyBorder="1" applyAlignment="1">
      <alignment horizontal="center" vertical="center"/>
    </xf>
    <xf numFmtId="176" fontId="45" fillId="0" borderId="0" xfId="4" applyNumberFormat="1" applyFont="1" applyFill="1" applyBorder="1" applyAlignment="1">
      <alignment horizontal="center" vertical="center"/>
    </xf>
    <xf numFmtId="176" fontId="45" fillId="4" borderId="0" xfId="4" applyNumberFormat="1" applyFont="1" applyFill="1" applyBorder="1" applyAlignment="1">
      <alignment horizontal="center" vertical="center"/>
    </xf>
    <xf numFmtId="0" fontId="45" fillId="0" borderId="0" xfId="0" applyFont="1" applyAlignment="1">
      <alignment horizontal="left" vertical="center"/>
    </xf>
    <xf numFmtId="174" fontId="38" fillId="14" borderId="7" xfId="6" applyNumberFormat="1" applyFont="1" applyFill="1" applyBorder="1" applyAlignment="1">
      <alignment horizontal="center" vertical="center"/>
    </xf>
    <xf numFmtId="174" fontId="38" fillId="4" borderId="7" xfId="6" applyNumberFormat="1" applyFont="1" applyFill="1" applyBorder="1" applyAlignment="1">
      <alignment horizontal="center" vertical="center"/>
    </xf>
    <xf numFmtId="174" fontId="38" fillId="0" borderId="7" xfId="6" applyNumberFormat="1" applyFont="1" applyBorder="1" applyAlignment="1">
      <alignment horizontal="center" vertical="center"/>
    </xf>
    <xf numFmtId="0" fontId="38" fillId="0" borderId="7" xfId="0" applyFont="1" applyBorder="1" applyAlignment="1">
      <alignment horizontal="left" vertical="center"/>
    </xf>
    <xf numFmtId="175" fontId="38" fillId="14" borderId="0" xfId="0" applyNumberFormat="1" applyFont="1" applyFill="1" applyAlignment="1">
      <alignment horizontal="center" vertical="center"/>
    </xf>
    <xf numFmtId="175" fontId="37" fillId="0" borderId="0" xfId="0" applyNumberFormat="1" applyFont="1" applyAlignment="1">
      <alignment horizontal="center" vertical="center"/>
    </xf>
    <xf numFmtId="175" fontId="38" fillId="0" borderId="0" xfId="0" applyNumberFormat="1" applyFont="1" applyAlignment="1">
      <alignment horizontal="center" vertical="center"/>
    </xf>
    <xf numFmtId="175" fontId="37" fillId="4" borderId="0" xfId="0" applyNumberFormat="1" applyFont="1" applyFill="1" applyAlignment="1">
      <alignment horizontal="center" vertical="center"/>
    </xf>
    <xf numFmtId="176" fontId="38" fillId="14" borderId="0" xfId="4" applyNumberFormat="1" applyFont="1" applyFill="1" applyBorder="1" applyAlignment="1">
      <alignment horizontal="center" vertical="center"/>
    </xf>
    <xf numFmtId="176" fontId="38" fillId="0" borderId="0" xfId="4" applyNumberFormat="1" applyFont="1" applyFill="1" applyBorder="1" applyAlignment="1">
      <alignment horizontal="center" vertical="center"/>
    </xf>
    <xf numFmtId="176" fontId="45" fillId="0" borderId="0" xfId="4" applyNumberFormat="1" applyFont="1" applyAlignment="1">
      <alignment horizontal="center" vertical="center"/>
    </xf>
    <xf numFmtId="176" fontId="45" fillId="4" borderId="0" xfId="4" applyNumberFormat="1" applyFont="1" applyFill="1" applyAlignment="1">
      <alignment horizontal="center" vertical="center"/>
    </xf>
    <xf numFmtId="174" fontId="38" fillId="4" borderId="0" xfId="6" applyNumberFormat="1" applyFont="1" applyFill="1" applyAlignment="1">
      <alignment horizontal="center" vertical="center"/>
    </xf>
    <xf numFmtId="174" fontId="38" fillId="0" borderId="0" xfId="6" applyNumberFormat="1" applyFont="1" applyAlignment="1">
      <alignment horizontal="center" vertical="center"/>
    </xf>
    <xf numFmtId="175" fontId="38" fillId="0" borderId="0" xfId="5" applyNumberFormat="1" applyFont="1" applyBorder="1" applyAlignment="1">
      <alignment horizontal="center" vertical="center"/>
    </xf>
    <xf numFmtId="175" fontId="38" fillId="0" borderId="0" xfId="5" applyNumberFormat="1" applyFont="1" applyAlignment="1">
      <alignment horizontal="center" vertical="center"/>
    </xf>
    <xf numFmtId="175" fontId="38" fillId="4" borderId="0" xfId="5" applyNumberFormat="1" applyFont="1" applyFill="1" applyAlignment="1">
      <alignment horizontal="center" vertical="center"/>
    </xf>
    <xf numFmtId="174" fontId="46" fillId="4" borderId="0" xfId="6" applyNumberFormat="1" applyFont="1" applyFill="1" applyAlignment="1">
      <alignment horizontal="center" vertical="center"/>
    </xf>
    <xf numFmtId="0" fontId="43" fillId="20" borderId="0" xfId="0" applyFont="1" applyFill="1" applyAlignment="1">
      <alignment vertical="center"/>
    </xf>
    <xf numFmtId="0" fontId="43" fillId="20" borderId="4" xfId="0" applyFont="1" applyFill="1" applyBorder="1" applyAlignment="1">
      <alignment vertical="center"/>
    </xf>
    <xf numFmtId="0" fontId="0" fillId="0" borderId="0" xfId="0" quotePrefix="1"/>
    <xf numFmtId="0" fontId="17" fillId="0" borderId="0" xfId="0" applyFont="1"/>
    <xf numFmtId="3" fontId="17" fillId="0" borderId="0" xfId="0" applyNumberFormat="1" applyFont="1"/>
    <xf numFmtId="3" fontId="47" fillId="0" borderId="0" xfId="0" applyNumberFormat="1" applyFont="1"/>
    <xf numFmtId="3" fontId="13" fillId="0" borderId="0" xfId="0" applyNumberFormat="1" applyFont="1"/>
    <xf numFmtId="0" fontId="48" fillId="21" borderId="0" xfId="0" applyFont="1" applyFill="1" applyAlignment="1">
      <alignment horizontal="left"/>
    </xf>
    <xf numFmtId="2" fontId="48" fillId="21" borderId="1" xfId="1" applyNumberFormat="1" applyFont="1" applyFill="1" applyBorder="1" applyAlignment="1">
      <alignment horizontal="center" vertical="center"/>
    </xf>
    <xf numFmtId="0" fontId="48" fillId="21" borderId="0" xfId="1" applyFont="1" applyFill="1" applyAlignment="1">
      <alignment horizontal="center" vertical="center"/>
    </xf>
    <xf numFmtId="0" fontId="49" fillId="0" borderId="0" xfId="0" applyFont="1"/>
    <xf numFmtId="0" fontId="50" fillId="0" borderId="0" xfId="0" applyFont="1" applyAlignment="1">
      <alignment horizontal="left"/>
    </xf>
    <xf numFmtId="17" fontId="49" fillId="0" borderId="0" xfId="0" applyNumberFormat="1" applyFont="1" applyAlignment="1">
      <alignment horizontal="center"/>
    </xf>
    <xf numFmtId="0" fontId="51" fillId="0" borderId="0" xfId="0" applyFont="1" applyAlignment="1">
      <alignment horizontal="left" indent="2"/>
    </xf>
    <xf numFmtId="0" fontId="49" fillId="0" borderId="0" xfId="0" applyFont="1" applyAlignment="1">
      <alignment horizontal="center"/>
    </xf>
    <xf numFmtId="0" fontId="49" fillId="0" borderId="0" xfId="0" applyFont="1" applyAlignment="1">
      <alignment horizontal="left" indent="4"/>
    </xf>
    <xf numFmtId="174" fontId="52" fillId="0" borderId="0" xfId="0" applyNumberFormat="1" applyFont="1" applyAlignment="1">
      <alignment horizontal="right"/>
    </xf>
    <xf numFmtId="3" fontId="53" fillId="0" borderId="0" xfId="0" applyNumberFormat="1" applyFont="1"/>
    <xf numFmtId="0" fontId="49" fillId="0" borderId="0" xfId="0" applyFont="1" applyAlignment="1">
      <alignment horizontal="left" indent="3"/>
    </xf>
    <xf numFmtId="174" fontId="54" fillId="0" borderId="0" xfId="0" applyNumberFormat="1" applyFont="1" applyAlignment="1">
      <alignment horizontal="right"/>
    </xf>
    <xf numFmtId="0" fontId="55" fillId="0" borderId="0" xfId="0" applyFont="1"/>
    <xf numFmtId="0" fontId="50" fillId="0" borderId="0" xfId="0" applyFont="1" applyAlignment="1">
      <alignment horizontal="left" indent="2"/>
    </xf>
    <xf numFmtId="0" fontId="50" fillId="0" borderId="0" xfId="0" applyFont="1" applyAlignment="1">
      <alignment horizontal="center"/>
    </xf>
    <xf numFmtId="174" fontId="56" fillId="0" borderId="0" xfId="0" applyNumberFormat="1" applyFont="1" applyAlignment="1">
      <alignment horizontal="right"/>
    </xf>
    <xf numFmtId="0" fontId="50" fillId="0" borderId="0" xfId="0" applyFont="1" applyAlignment="1">
      <alignment horizontal="left" indent="3"/>
    </xf>
    <xf numFmtId="0" fontId="57" fillId="0" borderId="0" xfId="0" applyFont="1" applyAlignment="1">
      <alignment horizontal="left" vertical="top"/>
    </xf>
    <xf numFmtId="0" fontId="56" fillId="0" borderId="0" xfId="0" applyFont="1" applyAlignment="1">
      <alignment horizontal="left" vertical="top"/>
    </xf>
    <xf numFmtId="0" fontId="58" fillId="0" borderId="0" xfId="0" applyFont="1" applyAlignment="1">
      <alignment horizontal="left" vertical="top"/>
    </xf>
    <xf numFmtId="177" fontId="60" fillId="0" borderId="0" xfId="0" applyNumberFormat="1" applyFont="1" applyAlignment="1">
      <alignment horizontal="right"/>
    </xf>
    <xf numFmtId="174" fontId="61" fillId="0" borderId="0" xfId="0" applyNumberFormat="1" applyFont="1" applyAlignment="1">
      <alignment horizontal="right"/>
    </xf>
    <xf numFmtId="177" fontId="62" fillId="0" borderId="0" xfId="0" applyNumberFormat="1" applyFont="1" applyAlignment="1">
      <alignment horizontal="right"/>
    </xf>
    <xf numFmtId="174" fontId="62" fillId="0" borderId="0" xfId="0" applyNumberFormat="1" applyFont="1" applyAlignment="1">
      <alignment horizontal="right"/>
    </xf>
    <xf numFmtId="0" fontId="63" fillId="0" borderId="0" xfId="0" applyFont="1" applyAlignment="1">
      <alignment horizontal="left" vertical="top"/>
    </xf>
    <xf numFmtId="0" fontId="64" fillId="0" borderId="0" xfId="0" applyFont="1" applyAlignment="1">
      <alignment horizontal="left" vertical="top"/>
    </xf>
    <xf numFmtId="0" fontId="65" fillId="0" borderId="0" xfId="0" applyFont="1" applyAlignment="1">
      <alignment horizontal="left" vertical="top"/>
    </xf>
    <xf numFmtId="0" fontId="62" fillId="0" borderId="0" xfId="0" applyFont="1" applyAlignment="1">
      <alignment horizontal="left" vertical="top"/>
    </xf>
    <xf numFmtId="0" fontId="66" fillId="0" borderId="0" xfId="0" applyFont="1" applyAlignment="1">
      <alignment horizontal="left" vertical="top"/>
    </xf>
    <xf numFmtId="174" fontId="60" fillId="0" borderId="0" xfId="0" applyNumberFormat="1" applyFont="1" applyAlignment="1">
      <alignment horizontal="right"/>
    </xf>
    <xf numFmtId="174" fontId="67" fillId="0" borderId="0" xfId="0" applyNumberFormat="1" applyFont="1" applyAlignment="1">
      <alignment horizontal="right"/>
    </xf>
    <xf numFmtId="177" fontId="65" fillId="0" borderId="0" xfId="0" applyNumberFormat="1" applyFont="1" applyAlignment="1">
      <alignment horizontal="right"/>
    </xf>
    <xf numFmtId="177" fontId="64" fillId="0" borderId="0" xfId="0" applyNumberFormat="1" applyFont="1" applyAlignment="1">
      <alignment horizontal="right"/>
    </xf>
    <xf numFmtId="177" fontId="60" fillId="22" borderId="0" xfId="0" applyNumberFormat="1" applyFont="1" applyFill="1" applyAlignment="1">
      <alignment horizontal="right"/>
    </xf>
    <xf numFmtId="174" fontId="60" fillId="22" borderId="0" xfId="0" applyNumberFormat="1" applyFont="1" applyFill="1" applyAlignment="1">
      <alignment horizontal="right"/>
    </xf>
    <xf numFmtId="0" fontId="62" fillId="22" borderId="0" xfId="0" applyFont="1" applyFill="1" applyAlignment="1">
      <alignment horizontal="left" vertical="top"/>
    </xf>
    <xf numFmtId="174" fontId="56" fillId="22" borderId="0" xfId="0" applyNumberFormat="1" applyFont="1" applyFill="1" applyAlignment="1">
      <alignment horizontal="right"/>
    </xf>
    <xf numFmtId="174" fontId="52" fillId="22" borderId="0" xfId="0" applyNumberFormat="1" applyFont="1" applyFill="1" applyAlignment="1">
      <alignment horizontal="right"/>
    </xf>
    <xf numFmtId="0" fontId="58" fillId="22" borderId="0" xfId="0" applyFont="1" applyFill="1" applyAlignment="1">
      <alignment horizontal="left" vertical="top"/>
    </xf>
    <xf numFmtId="0" fontId="68" fillId="0" borderId="0" xfId="0" applyFont="1" applyAlignment="1">
      <alignment horizontal="left" indent="2"/>
    </xf>
    <xf numFmtId="0" fontId="69" fillId="0" borderId="0" xfId="0" applyFont="1" applyAlignment="1">
      <alignment horizontal="left" indent="3"/>
    </xf>
    <xf numFmtId="164" fontId="21" fillId="0" borderId="0" xfId="0" applyNumberFormat="1" applyFont="1"/>
    <xf numFmtId="0" fontId="0" fillId="11" borderId="0" xfId="0" applyFill="1"/>
    <xf numFmtId="9" fontId="0" fillId="11" borderId="0" xfId="0" applyNumberFormat="1" applyFill="1"/>
    <xf numFmtId="2" fontId="71" fillId="21" borderId="1" xfId="1" applyNumberFormat="1" applyFont="1" applyFill="1" applyBorder="1" applyAlignment="1">
      <alignment horizontal="center" vertical="center"/>
    </xf>
    <xf numFmtId="17" fontId="70" fillId="0" borderId="0" xfId="0" applyNumberFormat="1" applyFont="1" applyAlignment="1">
      <alignment horizontal="center"/>
    </xf>
    <xf numFmtId="0" fontId="70" fillId="0" borderId="0" xfId="0" applyFont="1" applyAlignment="1">
      <alignment horizontal="center"/>
    </xf>
    <xf numFmtId="0" fontId="69" fillId="0" borderId="0" xfId="0" applyFont="1" applyAlignment="1">
      <alignment horizontal="center"/>
    </xf>
    <xf numFmtId="0" fontId="1" fillId="11" borderId="0" xfId="0" applyFont="1" applyFill="1" applyAlignment="1">
      <alignment horizontal="center"/>
    </xf>
    <xf numFmtId="0" fontId="54" fillId="0" borderId="0" xfId="0" applyFont="1" applyAlignment="1">
      <alignment horizontal="center" vertical="top"/>
    </xf>
    <xf numFmtId="0" fontId="59" fillId="0" borderId="0" xfId="0" applyFont="1" applyAlignment="1">
      <alignment horizontal="center" vertical="top"/>
    </xf>
    <xf numFmtId="0" fontId="1" fillId="2" borderId="0" xfId="0" applyFont="1" applyFill="1"/>
    <xf numFmtId="8" fontId="1" fillId="2" borderId="0" xfId="0" applyNumberFormat="1" applyFont="1" applyFill="1"/>
    <xf numFmtId="3" fontId="4" fillId="2" borderId="0" xfId="0" applyNumberFormat="1" applyFont="1" applyFill="1"/>
    <xf numFmtId="3" fontId="30" fillId="0" borderId="0" xfId="0" applyNumberFormat="1" applyFont="1"/>
    <xf numFmtId="3" fontId="72" fillId="0" borderId="7" xfId="0" applyNumberFormat="1" applyFont="1" applyBorder="1"/>
    <xf numFmtId="0" fontId="73" fillId="0" borderId="0" xfId="0" applyFont="1"/>
    <xf numFmtId="0" fontId="20" fillId="2" borderId="0" xfId="0" applyFont="1" applyFill="1"/>
    <xf numFmtId="178" fontId="17" fillId="0" borderId="0" xfId="0" applyNumberFormat="1" applyFont="1"/>
    <xf numFmtId="4" fontId="17" fillId="0" borderId="0" xfId="0" applyNumberFormat="1" applyFont="1"/>
    <xf numFmtId="4" fontId="17" fillId="15" borderId="0" xfId="0" applyNumberFormat="1" applyFont="1" applyFill="1"/>
    <xf numFmtId="10" fontId="17" fillId="0" borderId="0" xfId="0" applyNumberFormat="1" applyFont="1"/>
    <xf numFmtId="164" fontId="17" fillId="0" borderId="0" xfId="0" applyNumberFormat="1" applyFont="1"/>
    <xf numFmtId="0" fontId="74" fillId="0" borderId="0" xfId="7"/>
    <xf numFmtId="0" fontId="74" fillId="23" borderId="0" xfId="7" applyFill="1"/>
    <xf numFmtId="174" fontId="78" fillId="0" borderId="30" xfId="7" applyNumberFormat="1" applyFont="1" applyBorder="1" applyAlignment="1">
      <alignment horizontal="right" vertical="center"/>
    </xf>
    <xf numFmtId="174" fontId="79" fillId="0" borderId="0" xfId="7" applyNumberFormat="1" applyFont="1" applyAlignment="1">
      <alignment horizontal="right" vertical="center"/>
    </xf>
    <xf numFmtId="174" fontId="80" fillId="0" borderId="0" xfId="7" applyNumberFormat="1" applyFont="1" applyAlignment="1">
      <alignment horizontal="right" vertical="center"/>
    </xf>
    <xf numFmtId="174" fontId="78" fillId="0" borderId="31" xfId="7" applyNumberFormat="1" applyFont="1" applyBorder="1" applyAlignment="1">
      <alignment horizontal="right" vertical="center"/>
    </xf>
    <xf numFmtId="0" fontId="76" fillId="0" borderId="0" xfId="7" applyFont="1" applyAlignment="1">
      <alignment horizontal="left" vertical="center"/>
    </xf>
    <xf numFmtId="180" fontId="82" fillId="0" borderId="0" xfId="7" applyNumberFormat="1" applyFont="1" applyAlignment="1">
      <alignment horizontal="right" vertical="center"/>
    </xf>
    <xf numFmtId="0" fontId="77" fillId="0" borderId="0" xfId="7" applyFont="1" applyAlignment="1">
      <alignment horizontal="left" vertical="center"/>
    </xf>
    <xf numFmtId="180" fontId="80" fillId="0" borderId="0" xfId="7" applyNumberFormat="1" applyFont="1" applyAlignment="1">
      <alignment horizontal="right" vertical="center"/>
    </xf>
    <xf numFmtId="0" fontId="78" fillId="23" borderId="0" xfId="7" applyFont="1" applyFill="1" applyAlignment="1">
      <alignment horizontal="left" vertical="center"/>
    </xf>
    <xf numFmtId="0" fontId="78" fillId="0" borderId="0" xfId="7" applyFont="1" applyAlignment="1">
      <alignment horizontal="left" vertical="center"/>
    </xf>
    <xf numFmtId="0" fontId="80" fillId="0" borderId="0" xfId="7" applyFont="1" applyAlignment="1">
      <alignment horizontal="left" vertical="center"/>
    </xf>
    <xf numFmtId="174" fontId="82" fillId="0" borderId="0" xfId="7" applyNumberFormat="1" applyFont="1" applyAlignment="1">
      <alignment horizontal="right" vertical="center"/>
    </xf>
    <xf numFmtId="174" fontId="83" fillId="0" borderId="0" xfId="7" applyNumberFormat="1" applyFont="1" applyAlignment="1">
      <alignment horizontal="right" vertical="center"/>
    </xf>
    <xf numFmtId="0" fontId="84" fillId="0" borderId="0" xfId="7" applyFont="1" applyAlignment="1">
      <alignment horizontal="left" vertical="center"/>
    </xf>
    <xf numFmtId="0" fontId="81" fillId="0" borderId="0" xfId="7" applyFont="1" applyAlignment="1">
      <alignment horizontal="left" vertical="center"/>
    </xf>
    <xf numFmtId="0" fontId="85" fillId="0" borderId="0" xfId="7" applyFont="1"/>
    <xf numFmtId="0" fontId="70" fillId="0" borderId="0" xfId="7" applyFont="1"/>
    <xf numFmtId="0" fontId="70" fillId="0" borderId="0" xfId="7" applyFont="1" applyAlignment="1">
      <alignment horizontal="center"/>
    </xf>
    <xf numFmtId="179" fontId="52" fillId="0" borderId="0" xfId="7" applyNumberFormat="1" applyFont="1" applyAlignment="1">
      <alignment horizontal="right"/>
    </xf>
    <xf numFmtId="0" fontId="58" fillId="0" borderId="0" xfId="7" applyFont="1"/>
    <xf numFmtId="179" fontId="58" fillId="0" borderId="0" xfId="7" applyNumberFormat="1" applyFont="1" applyAlignment="1">
      <alignment horizontal="right"/>
    </xf>
    <xf numFmtId="179" fontId="54" fillId="0" borderId="0" xfId="7" applyNumberFormat="1" applyFont="1" applyAlignment="1">
      <alignment horizontal="right"/>
    </xf>
    <xf numFmtId="179" fontId="58" fillId="0" borderId="1" xfId="7" applyNumberFormat="1" applyFont="1" applyBorder="1" applyAlignment="1">
      <alignment horizontal="right"/>
    </xf>
    <xf numFmtId="0" fontId="87" fillId="0" borderId="0" xfId="7" applyFont="1"/>
    <xf numFmtId="0" fontId="7" fillId="0" borderId="0" xfId="1" applyFont="1" applyFill="1" applyBorder="1" applyAlignment="1">
      <alignment horizontal="center" vertical="center"/>
    </xf>
    <xf numFmtId="0" fontId="30" fillId="0" borderId="0" xfId="0" applyFont="1"/>
    <xf numFmtId="3" fontId="74" fillId="0" borderId="0" xfId="7" applyNumberFormat="1"/>
    <xf numFmtId="164" fontId="70" fillId="0" borderId="0" xfId="7" applyNumberFormat="1" applyFont="1"/>
    <xf numFmtId="167" fontId="4" fillId="8" borderId="0" xfId="0" applyNumberFormat="1" applyFont="1" applyFill="1"/>
    <xf numFmtId="167" fontId="0" fillId="0" borderId="0" xfId="0" applyNumberFormat="1"/>
    <xf numFmtId="174" fontId="74" fillId="0" borderId="0" xfId="7" applyNumberFormat="1"/>
    <xf numFmtId="3" fontId="88" fillId="0" borderId="0" xfId="0" applyNumberFormat="1" applyFont="1"/>
    <xf numFmtId="0" fontId="88" fillId="0" borderId="0" xfId="0" applyFont="1"/>
    <xf numFmtId="0" fontId="89" fillId="2" borderId="0" xfId="0" applyFont="1" applyFill="1" applyAlignment="1">
      <alignment horizontal="center" vertical="center"/>
    </xf>
    <xf numFmtId="0" fontId="88" fillId="0" borderId="0" xfId="0" applyFont="1" applyAlignment="1">
      <alignment horizontal="center"/>
    </xf>
    <xf numFmtId="0" fontId="1" fillId="24" borderId="0" xfId="0" applyFont="1" applyFill="1"/>
    <xf numFmtId="167" fontId="7" fillId="24" borderId="0" xfId="0" applyNumberFormat="1" applyFont="1" applyFill="1"/>
    <xf numFmtId="167" fontId="88" fillId="0" borderId="0" xfId="0" applyNumberFormat="1" applyFont="1"/>
    <xf numFmtId="164" fontId="88" fillId="0" borderId="0" xfId="0" applyNumberFormat="1" applyFont="1"/>
    <xf numFmtId="0" fontId="90" fillId="0" borderId="0" xfId="0" applyFont="1"/>
    <xf numFmtId="0" fontId="90" fillId="0" borderId="0" xfId="0" applyFont="1" applyAlignment="1">
      <alignment horizontal="center"/>
    </xf>
    <xf numFmtId="167" fontId="90" fillId="0" borderId="0" xfId="0" applyNumberFormat="1" applyFont="1"/>
    <xf numFmtId="0" fontId="88" fillId="0" borderId="0" xfId="0" applyFont="1" applyAlignment="1">
      <alignment horizontal="left" indent="1"/>
    </xf>
    <xf numFmtId="0" fontId="90" fillId="0" borderId="0" xfId="0" applyFont="1" applyAlignment="1">
      <alignment horizontal="left"/>
    </xf>
    <xf numFmtId="0" fontId="92" fillId="0" borderId="7" xfId="0" applyFont="1" applyBorder="1" applyAlignment="1">
      <alignment horizontal="left" vertical="center"/>
    </xf>
    <xf numFmtId="167" fontId="93" fillId="0" borderId="0" xfId="0" applyNumberFormat="1" applyFont="1"/>
    <xf numFmtId="0" fontId="94" fillId="0" borderId="0" xfId="0" applyFont="1" applyAlignment="1">
      <alignment horizontal="left" vertical="center" indent="1"/>
    </xf>
    <xf numFmtId="8" fontId="0" fillId="0" borderId="0" xfId="0" applyNumberFormat="1"/>
    <xf numFmtId="0" fontId="95" fillId="0" borderId="0" xfId="0" applyFont="1"/>
    <xf numFmtId="0" fontId="96" fillId="2" borderId="0" xfId="0" applyFont="1" applyFill="1" applyAlignment="1">
      <alignment horizontal="center" vertical="center" wrapText="1"/>
    </xf>
    <xf numFmtId="0" fontId="97" fillId="0" borderId="32" xfId="0" applyFont="1" applyBorder="1" applyAlignment="1">
      <alignment horizontal="left" vertical="center"/>
    </xf>
    <xf numFmtId="164" fontId="99" fillId="25" borderId="32" xfId="0" applyNumberFormat="1" applyFont="1" applyFill="1" applyBorder="1" applyAlignment="1">
      <alignment horizontal="center" vertical="center"/>
    </xf>
    <xf numFmtId="9" fontId="99" fillId="25" borderId="32" xfId="0" applyNumberFormat="1" applyFont="1" applyFill="1" applyBorder="1" applyAlignment="1">
      <alignment horizontal="center" vertical="center"/>
    </xf>
    <xf numFmtId="0" fontId="98" fillId="25" borderId="32" xfId="0" applyFont="1" applyFill="1" applyBorder="1" applyAlignment="1">
      <alignment horizontal="left" vertical="center"/>
    </xf>
    <xf numFmtId="3" fontId="99" fillId="25" borderId="32" xfId="0" applyNumberFormat="1" applyFont="1" applyFill="1" applyBorder="1" applyAlignment="1">
      <alignment horizontal="center" vertical="center"/>
    </xf>
    <xf numFmtId="164" fontId="99" fillId="0" borderId="32" xfId="0" applyNumberFormat="1" applyFont="1" applyBorder="1" applyAlignment="1">
      <alignment horizontal="center" vertical="center"/>
    </xf>
    <xf numFmtId="3" fontId="99" fillId="0" borderId="32" xfId="0" applyNumberFormat="1" applyFont="1" applyBorder="1" applyAlignment="1">
      <alignment horizontal="center" vertical="center"/>
    </xf>
    <xf numFmtId="0" fontId="100" fillId="26" borderId="32" xfId="0" applyFont="1" applyFill="1" applyBorder="1" applyAlignment="1">
      <alignment horizontal="center" vertical="center"/>
    </xf>
    <xf numFmtId="0" fontId="101" fillId="25" borderId="33" xfId="0" applyFont="1" applyFill="1" applyBorder="1" applyAlignment="1">
      <alignment vertical="center"/>
    </xf>
    <xf numFmtId="0" fontId="97" fillId="0" borderId="32" xfId="0" applyFont="1" applyBorder="1" applyAlignment="1">
      <alignment horizontal="left" vertical="center" wrapText="1"/>
    </xf>
    <xf numFmtId="0" fontId="98" fillId="25" borderId="32" xfId="0" applyFont="1" applyFill="1" applyBorder="1" applyAlignment="1">
      <alignment horizontal="left" vertical="center" wrapText="1"/>
    </xf>
    <xf numFmtId="0" fontId="97" fillId="0" borderId="0" xfId="0" applyFont="1" applyAlignment="1">
      <alignment horizontal="left" vertical="center" wrapText="1"/>
    </xf>
    <xf numFmtId="17" fontId="4" fillId="0" borderId="6" xfId="2" applyNumberFormat="1" applyFont="1" applyBorder="1" applyAlignment="1">
      <alignment horizontal="left" vertical="center"/>
    </xf>
    <xf numFmtId="17" fontId="4" fillId="0" borderId="6" xfId="2" applyNumberFormat="1" applyFont="1" applyBorder="1" applyAlignment="1">
      <alignment horizontal="center" vertical="center"/>
    </xf>
    <xf numFmtId="0" fontId="85" fillId="0" borderId="0" xfId="7" applyFont="1" applyAlignment="1">
      <alignment horizontal="center"/>
    </xf>
    <xf numFmtId="0" fontId="58" fillId="0" borderId="0" xfId="7" applyFont="1" applyAlignment="1">
      <alignment horizontal="center"/>
    </xf>
    <xf numFmtId="0" fontId="87" fillId="0" borderId="0" xfId="7" applyFont="1" applyAlignment="1">
      <alignment horizontal="center"/>
    </xf>
    <xf numFmtId="0" fontId="70" fillId="0" borderId="0" xfId="7" applyFont="1" applyAlignment="1">
      <alignment horizontal="left" indent="1"/>
    </xf>
    <xf numFmtId="0" fontId="69" fillId="0" borderId="0" xfId="7" applyFont="1"/>
    <xf numFmtId="0" fontId="69" fillId="0" borderId="0" xfId="7" applyFont="1" applyAlignment="1">
      <alignment horizontal="center"/>
    </xf>
    <xf numFmtId="179" fontId="56" fillId="0" borderId="0" xfId="7" applyNumberFormat="1" applyFont="1" applyAlignment="1">
      <alignment horizontal="right"/>
    </xf>
    <xf numFmtId="0" fontId="86" fillId="0" borderId="0" xfId="7" applyFont="1"/>
    <xf numFmtId="0" fontId="86" fillId="0" borderId="0" xfId="7" applyFont="1" applyAlignment="1">
      <alignment horizontal="center"/>
    </xf>
    <xf numFmtId="164" fontId="54" fillId="0" borderId="0" xfId="7" applyNumberFormat="1" applyFont="1" applyAlignment="1">
      <alignment horizontal="right"/>
    </xf>
    <xf numFmtId="3" fontId="105" fillId="0" borderId="0" xfId="7" applyNumberFormat="1" applyFont="1" applyAlignment="1">
      <alignment horizontal="right"/>
    </xf>
    <xf numFmtId="3" fontId="106" fillId="0" borderId="0" xfId="7" applyNumberFormat="1" applyFont="1" applyAlignment="1">
      <alignment horizontal="right"/>
    </xf>
    <xf numFmtId="167" fontId="105" fillId="0" borderId="0" xfId="7" applyNumberFormat="1" applyFont="1" applyAlignment="1">
      <alignment horizontal="right"/>
    </xf>
    <xf numFmtId="167" fontId="106" fillId="0" borderId="0" xfId="7" applyNumberFormat="1" applyFont="1" applyAlignment="1">
      <alignment horizontal="right"/>
    </xf>
    <xf numFmtId="17" fontId="4" fillId="0" borderId="6" xfId="2" applyNumberFormat="1" applyFont="1" applyBorder="1" applyAlignment="1">
      <alignment horizontal="left" vertical="center" indent="1"/>
    </xf>
    <xf numFmtId="0" fontId="70" fillId="0" borderId="0" xfId="7" applyFont="1" applyAlignment="1">
      <alignment horizontal="left" indent="2"/>
    </xf>
    <xf numFmtId="0" fontId="58" fillId="0" borderId="0" xfId="7" applyFont="1" applyAlignment="1">
      <alignment horizontal="left" indent="1"/>
    </xf>
    <xf numFmtId="0" fontId="31" fillId="0" borderId="0" xfId="7" applyFont="1"/>
    <xf numFmtId="0" fontId="1" fillId="0" borderId="0" xfId="7" applyFont="1"/>
    <xf numFmtId="0" fontId="108" fillId="0" borderId="0" xfId="7" applyFont="1" applyAlignment="1">
      <alignment vertical="center"/>
    </xf>
    <xf numFmtId="0" fontId="109" fillId="0" borderId="0" xfId="7" applyFont="1" applyAlignment="1">
      <alignment vertical="center"/>
    </xf>
    <xf numFmtId="0" fontId="110" fillId="0" borderId="0" xfId="7" applyFont="1" applyAlignment="1">
      <alignment horizontal="left" vertical="center"/>
    </xf>
    <xf numFmtId="49" fontId="110" fillId="0" borderId="0" xfId="7" applyNumberFormat="1" applyFont="1" applyAlignment="1">
      <alignment horizontal="right" vertical="center"/>
    </xf>
    <xf numFmtId="0" fontId="111" fillId="23" borderId="0" xfId="7" applyFont="1" applyFill="1" applyAlignment="1">
      <alignment vertical="center"/>
    </xf>
    <xf numFmtId="0" fontId="1" fillId="23" borderId="0" xfId="7" applyFont="1" applyFill="1"/>
    <xf numFmtId="0" fontId="112" fillId="0" borderId="0" xfId="7" applyFont="1" applyAlignment="1">
      <alignment vertical="center"/>
    </xf>
    <xf numFmtId="174" fontId="7" fillId="0" borderId="0" xfId="7" applyNumberFormat="1" applyFont="1" applyAlignment="1">
      <alignment horizontal="right" vertical="center"/>
    </xf>
    <xf numFmtId="0" fontId="111" fillId="0" borderId="0" xfId="7" applyFont="1" applyAlignment="1">
      <alignment vertical="center"/>
    </xf>
    <xf numFmtId="174" fontId="111" fillId="0" borderId="30" xfId="7" applyNumberFormat="1" applyFont="1" applyBorder="1" applyAlignment="1">
      <alignment horizontal="right" vertical="center"/>
    </xf>
    <xf numFmtId="3" fontId="1" fillId="0" borderId="0" xfId="7" applyNumberFormat="1" applyFont="1"/>
    <xf numFmtId="164" fontId="1" fillId="0" borderId="0" xfId="7" applyNumberFormat="1" applyFont="1"/>
    <xf numFmtId="180" fontId="109" fillId="0" borderId="0" xfId="7" applyNumberFormat="1" applyFont="1" applyAlignment="1">
      <alignment horizontal="right" vertical="center"/>
    </xf>
    <xf numFmtId="174" fontId="111" fillId="0" borderId="31" xfId="7" applyNumberFormat="1" applyFont="1" applyBorder="1" applyAlignment="1">
      <alignment horizontal="right" vertical="center"/>
    </xf>
    <xf numFmtId="174" fontId="113" fillId="0" borderId="0" xfId="7" applyNumberFormat="1" applyFont="1" applyAlignment="1">
      <alignment horizontal="right" vertical="center"/>
    </xf>
    <xf numFmtId="174" fontId="109" fillId="0" borderId="0" xfId="7" applyNumberFormat="1" applyFont="1" applyAlignment="1">
      <alignment horizontal="right" vertical="center"/>
    </xf>
    <xf numFmtId="174" fontId="112" fillId="0" borderId="0" xfId="7" applyNumberFormat="1" applyFont="1" applyAlignment="1">
      <alignment horizontal="right" vertical="center"/>
    </xf>
    <xf numFmtId="180" fontId="114" fillId="0" borderId="0" xfId="7" applyNumberFormat="1" applyFont="1" applyAlignment="1">
      <alignment horizontal="right" vertical="center"/>
    </xf>
    <xf numFmtId="0" fontId="112" fillId="0" borderId="0" xfId="7" applyFont="1" applyAlignment="1">
      <alignment horizontal="left" vertical="center" indent="3"/>
    </xf>
    <xf numFmtId="0" fontId="111" fillId="0" borderId="0" xfId="7" applyFont="1" applyAlignment="1">
      <alignment horizontal="left" vertical="center" indent="2"/>
    </xf>
    <xf numFmtId="0" fontId="85" fillId="0" borderId="0" xfId="7" applyFont="1" applyAlignment="1">
      <alignment horizontal="left" indent="1"/>
    </xf>
    <xf numFmtId="0" fontId="69" fillId="0" borderId="0" xfId="7" applyFont="1" applyAlignment="1">
      <alignment horizontal="left" indent="2"/>
    </xf>
    <xf numFmtId="0" fontId="70" fillId="0" borderId="0" xfId="7" applyFont="1" applyAlignment="1">
      <alignment horizontal="left" indent="3"/>
    </xf>
    <xf numFmtId="0" fontId="58" fillId="0" borderId="0" xfId="7" applyFont="1" applyAlignment="1">
      <alignment horizontal="left" indent="2"/>
    </xf>
    <xf numFmtId="0" fontId="1" fillId="0" borderId="0" xfId="7" applyFont="1" applyAlignment="1">
      <alignment horizontal="left" vertical="center" indent="2"/>
    </xf>
    <xf numFmtId="0" fontId="112" fillId="0" borderId="0" xfId="7" applyFont="1" applyAlignment="1">
      <alignment horizontal="left" vertical="center" indent="4"/>
    </xf>
    <xf numFmtId="0" fontId="111" fillId="0" borderId="0" xfId="7" applyFont="1" applyAlignment="1">
      <alignment horizontal="left" vertical="center" indent="3"/>
    </xf>
    <xf numFmtId="0" fontId="1" fillId="0" borderId="0" xfId="7" applyFont="1" applyAlignment="1">
      <alignment horizontal="left" indent="1"/>
    </xf>
    <xf numFmtId="174" fontId="4" fillId="0" borderId="0" xfId="7" applyNumberFormat="1" applyFont="1" applyAlignment="1">
      <alignment horizontal="right" vertical="center"/>
    </xf>
    <xf numFmtId="167" fontId="4" fillId="0" borderId="0" xfId="7" applyNumberFormat="1" applyFont="1" applyAlignment="1">
      <alignment horizontal="right" vertical="center"/>
    </xf>
    <xf numFmtId="167" fontId="7" fillId="0" borderId="0" xfId="7" applyNumberFormat="1" applyFont="1" applyAlignment="1">
      <alignment horizontal="right" vertical="center"/>
    </xf>
    <xf numFmtId="167" fontId="111" fillId="0" borderId="0" xfId="7" applyNumberFormat="1" applyFont="1" applyAlignment="1">
      <alignment horizontal="right" vertical="center"/>
    </xf>
    <xf numFmtId="167" fontId="1" fillId="0" borderId="0" xfId="7" applyNumberFormat="1" applyFont="1"/>
    <xf numFmtId="0" fontId="4" fillId="0" borderId="0" xfId="7" applyFont="1"/>
    <xf numFmtId="167" fontId="23" fillId="0" borderId="0" xfId="7" applyNumberFormat="1" applyFont="1" applyAlignment="1">
      <alignment horizontal="right" vertical="center"/>
    </xf>
    <xf numFmtId="0" fontId="108" fillId="0" borderId="0" xfId="7" applyFont="1" applyAlignment="1">
      <alignment horizontal="center" vertical="center"/>
    </xf>
    <xf numFmtId="0" fontId="109" fillId="0" borderId="0" xfId="7" applyFont="1" applyAlignment="1">
      <alignment horizontal="center" vertical="center"/>
    </xf>
    <xf numFmtId="0" fontId="110" fillId="0" borderId="0" xfId="7" applyFont="1" applyAlignment="1">
      <alignment horizontal="center" vertical="center"/>
    </xf>
    <xf numFmtId="0" fontId="111" fillId="23" borderId="0" xfId="7" applyFont="1" applyFill="1" applyAlignment="1">
      <alignment horizontal="center" vertical="center"/>
    </xf>
    <xf numFmtId="0" fontId="112" fillId="0" borderId="0" xfId="7" applyFont="1" applyAlignment="1">
      <alignment horizontal="center" vertical="center"/>
    </xf>
    <xf numFmtId="0" fontId="111" fillId="0" borderId="0" xfId="7" applyFont="1" applyAlignment="1">
      <alignment horizontal="center" vertical="center"/>
    </xf>
    <xf numFmtId="0" fontId="1" fillId="0" borderId="0" xfId="7" applyFont="1" applyAlignment="1">
      <alignment horizontal="center"/>
    </xf>
    <xf numFmtId="17" fontId="4" fillId="0" borderId="0" xfId="2" applyNumberFormat="1" applyFont="1" applyBorder="1" applyAlignment="1">
      <alignment horizontal="center" vertical="center"/>
    </xf>
    <xf numFmtId="0" fontId="115" fillId="0" borderId="0" xfId="7" applyFont="1"/>
    <xf numFmtId="167" fontId="111" fillId="0" borderId="0" xfId="7" applyNumberFormat="1" applyFont="1" applyAlignment="1">
      <alignment horizontal="right"/>
    </xf>
    <xf numFmtId="0" fontId="111" fillId="0" borderId="0" xfId="7" applyFont="1" applyAlignment="1">
      <alignment horizontal="left" indent="2"/>
    </xf>
    <xf numFmtId="0" fontId="112" fillId="0" borderId="0" xfId="7" applyFont="1" applyAlignment="1">
      <alignment horizontal="left" indent="3"/>
    </xf>
    <xf numFmtId="0" fontId="112" fillId="0" borderId="0" xfId="7" applyFont="1" applyAlignment="1">
      <alignment horizontal="center"/>
    </xf>
    <xf numFmtId="0" fontId="111" fillId="0" borderId="0" xfId="7" applyFont="1" applyAlignment="1">
      <alignment horizontal="center"/>
    </xf>
    <xf numFmtId="174" fontId="99" fillId="0" borderId="0" xfId="0" applyNumberFormat="1" applyFont="1" applyAlignment="1">
      <alignment horizontal="right"/>
    </xf>
    <xf numFmtId="174" fontId="98" fillId="0" borderId="1" xfId="0" applyNumberFormat="1" applyFont="1" applyBorder="1" applyAlignment="1">
      <alignment horizontal="right"/>
    </xf>
    <xf numFmtId="174" fontId="98" fillId="0" borderId="34" xfId="0" applyNumberFormat="1" applyFont="1" applyBorder="1" applyAlignment="1">
      <alignment horizontal="right"/>
    </xf>
    <xf numFmtId="0" fontId="97" fillId="0" borderId="0" xfId="0" applyFont="1"/>
    <xf numFmtId="0" fontId="98" fillId="0" borderId="0" xfId="0" applyFont="1"/>
    <xf numFmtId="0" fontId="116" fillId="0" borderId="0" xfId="0" applyFont="1"/>
    <xf numFmtId="0" fontId="6" fillId="0" borderId="0" xfId="7" applyFont="1"/>
    <xf numFmtId="0" fontId="1" fillId="0" borderId="0" xfId="7" applyFont="1" applyAlignment="1">
      <alignment horizontal="left" indent="2"/>
    </xf>
    <xf numFmtId="0" fontId="21" fillId="0" borderId="0" xfId="7" applyFont="1"/>
    <xf numFmtId="0" fontId="21" fillId="0" borderId="0" xfId="7" applyFont="1" applyAlignment="1">
      <alignment horizontal="left" indent="1"/>
    </xf>
    <xf numFmtId="174" fontId="111" fillId="0" borderId="0" xfId="7" applyNumberFormat="1" applyFont="1" applyAlignment="1">
      <alignment horizontal="right" vertical="center"/>
    </xf>
    <xf numFmtId="174" fontId="1" fillId="0" borderId="0" xfId="7" applyNumberFormat="1" applyFont="1"/>
    <xf numFmtId="174" fontId="26" fillId="0" borderId="0" xfId="7" applyNumberFormat="1" applyFont="1" applyAlignment="1">
      <alignment horizontal="right" vertical="center"/>
    </xf>
    <xf numFmtId="0" fontId="109" fillId="0" borderId="0" xfId="7" applyFont="1" applyAlignment="1">
      <alignment vertical="top" wrapText="1"/>
    </xf>
    <xf numFmtId="0" fontId="112" fillId="0" borderId="0" xfId="0" applyFont="1"/>
    <xf numFmtId="174" fontId="7" fillId="0" borderId="0" xfId="0" applyNumberFormat="1" applyFont="1" applyAlignment="1">
      <alignment horizontal="right"/>
    </xf>
    <xf numFmtId="0" fontId="111" fillId="0" borderId="0" xfId="0" applyFont="1"/>
    <xf numFmtId="174" fontId="111" fillId="0" borderId="1" xfId="0" applyNumberFormat="1" applyFont="1" applyBorder="1" applyAlignment="1">
      <alignment horizontal="right"/>
    </xf>
    <xf numFmtId="0" fontId="117" fillId="0" borderId="0" xfId="0" applyFont="1"/>
    <xf numFmtId="174" fontId="111" fillId="0" borderId="34" xfId="0" applyNumberFormat="1" applyFont="1" applyBorder="1" applyAlignment="1">
      <alignment horizontal="right"/>
    </xf>
    <xf numFmtId="167" fontId="26" fillId="0" borderId="0" xfId="7" applyNumberFormat="1" applyFont="1" applyAlignment="1">
      <alignment horizontal="right" vertical="center"/>
    </xf>
    <xf numFmtId="167" fontId="21" fillId="0" borderId="0" xfId="7" applyNumberFormat="1" applyFont="1"/>
    <xf numFmtId="0" fontId="6" fillId="0" borderId="0" xfId="7" applyFont="1" applyAlignment="1">
      <alignment horizontal="left" indent="2"/>
    </xf>
    <xf numFmtId="0" fontId="1" fillId="0" borderId="0" xfId="7" applyFont="1" applyAlignment="1">
      <alignment horizontal="left" indent="3"/>
    </xf>
    <xf numFmtId="0" fontId="21" fillId="0" borderId="0" xfId="7" applyFont="1" applyAlignment="1">
      <alignment horizontal="left" indent="3"/>
    </xf>
    <xf numFmtId="0" fontId="1" fillId="0" borderId="0" xfId="7" applyFont="1" applyAlignment="1">
      <alignment horizontal="left" indent="4"/>
    </xf>
    <xf numFmtId="0" fontId="111" fillId="0" borderId="0" xfId="0" applyFont="1" applyAlignment="1">
      <alignment horizontal="left" indent="2"/>
    </xf>
    <xf numFmtId="0" fontId="23" fillId="2" borderId="0" xfId="0" applyFont="1" applyFill="1" applyAlignment="1">
      <alignment horizontal="center" vertical="center"/>
    </xf>
    <xf numFmtId="0" fontId="4" fillId="0" borderId="0" xfId="7" applyFont="1" applyAlignment="1">
      <alignment horizontal="center"/>
    </xf>
    <xf numFmtId="0" fontId="118" fillId="0" borderId="0" xfId="7" applyFont="1" applyAlignment="1">
      <alignment horizontal="center"/>
    </xf>
    <xf numFmtId="174" fontId="4" fillId="0" borderId="0" xfId="7" applyNumberFormat="1" applyFont="1" applyAlignment="1">
      <alignment horizontal="center" vertical="center"/>
    </xf>
    <xf numFmtId="174" fontId="23" fillId="0" borderId="0" xfId="7" applyNumberFormat="1" applyFont="1" applyAlignment="1">
      <alignment horizontal="center" vertical="center"/>
    </xf>
    <xf numFmtId="174" fontId="4" fillId="0" borderId="0" xfId="7" applyNumberFormat="1" applyFont="1" applyAlignment="1">
      <alignment horizontal="center"/>
    </xf>
    <xf numFmtId="174" fontId="4" fillId="0" borderId="0" xfId="0" applyNumberFormat="1" applyFont="1" applyAlignment="1">
      <alignment horizontal="center"/>
    </xf>
    <xf numFmtId="174" fontId="23" fillId="0" borderId="1" xfId="0" applyNumberFormat="1" applyFont="1" applyBorder="1" applyAlignment="1">
      <alignment horizontal="center"/>
    </xf>
    <xf numFmtId="174" fontId="23" fillId="0" borderId="34" xfId="0" applyNumberFormat="1" applyFont="1" applyBorder="1" applyAlignment="1">
      <alignment horizontal="center"/>
    </xf>
    <xf numFmtId="0" fontId="119" fillId="0" borderId="0" xfId="7" applyFont="1" applyAlignment="1">
      <alignment horizontal="center" vertical="top" wrapText="1"/>
    </xf>
    <xf numFmtId="174" fontId="23" fillId="0" borderId="0" xfId="0" applyNumberFormat="1" applyFont="1" applyAlignment="1">
      <alignment horizontal="center"/>
    </xf>
    <xf numFmtId="0" fontId="23" fillId="0" borderId="0" xfId="7" applyFont="1" applyAlignment="1">
      <alignment horizontal="center"/>
    </xf>
    <xf numFmtId="164" fontId="106" fillId="0" borderId="0" xfId="7" applyNumberFormat="1" applyFont="1" applyAlignment="1">
      <alignment horizontal="right"/>
    </xf>
    <xf numFmtId="0" fontId="121" fillId="0" borderId="0" xfId="0" applyFont="1"/>
    <xf numFmtId="0" fontId="100" fillId="27" borderId="0" xfId="0" applyFont="1" applyFill="1"/>
    <xf numFmtId="0" fontId="0" fillId="27" borderId="0" xfId="0" applyFill="1"/>
    <xf numFmtId="0" fontId="100" fillId="28" borderId="0" xfId="0" applyFont="1" applyFill="1" applyAlignment="1">
      <alignment horizontal="center"/>
    </xf>
    <xf numFmtId="0" fontId="121" fillId="0" borderId="0" xfId="0" applyFont="1" applyAlignment="1">
      <alignment horizontal="center"/>
    </xf>
    <xf numFmtId="0" fontId="0" fillId="0" borderId="0" xfId="0" applyAlignment="1">
      <alignment horizontal="right"/>
    </xf>
    <xf numFmtId="177" fontId="99" fillId="0" borderId="0" xfId="0" applyNumberFormat="1" applyFont="1" applyAlignment="1">
      <alignment horizontal="right"/>
    </xf>
    <xf numFmtId="0" fontId="0" fillId="0" borderId="1" xfId="0" applyBorder="1" applyAlignment="1">
      <alignment horizontal="right"/>
    </xf>
    <xf numFmtId="177" fontId="98" fillId="0" borderId="1" xfId="0" applyNumberFormat="1" applyFont="1" applyBorder="1" applyAlignment="1">
      <alignment horizontal="right"/>
    </xf>
    <xf numFmtId="177" fontId="98" fillId="0" borderId="0" xfId="0" applyNumberFormat="1" applyFont="1" applyAlignment="1">
      <alignment horizontal="right"/>
    </xf>
    <xf numFmtId="0" fontId="0" fillId="0" borderId="34" xfId="0" applyBorder="1" applyAlignment="1">
      <alignment horizontal="right"/>
    </xf>
    <xf numFmtId="177" fontId="98" fillId="0" borderId="34" xfId="0" applyNumberFormat="1" applyFont="1" applyBorder="1" applyAlignment="1">
      <alignment horizontal="right"/>
    </xf>
    <xf numFmtId="174" fontId="0" fillId="0" borderId="0" xfId="0" applyNumberFormat="1" applyAlignment="1">
      <alignment horizontal="right"/>
    </xf>
    <xf numFmtId="167" fontId="21" fillId="0" borderId="0" xfId="0" applyNumberFormat="1" applyFont="1"/>
    <xf numFmtId="167" fontId="26" fillId="0" borderId="0" xfId="0" applyNumberFormat="1" applyFont="1"/>
    <xf numFmtId="0" fontId="122" fillId="0" borderId="0" xfId="0" applyFont="1"/>
    <xf numFmtId="177" fontId="122" fillId="0" borderId="0" xfId="0" applyNumberFormat="1" applyFont="1" applyAlignment="1">
      <alignment horizontal="right"/>
    </xf>
    <xf numFmtId="0" fontId="123" fillId="0" borderId="0" xfId="0" applyFont="1"/>
    <xf numFmtId="177" fontId="0" fillId="0" borderId="0" xfId="0" applyNumberFormat="1" applyAlignment="1">
      <alignment horizontal="right"/>
    </xf>
    <xf numFmtId="0" fontId="54" fillId="0" borderId="0" xfId="7" applyFont="1" applyAlignment="1">
      <alignment horizontal="center"/>
    </xf>
    <xf numFmtId="0" fontId="54" fillId="0" borderId="0" xfId="7" applyFont="1" applyAlignment="1">
      <alignment horizontal="left" indent="2"/>
    </xf>
    <xf numFmtId="0" fontId="104" fillId="2" borderId="0" xfId="0" applyFont="1" applyFill="1"/>
    <xf numFmtId="0" fontId="104" fillId="2" borderId="0" xfId="0" applyFont="1" applyFill="1" applyAlignment="1">
      <alignment horizontal="centerContinuous"/>
    </xf>
    <xf numFmtId="164" fontId="0" fillId="0" borderId="10" xfId="0" applyNumberFormat="1" applyBorder="1" applyAlignment="1">
      <alignment horizontal="center"/>
    </xf>
    <xf numFmtId="164" fontId="0" fillId="0" borderId="1" xfId="0" applyNumberFormat="1" applyBorder="1" applyAlignment="1">
      <alignment horizontal="center"/>
    </xf>
    <xf numFmtId="164" fontId="0" fillId="0" borderId="4" xfId="0" applyNumberFormat="1" applyBorder="1" applyAlignment="1">
      <alignment horizontal="center"/>
    </xf>
    <xf numFmtId="164" fontId="0" fillId="0" borderId="0" xfId="0" applyNumberFormat="1" applyAlignment="1">
      <alignment horizontal="center"/>
    </xf>
    <xf numFmtId="0" fontId="0" fillId="11" borderId="10" xfId="0" applyFill="1" applyBorder="1"/>
    <xf numFmtId="9" fontId="0" fillId="11" borderId="1" xfId="0" applyNumberFormat="1" applyFill="1" applyBorder="1" applyAlignment="1">
      <alignment horizontal="center"/>
    </xf>
    <xf numFmtId="9" fontId="0" fillId="11" borderId="4" xfId="0" applyNumberFormat="1" applyFill="1" applyBorder="1" applyAlignment="1">
      <alignment horizontal="center"/>
    </xf>
    <xf numFmtId="0" fontId="20" fillId="2" borderId="0" xfId="0" applyFont="1" applyFill="1" applyAlignment="1">
      <alignment horizontal="centerContinuous"/>
    </xf>
    <xf numFmtId="0" fontId="124" fillId="29" borderId="0" xfId="8" applyFont="1" applyFill="1" applyAlignment="1">
      <alignment vertical="center"/>
    </xf>
    <xf numFmtId="0" fontId="3" fillId="29" borderId="0" xfId="8" applyFill="1"/>
    <xf numFmtId="0" fontId="125" fillId="29" borderId="0" xfId="8" applyFont="1" applyFill="1" applyAlignment="1">
      <alignment horizontal="right" vertical="center"/>
    </xf>
    <xf numFmtId="0" fontId="3" fillId="29" borderId="0" xfId="8" applyFill="1" applyAlignment="1">
      <alignment horizontal="right" vertical="center"/>
    </xf>
    <xf numFmtId="0" fontId="3" fillId="29" borderId="0" xfId="8" applyFill="1" applyAlignment="1">
      <alignment vertical="center"/>
    </xf>
    <xf numFmtId="0" fontId="126" fillId="29" borderId="0" xfId="8" applyFont="1" applyFill="1" applyAlignment="1">
      <alignment vertical="center"/>
    </xf>
    <xf numFmtId="0" fontId="124" fillId="29" borderId="0" xfId="9" applyFont="1" applyFill="1" applyAlignment="1">
      <alignment vertical="center"/>
    </xf>
    <xf numFmtId="0" fontId="127" fillId="29" borderId="35" xfId="9" applyFont="1" applyFill="1" applyBorder="1" applyAlignment="1">
      <alignment horizontal="center" vertical="center"/>
    </xf>
    <xf numFmtId="0" fontId="3" fillId="29" borderId="35" xfId="8" applyFill="1" applyBorder="1" applyAlignment="1">
      <alignment horizontal="right" vertical="center"/>
    </xf>
    <xf numFmtId="0" fontId="128" fillId="0" borderId="0" xfId="0" applyFont="1"/>
    <xf numFmtId="0" fontId="125" fillId="29" borderId="13" xfId="8" applyFont="1" applyFill="1" applyBorder="1" applyAlignment="1">
      <alignment vertical="center"/>
    </xf>
    <xf numFmtId="0" fontId="125" fillId="29" borderId="0" xfId="8" applyFont="1" applyFill="1" applyAlignment="1">
      <alignment vertical="center"/>
    </xf>
    <xf numFmtId="0" fontId="3" fillId="29" borderId="15" xfId="8" applyFill="1" applyBorder="1" applyAlignment="1">
      <alignment horizontal="center" vertical="center"/>
    </xf>
    <xf numFmtId="0" fontId="129" fillId="0" borderId="13" xfId="0" applyFont="1" applyBorder="1" applyAlignment="1">
      <alignment horizontal="center" vertical="center" wrapText="1"/>
    </xf>
    <xf numFmtId="0" fontId="129" fillId="0" borderId="0" xfId="0" applyFont="1" applyAlignment="1">
      <alignment horizontal="center" vertical="center" wrapText="1"/>
    </xf>
    <xf numFmtId="0" fontId="129" fillId="0" borderId="36" xfId="0" applyFont="1" applyBorder="1" applyAlignment="1">
      <alignment horizontal="center" vertical="center" wrapText="1"/>
    </xf>
    <xf numFmtId="43" fontId="129" fillId="0" borderId="37" xfId="5" applyFont="1" applyBorder="1" applyAlignment="1">
      <alignment vertical="center"/>
    </xf>
    <xf numFmtId="43" fontId="129" fillId="0" borderId="0" xfId="5" applyFont="1" applyBorder="1" applyAlignment="1">
      <alignment vertical="center"/>
    </xf>
    <xf numFmtId="0" fontId="129" fillId="0" borderId="38" xfId="0" applyFont="1" applyBorder="1" applyAlignment="1">
      <alignment horizontal="center" vertical="center" wrapText="1"/>
    </xf>
    <xf numFmtId="43" fontId="3" fillId="0" borderId="0" xfId="5" applyFont="1" applyBorder="1" applyAlignment="1">
      <alignment vertical="center"/>
    </xf>
    <xf numFmtId="43" fontId="0" fillId="0" borderId="0" xfId="5" applyFont="1"/>
    <xf numFmtId="0" fontId="3" fillId="0" borderId="38" xfId="0" applyFont="1" applyBorder="1" applyAlignment="1">
      <alignment horizontal="center" vertical="center" wrapText="1"/>
    </xf>
    <xf numFmtId="43" fontId="129" fillId="0" borderId="0" xfId="0" applyNumberFormat="1" applyFont="1"/>
    <xf numFmtId="43" fontId="129" fillId="0" borderId="0" xfId="5" applyFont="1" applyBorder="1"/>
    <xf numFmtId="0" fontId="131" fillId="0" borderId="39" xfId="0" applyFont="1" applyBorder="1" applyAlignment="1">
      <alignment horizontal="center" vertical="center" wrapText="1"/>
    </xf>
    <xf numFmtId="43" fontId="129" fillId="0" borderId="35" xfId="0" applyNumberFormat="1" applyFont="1" applyBorder="1"/>
    <xf numFmtId="43" fontId="129" fillId="0" borderId="35" xfId="5" applyFont="1" applyBorder="1"/>
    <xf numFmtId="0" fontId="131" fillId="0" borderId="14" xfId="0" applyFont="1" applyBorder="1" applyAlignment="1">
      <alignment horizontal="center" vertical="center" wrapText="1"/>
    </xf>
    <xf numFmtId="43" fontId="129" fillId="0" borderId="13" xfId="0" applyNumberFormat="1" applyFont="1" applyBorder="1"/>
    <xf numFmtId="43" fontId="129" fillId="0" borderId="13" xfId="5" applyFont="1" applyBorder="1"/>
    <xf numFmtId="0" fontId="3" fillId="0" borderId="0" xfId="0" applyFont="1" applyAlignment="1">
      <alignment horizontal="center" vertical="center" wrapText="1"/>
    </xf>
    <xf numFmtId="10" fontId="129" fillId="0" borderId="0" xfId="4" applyNumberFormat="1" applyFont="1" applyBorder="1" applyAlignment="1">
      <alignment horizontal="center" vertical="center"/>
    </xf>
    <xf numFmtId="2" fontId="0" fillId="0" borderId="0" xfId="4" applyNumberFormat="1" applyFont="1"/>
    <xf numFmtId="164" fontId="0" fillId="0" borderId="0" xfId="4" applyNumberFormat="1" applyFont="1"/>
    <xf numFmtId="0" fontId="131" fillId="0" borderId="0" xfId="0" applyFont="1" applyAlignment="1">
      <alignment horizontal="center" vertical="center" wrapText="1"/>
    </xf>
    <xf numFmtId="43" fontId="0" fillId="0" borderId="0" xfId="0" applyNumberFormat="1"/>
    <xf numFmtId="0" fontId="132" fillId="0" borderId="0" xfId="0" applyFont="1"/>
    <xf numFmtId="17" fontId="95" fillId="0" borderId="0" xfId="6" applyNumberFormat="1" applyFont="1" applyAlignment="1">
      <alignment horizontal="left"/>
    </xf>
    <xf numFmtId="182" fontId="3" fillId="0" borderId="0" xfId="6" applyNumberFormat="1" applyAlignment="1">
      <alignment horizontal="center"/>
    </xf>
    <xf numFmtId="0" fontId="17" fillId="5" borderId="0" xfId="0" applyFont="1" applyFill="1"/>
    <xf numFmtId="183" fontId="0" fillId="0" borderId="0" xfId="0" applyNumberFormat="1"/>
    <xf numFmtId="184" fontId="3" fillId="0" borderId="0" xfId="6" applyNumberFormat="1" applyAlignment="1">
      <alignment horizontal="center"/>
    </xf>
    <xf numFmtId="185" fontId="0" fillId="0" borderId="0" xfId="0" applyNumberFormat="1"/>
    <xf numFmtId="186" fontId="0" fillId="0" borderId="0" xfId="0" applyNumberFormat="1"/>
    <xf numFmtId="0" fontId="133" fillId="0" borderId="0" xfId="0" applyFont="1"/>
    <xf numFmtId="164" fontId="15" fillId="0" borderId="0" xfId="0" applyNumberFormat="1" applyFont="1"/>
    <xf numFmtId="175" fontId="15" fillId="0" borderId="0" xfId="0" applyNumberFormat="1" applyFont="1"/>
    <xf numFmtId="17" fontId="0" fillId="0" borderId="0" xfId="0" applyNumberFormat="1" applyAlignment="1">
      <alignment horizontal="center" vertical="center" wrapText="1"/>
    </xf>
    <xf numFmtId="0" fontId="0" fillId="0" borderId="0" xfId="0" applyAlignment="1">
      <alignment horizontal="center" vertical="center" wrapText="1"/>
    </xf>
    <xf numFmtId="3" fontId="134" fillId="30" borderId="40" xfId="0" applyNumberFormat="1" applyFont="1" applyFill="1" applyBorder="1" applyAlignment="1">
      <alignment horizontal="center" vertical="center" wrapText="1"/>
    </xf>
    <xf numFmtId="0" fontId="134" fillId="30" borderId="40" xfId="0" applyFont="1" applyFill="1" applyBorder="1" applyAlignment="1">
      <alignment vertical="center" wrapText="1"/>
    </xf>
    <xf numFmtId="0" fontId="135" fillId="31" borderId="40" xfId="0" applyFont="1" applyFill="1" applyBorder="1" applyAlignment="1">
      <alignment horizontal="center" vertical="center" wrapText="1"/>
    </xf>
    <xf numFmtId="3" fontId="136" fillId="30" borderId="40" xfId="0" applyNumberFormat="1" applyFont="1" applyFill="1" applyBorder="1" applyAlignment="1">
      <alignment horizontal="center" vertical="center" wrapText="1"/>
    </xf>
    <xf numFmtId="0" fontId="136" fillId="30" borderId="40" xfId="0" applyFont="1" applyFill="1" applyBorder="1" applyAlignment="1">
      <alignment horizontal="center" vertical="center" wrapText="1"/>
    </xf>
    <xf numFmtId="185" fontId="137" fillId="0" borderId="0" xfId="0" applyNumberFormat="1" applyFont="1"/>
    <xf numFmtId="3" fontId="7" fillId="15" borderId="0" xfId="0" applyNumberFormat="1" applyFont="1" applyFill="1"/>
    <xf numFmtId="187" fontId="0" fillId="0" borderId="0" xfId="0" applyNumberFormat="1"/>
    <xf numFmtId="0" fontId="95" fillId="0" borderId="0" xfId="0" applyFont="1" applyAlignment="1">
      <alignment horizontal="left" vertical="center"/>
    </xf>
    <xf numFmtId="0" fontId="138" fillId="0" borderId="0" xfId="0" applyFont="1"/>
    <xf numFmtId="0" fontId="95" fillId="2" borderId="0" xfId="0" applyFont="1" applyFill="1" applyAlignment="1">
      <alignment horizontal="left" vertical="center" wrapText="1"/>
    </xf>
    <xf numFmtId="0" fontId="95" fillId="2" borderId="0" xfId="0" applyFont="1" applyFill="1" applyAlignment="1">
      <alignment horizontal="center" vertical="center"/>
    </xf>
    <xf numFmtId="0" fontId="95" fillId="0" borderId="0" xfId="0" applyFont="1" applyAlignment="1">
      <alignment horizontal="left" vertical="center" wrapText="1" indent="1"/>
    </xf>
    <xf numFmtId="164" fontId="138" fillId="0" borderId="0" xfId="0" applyNumberFormat="1" applyFont="1" applyAlignment="1">
      <alignment horizontal="center" vertical="center"/>
    </xf>
    <xf numFmtId="0" fontId="138" fillId="0" borderId="0" xfId="0" applyFont="1" applyAlignment="1">
      <alignment horizontal="center" vertical="center" wrapText="1"/>
    </xf>
    <xf numFmtId="188" fontId="138" fillId="0" borderId="0" xfId="0" applyNumberFormat="1" applyFont="1" applyAlignment="1">
      <alignment horizontal="center" vertical="center"/>
    </xf>
    <xf numFmtId="189" fontId="138" fillId="0" borderId="0" xfId="0" applyNumberFormat="1" applyFont="1" applyAlignment="1">
      <alignment horizontal="center" vertical="center"/>
    </xf>
    <xf numFmtId="0" fontId="95" fillId="0" borderId="0" xfId="0" applyFont="1" applyAlignment="1">
      <alignment horizontal="left" vertical="center" wrapText="1"/>
    </xf>
    <xf numFmtId="0" fontId="140" fillId="2" borderId="0" xfId="0" applyFont="1" applyFill="1" applyAlignment="1">
      <alignment horizontal="center" vertical="center"/>
    </xf>
    <xf numFmtId="190" fontId="138" fillId="0" borderId="0" xfId="0" applyNumberFormat="1" applyFont="1" applyAlignment="1">
      <alignment horizontal="center" vertical="center"/>
    </xf>
    <xf numFmtId="9" fontId="138" fillId="0" borderId="0" xfId="0" applyNumberFormat="1" applyFont="1" applyAlignment="1">
      <alignment horizontal="center" vertical="center"/>
    </xf>
    <xf numFmtId="9" fontId="138" fillId="0" borderId="0" xfId="0" applyNumberFormat="1" applyFont="1" applyAlignment="1">
      <alignment horizontal="center" vertical="center" wrapText="1"/>
    </xf>
    <xf numFmtId="0" fontId="138" fillId="0" borderId="0" xfId="0" applyFont="1" applyAlignment="1">
      <alignment horizontal="center" vertical="center"/>
    </xf>
    <xf numFmtId="15" fontId="138" fillId="0" borderId="0" xfId="0" applyNumberFormat="1" applyFont="1" applyAlignment="1">
      <alignment horizontal="center" vertical="center"/>
    </xf>
    <xf numFmtId="0" fontId="95" fillId="0" borderId="0" xfId="0" applyFont="1" applyAlignment="1">
      <alignment horizontal="left" vertical="center" indent="1"/>
    </xf>
    <xf numFmtId="0" fontId="78" fillId="0" borderId="0" xfId="0" applyFont="1"/>
    <xf numFmtId="177" fontId="78" fillId="0" borderId="1" xfId="0" applyNumberFormat="1" applyFont="1" applyBorder="1" applyAlignment="1">
      <alignment horizontal="right"/>
    </xf>
    <xf numFmtId="8" fontId="13" fillId="0" borderId="0" xfId="0" applyNumberFormat="1" applyFont="1"/>
    <xf numFmtId="181" fontId="91" fillId="0" borderId="7" xfId="0" applyNumberFormat="1" applyFont="1" applyBorder="1"/>
    <xf numFmtId="0" fontId="122" fillId="0" borderId="0" xfId="0" applyFont="1" applyAlignment="1">
      <alignment vertical="top" wrapText="1"/>
    </xf>
    <xf numFmtId="0" fontId="120" fillId="0" borderId="0" xfId="0" applyFont="1"/>
    <xf numFmtId="0" fontId="121" fillId="0" borderId="0" xfId="0" applyFont="1"/>
    <xf numFmtId="0" fontId="107" fillId="0" borderId="0" xfId="7" applyFont="1" applyAlignment="1">
      <alignment horizontal="left" vertical="top" wrapText="1"/>
    </xf>
    <xf numFmtId="0" fontId="75" fillId="0" borderId="0" xfId="7" applyFont="1" applyAlignment="1">
      <alignment horizontal="left" vertical="top" wrapText="1"/>
    </xf>
    <xf numFmtId="0" fontId="103" fillId="0" borderId="0" xfId="0" applyFont="1" applyAlignment="1">
      <alignment horizontal="left" vertical="center"/>
    </xf>
    <xf numFmtId="0" fontId="102" fillId="0" borderId="0" xfId="0" applyFont="1" applyAlignment="1">
      <alignment horizontal="left" vertical="center"/>
    </xf>
    <xf numFmtId="0" fontId="20" fillId="2" borderId="0" xfId="0" applyFont="1" applyFill="1" applyAlignment="1">
      <alignment horizontal="center" vertical="center" wrapText="1"/>
    </xf>
    <xf numFmtId="0" fontId="138" fillId="0" borderId="0" xfId="0" applyFont="1" applyAlignment="1">
      <alignment horizontal="left" vertical="center" wrapText="1"/>
    </xf>
    <xf numFmtId="0" fontId="95" fillId="0" borderId="0" xfId="0" applyFont="1" applyAlignment="1">
      <alignment horizontal="left" vertical="center"/>
    </xf>
    <xf numFmtId="0" fontId="139" fillId="0" borderId="0" xfId="0" applyFont="1" applyAlignment="1">
      <alignment horizontal="left" vertical="center" wrapText="1"/>
    </xf>
    <xf numFmtId="0" fontId="138" fillId="0" borderId="0" xfId="0" applyFont="1" applyAlignment="1">
      <alignment horizontal="left" vertical="center"/>
    </xf>
    <xf numFmtId="0" fontId="43" fillId="20" borderId="4" xfId="0" applyFont="1" applyFill="1" applyBorder="1" applyAlignment="1">
      <alignment horizontal="center" vertical="center"/>
    </xf>
    <xf numFmtId="0" fontId="43" fillId="20" borderId="0" xfId="0" applyFont="1" applyFill="1" applyAlignment="1">
      <alignment horizontal="center" vertical="center"/>
    </xf>
  </cellXfs>
  <cellStyles count="10">
    <cellStyle name="Comma" xfId="5" builtinId="3"/>
    <cellStyle name="DateShort" xfId="2" xr:uid="{C24043A4-10EE-432B-8A87-BF6DD94E8E25}"/>
    <cellStyle name="Hyperlink" xfId="3" builtinId="8"/>
    <cellStyle name="Normal" xfId="0" builtinId="0"/>
    <cellStyle name="Normal 2" xfId="6" xr:uid="{E9A1541B-A0D8-4676-8155-E556F0BED367}"/>
    <cellStyle name="Normal 3" xfId="7" xr:uid="{9EB24BB5-35B3-47A5-BEBA-7A38CBCC2242}"/>
    <cellStyle name="Normal_IPT_Draft_Template" xfId="8" xr:uid="{170F5126-77E8-48EB-915D-1119EE3A7CFC}"/>
    <cellStyle name="Normal_IPT_Draft_Template_vAlt3" xfId="9" xr:uid="{C161E2E4-71FA-46C9-8937-EF8BC88D60DB}"/>
    <cellStyle name="Percent" xfId="4" builtinId="5"/>
    <cellStyle name="Style 1" xfId="1" xr:uid="{90803A9C-0B6F-4DDD-A3EA-E43E1B4272EA}"/>
  </cellStyles>
  <dxfs count="0"/>
  <tableStyles count="0" defaultTableStyle="TableStyleMedium2" defaultPivotStyle="PivotStyleLight16"/>
  <colors>
    <mruColors>
      <color rgb="FF0000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5.xml"/><Relationship Id="rId68" Type="http://schemas.openxmlformats.org/officeDocument/2006/relationships/externalLink" Target="externalLinks/externalLink2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5.xml"/><Relationship Id="rId58" Type="http://schemas.openxmlformats.org/officeDocument/2006/relationships/externalLink" Target="externalLinks/externalLink10.xml"/><Relationship Id="rId66" Type="http://schemas.openxmlformats.org/officeDocument/2006/relationships/externalLink" Target="externalLinks/externalLink18.xml"/><Relationship Id="rId5" Type="http://schemas.openxmlformats.org/officeDocument/2006/relationships/worksheet" Target="worksheets/sheet5.xml"/><Relationship Id="rId61" Type="http://schemas.openxmlformats.org/officeDocument/2006/relationships/externalLink" Target="externalLinks/externalLink1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8.xml"/><Relationship Id="rId64" Type="http://schemas.openxmlformats.org/officeDocument/2006/relationships/externalLink" Target="externalLinks/externalLink16.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3.xml"/><Relationship Id="rId72"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1.xml"/><Relationship Id="rId67"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6.xml"/><Relationship Id="rId62" Type="http://schemas.openxmlformats.org/officeDocument/2006/relationships/externalLink" Target="externalLinks/externalLink14.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externalLink" Target="externalLinks/externalLink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4.xml"/><Relationship Id="rId60" Type="http://schemas.openxmlformats.org/officeDocument/2006/relationships/externalLink" Target="externalLinks/externalLink12.xml"/><Relationship Id="rId65" Type="http://schemas.openxmlformats.org/officeDocument/2006/relationships/externalLink" Target="externalLinks/externalLink17.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2.xml"/><Relationship Id="rId55" Type="http://schemas.openxmlformats.org/officeDocument/2006/relationships/externalLink" Target="externalLinks/externalLink7.xml"/><Relationship Id="rId7" Type="http://schemas.openxmlformats.org/officeDocument/2006/relationships/worksheet" Target="worksheets/sheet7.xml"/><Relationship Id="rId71"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2.xml"/><Relationship Id="rId1" Type="http://schemas.microsoft.com/office/2011/relationships/chartStyle" Target="style12.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3.xml"/><Relationship Id="rId1" Type="http://schemas.microsoft.com/office/2011/relationships/chartStyle" Target="style13.xml"/></Relationships>
</file>

<file path=xl/charts/_rels/chart3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3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4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4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4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4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4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4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4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4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5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5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5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5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5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6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6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6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QTR!$B$59</c:f>
              <c:strCache>
                <c:ptCount val="1"/>
                <c:pt idx="0">
                  <c:v>Turnover</c:v>
                </c:pt>
              </c:strCache>
            </c:strRef>
          </c:tx>
          <c:spPr>
            <a:solidFill>
              <a:schemeClr val="tx2"/>
            </a:solidFill>
            <a:ln>
              <a:noFill/>
            </a:ln>
            <a:effectLst/>
          </c:spPr>
          <c:invertIfNegative val="0"/>
          <c:dLbls>
            <c:numFmt formatCode="[Color10]\+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QTR!$C$58:$F$58</c:f>
              <c:strCache>
                <c:ptCount val="4"/>
                <c:pt idx="0">
                  <c:v>SportsBet</c:v>
                </c:pt>
                <c:pt idx="1">
                  <c:v>PointsBet</c:v>
                </c:pt>
                <c:pt idx="2">
                  <c:v>BlueBet</c:v>
                </c:pt>
                <c:pt idx="3">
                  <c:v>BetR</c:v>
                </c:pt>
              </c:strCache>
            </c:strRef>
          </c:cat>
          <c:val>
            <c:numRef>
              <c:f>QTR!$C$59:$F$59</c:f>
              <c:numCache>
                <c:formatCode>[Color10]\+0%;[Red]\-0%;\-</c:formatCode>
                <c:ptCount val="4"/>
                <c:pt idx="0">
                  <c:v>-0.15480857980834317</c:v>
                </c:pt>
                <c:pt idx="1">
                  <c:v>4.4325629527423249E-2</c:v>
                </c:pt>
                <c:pt idx="2">
                  <c:v>0.17212426532325775</c:v>
                </c:pt>
                <c:pt idx="3">
                  <c:v>-0.22896668548842458</c:v>
                </c:pt>
              </c:numCache>
            </c:numRef>
          </c:val>
          <c:extLst>
            <c:ext xmlns:c16="http://schemas.microsoft.com/office/drawing/2014/chart" uri="{C3380CC4-5D6E-409C-BE32-E72D297353CC}">
              <c16:uniqueId val="{00000000-973F-417E-AAE5-3377C396710C}"/>
            </c:ext>
          </c:extLst>
        </c:ser>
        <c:ser>
          <c:idx val="1"/>
          <c:order val="1"/>
          <c:tx>
            <c:strRef>
              <c:f>QTR!$B$60</c:f>
              <c:strCache>
                <c:ptCount val="1"/>
                <c:pt idx="0">
                  <c:v>Gross Win</c:v>
                </c:pt>
              </c:strCache>
            </c:strRef>
          </c:tx>
          <c:spPr>
            <a:solidFill>
              <a:schemeClr val="bg2"/>
            </a:solidFill>
            <a:ln>
              <a:noFill/>
            </a:ln>
            <a:effectLst/>
          </c:spPr>
          <c:invertIfNegative val="0"/>
          <c:dLbls>
            <c:numFmt formatCode="[Color10]\+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QTR!$C$58:$F$58</c:f>
              <c:strCache>
                <c:ptCount val="4"/>
                <c:pt idx="0">
                  <c:v>SportsBet</c:v>
                </c:pt>
                <c:pt idx="1">
                  <c:v>PointsBet</c:v>
                </c:pt>
                <c:pt idx="2">
                  <c:v>BlueBet</c:v>
                </c:pt>
                <c:pt idx="3">
                  <c:v>BetR</c:v>
                </c:pt>
              </c:strCache>
            </c:strRef>
          </c:cat>
          <c:val>
            <c:numRef>
              <c:f>QTR!$C$60:$F$60</c:f>
              <c:numCache>
                <c:formatCode>[Color10]\+0%;[Red]\-0%;\-</c:formatCode>
                <c:ptCount val="4"/>
                <c:pt idx="1">
                  <c:v>9.3883357041251836E-2</c:v>
                </c:pt>
                <c:pt idx="2">
                  <c:v>0.18354430379746822</c:v>
                </c:pt>
                <c:pt idx="3">
                  <c:v>-1.3297872340425565E-2</c:v>
                </c:pt>
              </c:numCache>
            </c:numRef>
          </c:val>
          <c:extLst>
            <c:ext xmlns:c16="http://schemas.microsoft.com/office/drawing/2014/chart" uri="{C3380CC4-5D6E-409C-BE32-E72D297353CC}">
              <c16:uniqueId val="{00000001-973F-417E-AAE5-3377C396710C}"/>
            </c:ext>
          </c:extLst>
        </c:ser>
        <c:ser>
          <c:idx val="2"/>
          <c:order val="2"/>
          <c:tx>
            <c:strRef>
              <c:f>QTR!$B$61</c:f>
              <c:strCache>
                <c:ptCount val="1"/>
                <c:pt idx="0">
                  <c:v>Net Win</c:v>
                </c:pt>
              </c:strCache>
            </c:strRef>
          </c:tx>
          <c:spPr>
            <a:solidFill>
              <a:schemeClr val="accent1"/>
            </a:solidFill>
            <a:ln>
              <a:noFill/>
            </a:ln>
            <a:effectLst/>
          </c:spPr>
          <c:invertIfNegative val="0"/>
          <c:dLbls>
            <c:numFmt formatCode="[Color10]\+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QTR!$C$58:$F$58</c:f>
              <c:strCache>
                <c:ptCount val="4"/>
                <c:pt idx="0">
                  <c:v>SportsBet</c:v>
                </c:pt>
                <c:pt idx="1">
                  <c:v>PointsBet</c:v>
                </c:pt>
                <c:pt idx="2">
                  <c:v>BlueBet</c:v>
                </c:pt>
                <c:pt idx="3">
                  <c:v>BetR</c:v>
                </c:pt>
              </c:strCache>
            </c:strRef>
          </c:cat>
          <c:val>
            <c:numRef>
              <c:f>QTR!$C$61:$F$61</c:f>
              <c:numCache>
                <c:formatCode>[Color10]\+0%;[Red]\-0%;\-</c:formatCode>
                <c:ptCount val="4"/>
                <c:pt idx="0">
                  <c:v>-2.6520596386395257E-2</c:v>
                </c:pt>
                <c:pt idx="1">
                  <c:v>0.19921104536489143</c:v>
                </c:pt>
                <c:pt idx="2">
                  <c:v>0.32499999999999996</c:v>
                </c:pt>
                <c:pt idx="3">
                  <c:v>0.55333333333333345</c:v>
                </c:pt>
              </c:numCache>
            </c:numRef>
          </c:val>
          <c:extLst>
            <c:ext xmlns:c16="http://schemas.microsoft.com/office/drawing/2014/chart" uri="{C3380CC4-5D6E-409C-BE32-E72D297353CC}">
              <c16:uniqueId val="{00000002-973F-417E-AAE5-3377C396710C}"/>
            </c:ext>
          </c:extLst>
        </c:ser>
        <c:ser>
          <c:idx val="3"/>
          <c:order val="3"/>
          <c:tx>
            <c:strRef>
              <c:f>QTR!$B$62</c:f>
              <c:strCache>
                <c:ptCount val="1"/>
                <c:pt idx="0">
                  <c:v>Active Customers (LTM)</c:v>
                </c:pt>
              </c:strCache>
            </c:strRef>
          </c:tx>
          <c:spPr>
            <a:solidFill>
              <a:schemeClr val="accent2"/>
            </a:solidFill>
            <a:ln>
              <a:noFill/>
            </a:ln>
            <a:effectLst/>
          </c:spPr>
          <c:invertIfNegative val="0"/>
          <c:dLbls>
            <c:numFmt formatCode="[Color10]\+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QTR!$C$58:$F$58</c:f>
              <c:strCache>
                <c:ptCount val="4"/>
                <c:pt idx="0">
                  <c:v>SportsBet</c:v>
                </c:pt>
                <c:pt idx="1">
                  <c:v>PointsBet</c:v>
                </c:pt>
                <c:pt idx="2">
                  <c:v>BlueBet</c:v>
                </c:pt>
                <c:pt idx="3">
                  <c:v>BetR</c:v>
                </c:pt>
              </c:strCache>
            </c:strRef>
          </c:cat>
          <c:val>
            <c:numRef>
              <c:f>QTR!$C$62:$F$62</c:f>
              <c:numCache>
                <c:formatCode>[Color10]\+0%;[Red]\-0%;\-</c:formatCode>
                <c:ptCount val="4"/>
                <c:pt idx="1">
                  <c:v>-7.1639207910810132E-2</c:v>
                </c:pt>
                <c:pt idx="2">
                  <c:v>7.3101175575905453E-2</c:v>
                </c:pt>
              </c:numCache>
            </c:numRef>
          </c:val>
          <c:extLst>
            <c:ext xmlns:c16="http://schemas.microsoft.com/office/drawing/2014/chart" uri="{C3380CC4-5D6E-409C-BE32-E72D297353CC}">
              <c16:uniqueId val="{00000003-973F-417E-AAE5-3377C396710C}"/>
            </c:ext>
          </c:extLst>
        </c:ser>
        <c:dLbls>
          <c:dLblPos val="outEnd"/>
          <c:showLegendKey val="0"/>
          <c:showVal val="1"/>
          <c:showCatName val="0"/>
          <c:showSerName val="0"/>
          <c:showPercent val="0"/>
          <c:showBubbleSize val="0"/>
        </c:dLbls>
        <c:gapWidth val="219"/>
        <c:overlap val="-27"/>
        <c:axId val="2129809839"/>
        <c:axId val="2129810799"/>
      </c:barChart>
      <c:catAx>
        <c:axId val="2129809839"/>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9810799"/>
        <c:crosses val="autoZero"/>
        <c:auto val="1"/>
        <c:lblAlgn val="ctr"/>
        <c:lblOffset val="100"/>
        <c:noMultiLvlLbl val="0"/>
      </c:catAx>
      <c:valAx>
        <c:axId val="2129810799"/>
        <c:scaling>
          <c:orientation val="minMax"/>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980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QTR!$C$58</c:f>
              <c:strCache>
                <c:ptCount val="1"/>
                <c:pt idx="0">
                  <c:v>SportsBet</c:v>
                </c:pt>
              </c:strCache>
            </c:strRef>
          </c:tx>
          <c:spPr>
            <a:solidFill>
              <a:schemeClr val="tx2"/>
            </a:solidFill>
            <a:ln>
              <a:noFill/>
            </a:ln>
            <a:effectLst/>
          </c:spPr>
          <c:invertIfNegative val="0"/>
          <c:dLbls>
            <c:numFmt formatCode="[Color10]\+0.0%;[Red]\-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QTR!$B$65:$B$68</c:f>
              <c:strCache>
                <c:ptCount val="4"/>
                <c:pt idx="0">
                  <c:v>Turnover</c:v>
                </c:pt>
                <c:pt idx="1">
                  <c:v>Net Win</c:v>
                </c:pt>
                <c:pt idx="2">
                  <c:v>EBITDA</c:v>
                </c:pt>
                <c:pt idx="3">
                  <c:v>Active Customers</c:v>
                </c:pt>
              </c:strCache>
            </c:strRef>
          </c:cat>
          <c:val>
            <c:numRef>
              <c:f>QTR!$C$65:$C$68</c:f>
              <c:numCache>
                <c:formatCode>[Color10]\+0%;[Red]\-0%;\-</c:formatCode>
                <c:ptCount val="4"/>
                <c:pt idx="0">
                  <c:v>-8.3231976891655846E-2</c:v>
                </c:pt>
                <c:pt idx="1">
                  <c:v>0.11801715216935782</c:v>
                </c:pt>
                <c:pt idx="2">
                  <c:v>0.1428105785509115</c:v>
                </c:pt>
                <c:pt idx="3">
                  <c:v>6.4951040721995978E-2</c:v>
                </c:pt>
              </c:numCache>
            </c:numRef>
          </c:val>
          <c:extLst>
            <c:ext xmlns:c16="http://schemas.microsoft.com/office/drawing/2014/chart" uri="{C3380CC4-5D6E-409C-BE32-E72D297353CC}">
              <c16:uniqueId val="{00000001-7E64-4379-8648-FAFA7CC593D2}"/>
            </c:ext>
          </c:extLst>
        </c:ser>
        <c:ser>
          <c:idx val="24"/>
          <c:order val="1"/>
          <c:tx>
            <c:strRef>
              <c:f>QTR!$D$58</c:f>
              <c:strCache>
                <c:ptCount val="1"/>
                <c:pt idx="0">
                  <c:v>PointsBet</c:v>
                </c:pt>
              </c:strCache>
            </c:strRef>
          </c:tx>
          <c:spPr>
            <a:solidFill>
              <a:schemeClr val="accent1"/>
            </a:solidFill>
            <a:ln>
              <a:noFill/>
            </a:ln>
            <a:effectLst/>
          </c:spPr>
          <c:invertIfNegative val="0"/>
          <c:dLbls>
            <c:numFmt formatCode="[Color10]\+0.0%;[Red]\-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QTR!$B$65:$B$68</c:f>
              <c:strCache>
                <c:ptCount val="4"/>
                <c:pt idx="0">
                  <c:v>Turnover</c:v>
                </c:pt>
                <c:pt idx="1">
                  <c:v>Net Win</c:v>
                </c:pt>
                <c:pt idx="2">
                  <c:v>EBITDA</c:v>
                </c:pt>
                <c:pt idx="3">
                  <c:v>Active Customers</c:v>
                </c:pt>
              </c:strCache>
            </c:strRef>
          </c:cat>
          <c:val>
            <c:numRef>
              <c:f>QTR!$D$65:$D$68</c:f>
              <c:numCache>
                <c:formatCode>[Color10]\+0%;[Red]\-0%;\-</c:formatCode>
                <c:ptCount val="4"/>
                <c:pt idx="0">
                  <c:v>-1.6581407655671176E-2</c:v>
                </c:pt>
                <c:pt idx="1">
                  <c:v>7.1969696969697017E-2</c:v>
                </c:pt>
                <c:pt idx="3">
                  <c:v>1.3980511498726145E-2</c:v>
                </c:pt>
              </c:numCache>
            </c:numRef>
          </c:val>
          <c:extLst>
            <c:ext xmlns:c16="http://schemas.microsoft.com/office/drawing/2014/chart" uri="{C3380CC4-5D6E-409C-BE32-E72D297353CC}">
              <c16:uniqueId val="{00000003-7E64-4379-8648-FAFA7CC593D2}"/>
            </c:ext>
          </c:extLst>
        </c:ser>
        <c:dLbls>
          <c:dLblPos val="outEnd"/>
          <c:showLegendKey val="0"/>
          <c:showVal val="1"/>
          <c:showCatName val="0"/>
          <c:showSerName val="0"/>
          <c:showPercent val="0"/>
          <c:showBubbleSize val="0"/>
        </c:dLbls>
        <c:gapWidth val="219"/>
        <c:overlap val="-27"/>
        <c:axId val="2129809839"/>
        <c:axId val="2129810799"/>
      </c:barChart>
      <c:catAx>
        <c:axId val="2129809839"/>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9810799"/>
        <c:crosses val="autoZero"/>
        <c:auto val="1"/>
        <c:lblAlgn val="ctr"/>
        <c:lblOffset val="100"/>
        <c:noMultiLvlLbl val="0"/>
      </c:catAx>
      <c:valAx>
        <c:axId val="2129810799"/>
        <c:scaling>
          <c:orientation val="minMax"/>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980983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QTR!$N$75</c:f>
              <c:strCache>
                <c:ptCount val="1"/>
                <c:pt idx="0">
                  <c:v>Q1</c:v>
                </c:pt>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QTR!$O$75:$S$75</c:f>
              <c:numCache>
                <c:formatCode>0.0%</c:formatCode>
                <c:ptCount val="5"/>
                <c:pt idx="0">
                  <c:v>0.10420711974110032</c:v>
                </c:pt>
                <c:pt idx="1">
                  <c:v>0.11386983741869343</c:v>
                </c:pt>
                <c:pt idx="2">
                  <c:v>0.11516539643833351</c:v>
                </c:pt>
                <c:pt idx="3">
                  <c:v>0.11152476932075285</c:v>
                </c:pt>
                <c:pt idx="4">
                  <c:v>0.12914390133665232</c:v>
                </c:pt>
              </c:numCache>
            </c:numRef>
          </c:val>
          <c:smooth val="0"/>
          <c:extLst>
            <c:ext xmlns:c16="http://schemas.microsoft.com/office/drawing/2014/chart" uri="{C3380CC4-5D6E-409C-BE32-E72D297353CC}">
              <c16:uniqueId val="{00000000-EBC5-4FD9-96B5-238917183A16}"/>
            </c:ext>
          </c:extLst>
        </c:ser>
        <c:ser>
          <c:idx val="1"/>
          <c:order val="1"/>
          <c:tx>
            <c:strRef>
              <c:f>QTR!$N$76</c:f>
              <c:strCache>
                <c:ptCount val="1"/>
                <c:pt idx="0">
                  <c:v>Q2</c:v>
                </c:pt>
              </c:strCache>
            </c:strRef>
          </c:tx>
          <c:spPr>
            <a:ln w="19050" cap="rnd">
              <a:solidFill>
                <a:schemeClr val="bg1">
                  <a:lumMod val="75000"/>
                </a:schemeClr>
              </a:solidFill>
              <a:round/>
            </a:ln>
            <a:effectLst/>
          </c:spPr>
          <c:marker>
            <c:symbol val="diamond"/>
            <c:size val="8"/>
            <c:spPr>
              <a:solidFill>
                <a:schemeClr val="bg2"/>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QTR!$O$76:$S$76</c:f>
              <c:numCache>
                <c:formatCode>0.0%</c:formatCode>
                <c:ptCount val="5"/>
                <c:pt idx="0">
                  <c:v>0.12580348943985309</c:v>
                </c:pt>
                <c:pt idx="1">
                  <c:v>0.1204518075106466</c:v>
                </c:pt>
                <c:pt idx="2">
                  <c:v>0.11975911125315769</c:v>
                </c:pt>
                <c:pt idx="3">
                  <c:v>0.13160584577209827</c:v>
                </c:pt>
                <c:pt idx="4">
                  <c:v>0.12802641232575201</c:v>
                </c:pt>
              </c:numCache>
            </c:numRef>
          </c:val>
          <c:smooth val="0"/>
          <c:extLst>
            <c:ext xmlns:c16="http://schemas.microsoft.com/office/drawing/2014/chart" uri="{C3380CC4-5D6E-409C-BE32-E72D297353CC}">
              <c16:uniqueId val="{00000001-EBC5-4FD9-96B5-238917183A16}"/>
            </c:ext>
          </c:extLst>
        </c:ser>
        <c:ser>
          <c:idx val="2"/>
          <c:order val="2"/>
          <c:tx>
            <c:strRef>
              <c:f>QTR!$N$77</c:f>
              <c:strCache>
                <c:ptCount val="1"/>
                <c:pt idx="0">
                  <c:v>Q3</c:v>
                </c:pt>
              </c:strCache>
            </c:strRef>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QTR!$O$77:$S$77</c:f>
              <c:numCache>
                <c:formatCode>0.0%</c:formatCode>
                <c:ptCount val="5"/>
                <c:pt idx="0">
                  <c:v>0.10656010656010655</c:v>
                </c:pt>
                <c:pt idx="1">
                  <c:v>0.11206779727080425</c:v>
                </c:pt>
                <c:pt idx="2">
                  <c:v>0.11072803637384009</c:v>
                </c:pt>
                <c:pt idx="3">
                  <c:v>0.11334500564353435</c:v>
                </c:pt>
                <c:pt idx="4">
                  <c:v>0.13822652757078988</c:v>
                </c:pt>
              </c:numCache>
            </c:numRef>
          </c:val>
          <c:smooth val="0"/>
          <c:extLst>
            <c:ext xmlns:c16="http://schemas.microsoft.com/office/drawing/2014/chart" uri="{C3380CC4-5D6E-409C-BE32-E72D297353CC}">
              <c16:uniqueId val="{00000002-EBC5-4FD9-96B5-238917183A16}"/>
            </c:ext>
          </c:extLst>
        </c:ser>
        <c:ser>
          <c:idx val="3"/>
          <c:order val="3"/>
          <c:tx>
            <c:strRef>
              <c:f>QTR!$N$78</c:f>
              <c:strCache>
                <c:ptCount val="1"/>
                <c:pt idx="0">
                  <c:v>Q4</c:v>
                </c:pt>
              </c:strCache>
            </c:strRef>
          </c:tx>
          <c:spPr>
            <a:ln w="19050" cap="rnd">
              <a:solidFill>
                <a:schemeClr val="accent3">
                  <a:lumMod val="40000"/>
                  <a:lumOff val="60000"/>
                </a:schemeClr>
              </a:solidFill>
              <a:round/>
            </a:ln>
            <a:effectLst/>
          </c:spPr>
          <c:marker>
            <c:symbol val="diamond"/>
            <c:size val="8"/>
            <c:spPr>
              <a:solidFill>
                <a:schemeClr val="accent2"/>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QTR!$O$78:$S$78</c:f>
              <c:numCache>
                <c:formatCode>0.0%</c:formatCode>
                <c:ptCount val="5"/>
                <c:pt idx="0">
                  <c:v>0.10713090056913291</c:v>
                </c:pt>
                <c:pt idx="1">
                  <c:v>9.9627235038135933E-2</c:v>
                </c:pt>
                <c:pt idx="2">
                  <c:v>0.10333385286807759</c:v>
                </c:pt>
                <c:pt idx="3">
                  <c:v>0.12413108242303873</c:v>
                </c:pt>
              </c:numCache>
            </c:numRef>
          </c:val>
          <c:smooth val="0"/>
          <c:extLst>
            <c:ext xmlns:c16="http://schemas.microsoft.com/office/drawing/2014/chart" uri="{C3380CC4-5D6E-409C-BE32-E72D297353CC}">
              <c16:uniqueId val="{00000003-EBC5-4FD9-96B5-238917183A16}"/>
            </c:ext>
          </c:extLst>
        </c:ser>
        <c:dLbls>
          <c:showLegendKey val="0"/>
          <c:showVal val="0"/>
          <c:showCatName val="0"/>
          <c:showSerName val="0"/>
          <c:showPercent val="0"/>
          <c:showBubbleSize val="0"/>
        </c:dLbls>
        <c:marker val="1"/>
        <c:smooth val="0"/>
        <c:axId val="1904454671"/>
        <c:axId val="1904455631"/>
      </c:lineChart>
      <c:catAx>
        <c:axId val="190445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5631"/>
        <c:crosses val="autoZero"/>
        <c:auto val="1"/>
        <c:lblAlgn val="ctr"/>
        <c:lblOffset val="100"/>
        <c:noMultiLvlLbl val="0"/>
      </c:catAx>
      <c:valAx>
        <c:axId val="1904455631"/>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4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QTR!$N$69</c:f>
              <c:strCache>
                <c:ptCount val="1"/>
                <c:pt idx="0">
                  <c:v>Q1</c:v>
                </c:pt>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cat>
            <c:numRef>
              <c:f>QTR!$O$68:$S$68</c:f>
              <c:numCache>
                <c:formatCode>General</c:formatCode>
                <c:ptCount val="5"/>
                <c:pt idx="0">
                  <c:v>2020</c:v>
                </c:pt>
                <c:pt idx="1">
                  <c:v>2021</c:v>
                </c:pt>
                <c:pt idx="2">
                  <c:v>2022</c:v>
                </c:pt>
                <c:pt idx="3">
                  <c:v>2023</c:v>
                </c:pt>
                <c:pt idx="4">
                  <c:v>2024</c:v>
                </c:pt>
              </c:numCache>
            </c:numRef>
          </c:cat>
          <c:val>
            <c:numRef>
              <c:f>QTR!$O$69:$S$69</c:f>
              <c:numCache>
                <c:formatCode>#,##0.0</c:formatCode>
                <c:ptCount val="5"/>
                <c:pt idx="0">
                  <c:v>313.22488439263105</c:v>
                </c:pt>
                <c:pt idx="1">
                  <c:v>497.98966339948419</c:v>
                </c:pt>
                <c:pt idx="2">
                  <c:v>538.4191695635119</c:v>
                </c:pt>
                <c:pt idx="3">
                  <c:v>512.75082797806817</c:v>
                </c:pt>
                <c:pt idx="4">
                  <c:v>499.96131798696382</c:v>
                </c:pt>
              </c:numCache>
            </c:numRef>
          </c:val>
          <c:smooth val="0"/>
          <c:extLst>
            <c:ext xmlns:c16="http://schemas.microsoft.com/office/drawing/2014/chart" uri="{C3380CC4-5D6E-409C-BE32-E72D297353CC}">
              <c16:uniqueId val="{00000005-FE49-4AE3-908A-0A9814D42D3B}"/>
            </c:ext>
          </c:extLst>
        </c:ser>
        <c:ser>
          <c:idx val="1"/>
          <c:order val="1"/>
          <c:tx>
            <c:strRef>
              <c:f>QTR!$N$70</c:f>
              <c:strCache>
                <c:ptCount val="1"/>
                <c:pt idx="0">
                  <c:v>Q2</c:v>
                </c:pt>
              </c:strCache>
            </c:strRef>
          </c:tx>
          <c:spPr>
            <a:ln w="19050" cap="rnd">
              <a:solidFill>
                <a:schemeClr val="bg1">
                  <a:lumMod val="75000"/>
                </a:schemeClr>
              </a:solidFill>
              <a:round/>
            </a:ln>
            <a:effectLst/>
          </c:spPr>
          <c:marker>
            <c:symbol val="diamond"/>
            <c:size val="8"/>
            <c:spPr>
              <a:solidFill>
                <a:schemeClr val="bg2"/>
              </a:solidFill>
              <a:ln w="9525">
                <a:noFill/>
              </a:ln>
              <a:effectLst/>
            </c:spPr>
          </c:marker>
          <c:cat>
            <c:numRef>
              <c:f>QTR!$O$68:$S$68</c:f>
              <c:numCache>
                <c:formatCode>General</c:formatCode>
                <c:ptCount val="5"/>
                <c:pt idx="0">
                  <c:v>2020</c:v>
                </c:pt>
                <c:pt idx="1">
                  <c:v>2021</c:v>
                </c:pt>
                <c:pt idx="2">
                  <c:v>2022</c:v>
                </c:pt>
                <c:pt idx="3">
                  <c:v>2023</c:v>
                </c:pt>
                <c:pt idx="4">
                  <c:v>2024</c:v>
                </c:pt>
              </c:numCache>
            </c:numRef>
          </c:cat>
          <c:val>
            <c:numRef>
              <c:f>QTR!$O$70:$S$70</c:f>
              <c:numCache>
                <c:formatCode>#,##0.0</c:formatCode>
                <c:ptCount val="5"/>
                <c:pt idx="0">
                  <c:v>517.09370690280912</c:v>
                </c:pt>
                <c:pt idx="1">
                  <c:v>557.18707774352742</c:v>
                </c:pt>
                <c:pt idx="2">
                  <c:v>566.19781739808946</c:v>
                </c:pt>
                <c:pt idx="3">
                  <c:v>583.02977466021503</c:v>
                </c:pt>
                <c:pt idx="4">
                  <c:v>529.53280416945699</c:v>
                </c:pt>
              </c:numCache>
            </c:numRef>
          </c:val>
          <c:smooth val="0"/>
          <c:extLst>
            <c:ext xmlns:c16="http://schemas.microsoft.com/office/drawing/2014/chart" uri="{C3380CC4-5D6E-409C-BE32-E72D297353CC}">
              <c16:uniqueId val="{00000007-FE49-4AE3-908A-0A9814D42D3B}"/>
            </c:ext>
          </c:extLst>
        </c:ser>
        <c:ser>
          <c:idx val="2"/>
          <c:order val="2"/>
          <c:tx>
            <c:strRef>
              <c:f>QTR!$N$71</c:f>
              <c:strCache>
                <c:ptCount val="1"/>
                <c:pt idx="0">
                  <c:v>Q3</c:v>
                </c:pt>
              </c:strCache>
            </c:strRef>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cat>
            <c:numRef>
              <c:f>QTR!$O$68:$S$68</c:f>
              <c:numCache>
                <c:formatCode>General</c:formatCode>
                <c:ptCount val="5"/>
                <c:pt idx="0">
                  <c:v>2020</c:v>
                </c:pt>
                <c:pt idx="1">
                  <c:v>2021</c:v>
                </c:pt>
                <c:pt idx="2">
                  <c:v>2022</c:v>
                </c:pt>
                <c:pt idx="3">
                  <c:v>2023</c:v>
                </c:pt>
                <c:pt idx="4">
                  <c:v>2024</c:v>
                </c:pt>
              </c:numCache>
            </c:numRef>
          </c:cat>
          <c:val>
            <c:numRef>
              <c:f>QTR!$O$71:$S$71</c:f>
              <c:numCache>
                <c:formatCode>#,##0.0</c:formatCode>
                <c:ptCount val="5"/>
                <c:pt idx="0">
                  <c:v>577.97931644093899</c:v>
                </c:pt>
                <c:pt idx="1">
                  <c:v>698.74904080471515</c:v>
                </c:pt>
                <c:pt idx="2">
                  <c:v>547.26343234104183</c:v>
                </c:pt>
                <c:pt idx="3">
                  <c:v>506.91828818754675</c:v>
                </c:pt>
                <c:pt idx="4">
                  <c:v>553.88678731412415</c:v>
                </c:pt>
              </c:numCache>
            </c:numRef>
          </c:val>
          <c:smooth val="0"/>
          <c:extLst>
            <c:ext xmlns:c16="http://schemas.microsoft.com/office/drawing/2014/chart" uri="{C3380CC4-5D6E-409C-BE32-E72D297353CC}">
              <c16:uniqueId val="{00000009-FE49-4AE3-908A-0A9814D42D3B}"/>
            </c:ext>
          </c:extLst>
        </c:ser>
        <c:ser>
          <c:idx val="3"/>
          <c:order val="3"/>
          <c:tx>
            <c:strRef>
              <c:f>QTR!$N$72</c:f>
              <c:strCache>
                <c:ptCount val="1"/>
                <c:pt idx="0">
                  <c:v>Q4</c:v>
                </c:pt>
              </c:strCache>
            </c:strRef>
          </c:tx>
          <c:spPr>
            <a:ln w="19050" cap="rnd">
              <a:solidFill>
                <a:schemeClr val="accent3">
                  <a:lumMod val="40000"/>
                  <a:lumOff val="60000"/>
                </a:schemeClr>
              </a:solidFill>
              <a:round/>
            </a:ln>
            <a:effectLst/>
          </c:spPr>
          <c:marker>
            <c:symbol val="diamond"/>
            <c:size val="8"/>
            <c:spPr>
              <a:solidFill>
                <a:schemeClr val="accent2"/>
              </a:solidFill>
              <a:ln w="9525">
                <a:noFill/>
              </a:ln>
              <a:effectLst/>
            </c:spPr>
          </c:marker>
          <c:cat>
            <c:numRef>
              <c:f>QTR!$O$68:$S$68</c:f>
              <c:numCache>
                <c:formatCode>General</c:formatCode>
                <c:ptCount val="5"/>
                <c:pt idx="0">
                  <c:v>2020</c:v>
                </c:pt>
                <c:pt idx="1">
                  <c:v>2021</c:v>
                </c:pt>
                <c:pt idx="2">
                  <c:v>2022</c:v>
                </c:pt>
                <c:pt idx="3">
                  <c:v>2023</c:v>
                </c:pt>
                <c:pt idx="4">
                  <c:v>2024</c:v>
                </c:pt>
              </c:numCache>
            </c:numRef>
          </c:cat>
          <c:val>
            <c:numRef>
              <c:f>QTR!$O$72:$S$72</c:f>
              <c:numCache>
                <c:formatCode>#,##0.0</c:formatCode>
                <c:ptCount val="5"/>
                <c:pt idx="0">
                  <c:v>578.16127195479817</c:v>
                </c:pt>
                <c:pt idx="1">
                  <c:v>623.82184664283568</c:v>
                </c:pt>
                <c:pt idx="2">
                  <c:v>592.04239804345809</c:v>
                </c:pt>
                <c:pt idx="3">
                  <c:v>575.75568967677737</c:v>
                </c:pt>
              </c:numCache>
            </c:numRef>
          </c:val>
          <c:smooth val="0"/>
          <c:extLst>
            <c:ext xmlns:c16="http://schemas.microsoft.com/office/drawing/2014/chart" uri="{C3380CC4-5D6E-409C-BE32-E72D297353CC}">
              <c16:uniqueId val="{0000000B-FE49-4AE3-908A-0A9814D42D3B}"/>
            </c:ext>
          </c:extLst>
        </c:ser>
        <c:dLbls>
          <c:showLegendKey val="0"/>
          <c:showVal val="0"/>
          <c:showCatName val="0"/>
          <c:showSerName val="0"/>
          <c:showPercent val="0"/>
          <c:showBubbleSize val="0"/>
        </c:dLbls>
        <c:marker val="1"/>
        <c:smooth val="0"/>
        <c:axId val="1904454671"/>
        <c:axId val="1904455631"/>
      </c:lineChart>
      <c:catAx>
        <c:axId val="190445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5631"/>
        <c:crosses val="autoZero"/>
        <c:auto val="1"/>
        <c:lblAlgn val="ctr"/>
        <c:lblOffset val="100"/>
        <c:noMultiLvlLbl val="0"/>
      </c:catAx>
      <c:valAx>
        <c:axId val="1904455631"/>
        <c:scaling>
          <c:orientation val="minMax"/>
          <c:max val="700"/>
          <c:min val="2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467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QTR!$N$63</c:f>
              <c:strCache>
                <c:ptCount val="1"/>
                <c:pt idx="0">
                  <c:v>Q1</c:v>
                </c:pt>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cat>
            <c:numRef>
              <c:f>QTR!$O$62:$S$62</c:f>
              <c:numCache>
                <c:formatCode>General</c:formatCode>
                <c:ptCount val="5"/>
                <c:pt idx="0">
                  <c:v>2020</c:v>
                </c:pt>
                <c:pt idx="1">
                  <c:v>2021</c:v>
                </c:pt>
                <c:pt idx="2">
                  <c:v>2022</c:v>
                </c:pt>
                <c:pt idx="3">
                  <c:v>2023</c:v>
                </c:pt>
                <c:pt idx="4">
                  <c:v>2024</c:v>
                </c:pt>
              </c:numCache>
            </c:numRef>
          </c:cat>
          <c:val>
            <c:numRef>
              <c:f>QTR!$O$63:$S$63</c:f>
              <c:numCache>
                <c:formatCode>#,##0.0</c:formatCode>
                <c:ptCount val="5"/>
                <c:pt idx="0">
                  <c:v>3005.7915924634472</c:v>
                </c:pt>
                <c:pt idx="1">
                  <c:v>4373.3237412854314</c:v>
                </c:pt>
                <c:pt idx="2">
                  <c:v>4675.1818359937133</c:v>
                </c:pt>
                <c:pt idx="3">
                  <c:v>4597.6407851009471</c:v>
                </c:pt>
                <c:pt idx="4">
                  <c:v>3871.3505849855401</c:v>
                </c:pt>
              </c:numCache>
            </c:numRef>
          </c:val>
          <c:smooth val="0"/>
          <c:extLst>
            <c:ext xmlns:c16="http://schemas.microsoft.com/office/drawing/2014/chart" uri="{C3380CC4-5D6E-409C-BE32-E72D297353CC}">
              <c16:uniqueId val="{00000005-3605-407F-A96B-4B7811775C30}"/>
            </c:ext>
          </c:extLst>
        </c:ser>
        <c:ser>
          <c:idx val="1"/>
          <c:order val="1"/>
          <c:tx>
            <c:strRef>
              <c:f>QTR!$N$64</c:f>
              <c:strCache>
                <c:ptCount val="1"/>
                <c:pt idx="0">
                  <c:v>Q2</c:v>
                </c:pt>
              </c:strCache>
            </c:strRef>
          </c:tx>
          <c:spPr>
            <a:ln w="19050" cap="rnd">
              <a:solidFill>
                <a:schemeClr val="bg1">
                  <a:lumMod val="75000"/>
                </a:schemeClr>
              </a:solidFill>
              <a:round/>
            </a:ln>
            <a:effectLst/>
          </c:spPr>
          <c:marker>
            <c:symbol val="diamond"/>
            <c:size val="8"/>
            <c:spPr>
              <a:solidFill>
                <a:schemeClr val="bg2"/>
              </a:solidFill>
              <a:ln w="9525">
                <a:noFill/>
              </a:ln>
              <a:effectLst/>
            </c:spPr>
          </c:marker>
          <c:cat>
            <c:numRef>
              <c:f>QTR!$O$62:$S$62</c:f>
              <c:numCache>
                <c:formatCode>General</c:formatCode>
                <c:ptCount val="5"/>
                <c:pt idx="0">
                  <c:v>2020</c:v>
                </c:pt>
                <c:pt idx="1">
                  <c:v>2021</c:v>
                </c:pt>
                <c:pt idx="2">
                  <c:v>2022</c:v>
                </c:pt>
                <c:pt idx="3">
                  <c:v>2023</c:v>
                </c:pt>
                <c:pt idx="4">
                  <c:v>2024</c:v>
                </c:pt>
              </c:numCache>
            </c:numRef>
          </c:cat>
          <c:val>
            <c:numRef>
              <c:f>QTR!$O$64:$S$64</c:f>
              <c:numCache>
                <c:formatCode>#,##0.0</c:formatCode>
                <c:ptCount val="5"/>
                <c:pt idx="0">
                  <c:v>4110.3288088843728</c:v>
                </c:pt>
                <c:pt idx="1">
                  <c:v>4625.8091867511266</c:v>
                </c:pt>
                <c:pt idx="2">
                  <c:v>4727.8057717145966</c:v>
                </c:pt>
                <c:pt idx="3">
                  <c:v>4430.1206472989597</c:v>
                </c:pt>
                <c:pt idx="4">
                  <c:v>4136.1215592147273</c:v>
                </c:pt>
              </c:numCache>
            </c:numRef>
          </c:val>
          <c:smooth val="0"/>
          <c:extLst>
            <c:ext xmlns:c16="http://schemas.microsoft.com/office/drawing/2014/chart" uri="{C3380CC4-5D6E-409C-BE32-E72D297353CC}">
              <c16:uniqueId val="{00000007-3605-407F-A96B-4B7811775C30}"/>
            </c:ext>
          </c:extLst>
        </c:ser>
        <c:ser>
          <c:idx val="2"/>
          <c:order val="2"/>
          <c:tx>
            <c:strRef>
              <c:f>QTR!$N$65</c:f>
              <c:strCache>
                <c:ptCount val="1"/>
                <c:pt idx="0">
                  <c:v>Q3</c:v>
                </c:pt>
              </c:strCache>
            </c:strRef>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cat>
            <c:numRef>
              <c:f>QTR!$O$62:$S$62</c:f>
              <c:numCache>
                <c:formatCode>General</c:formatCode>
                <c:ptCount val="5"/>
                <c:pt idx="0">
                  <c:v>2020</c:v>
                </c:pt>
                <c:pt idx="1">
                  <c:v>2021</c:v>
                </c:pt>
                <c:pt idx="2">
                  <c:v>2022</c:v>
                </c:pt>
                <c:pt idx="3">
                  <c:v>2023</c:v>
                </c:pt>
                <c:pt idx="4">
                  <c:v>2024</c:v>
                </c:pt>
              </c:numCache>
            </c:numRef>
          </c:cat>
          <c:val>
            <c:numRef>
              <c:f>QTR!$O$65:$S$65</c:f>
              <c:numCache>
                <c:formatCode>#,##0.0</c:formatCode>
                <c:ptCount val="5"/>
                <c:pt idx="0">
                  <c:v>5423.9746477254375</c:v>
                </c:pt>
                <c:pt idx="1">
                  <c:v>6235.0564374548685</c:v>
                </c:pt>
                <c:pt idx="2">
                  <c:v>4942.4107052108338</c:v>
                </c:pt>
                <c:pt idx="3">
                  <c:v>4472.347813734159</c:v>
                </c:pt>
                <c:pt idx="4">
                  <c:v>4007.0947093021809</c:v>
                </c:pt>
              </c:numCache>
            </c:numRef>
          </c:val>
          <c:smooth val="0"/>
          <c:extLst>
            <c:ext xmlns:c16="http://schemas.microsoft.com/office/drawing/2014/chart" uri="{C3380CC4-5D6E-409C-BE32-E72D297353CC}">
              <c16:uniqueId val="{00000009-3605-407F-A96B-4B7811775C30}"/>
            </c:ext>
          </c:extLst>
        </c:ser>
        <c:ser>
          <c:idx val="3"/>
          <c:order val="3"/>
          <c:tx>
            <c:strRef>
              <c:f>QTR!$N$66</c:f>
              <c:strCache>
                <c:ptCount val="1"/>
                <c:pt idx="0">
                  <c:v>Q4</c:v>
                </c:pt>
              </c:strCache>
            </c:strRef>
          </c:tx>
          <c:spPr>
            <a:ln w="19050" cap="rnd">
              <a:solidFill>
                <a:schemeClr val="accent3">
                  <a:lumMod val="40000"/>
                  <a:lumOff val="60000"/>
                </a:schemeClr>
              </a:solidFill>
              <a:round/>
            </a:ln>
            <a:effectLst/>
          </c:spPr>
          <c:marker>
            <c:symbol val="diamond"/>
            <c:size val="8"/>
            <c:spPr>
              <a:solidFill>
                <a:schemeClr val="accent2"/>
              </a:solidFill>
              <a:ln w="9525">
                <a:noFill/>
              </a:ln>
              <a:effectLst/>
            </c:spPr>
          </c:marker>
          <c:cat>
            <c:numRef>
              <c:f>QTR!$O$62:$S$62</c:f>
              <c:numCache>
                <c:formatCode>General</c:formatCode>
                <c:ptCount val="5"/>
                <c:pt idx="0">
                  <c:v>2020</c:v>
                </c:pt>
                <c:pt idx="1">
                  <c:v>2021</c:v>
                </c:pt>
                <c:pt idx="2">
                  <c:v>2022</c:v>
                </c:pt>
                <c:pt idx="3">
                  <c:v>2023</c:v>
                </c:pt>
                <c:pt idx="4">
                  <c:v>2024</c:v>
                </c:pt>
              </c:numCache>
            </c:numRef>
          </c:cat>
          <c:val>
            <c:numRef>
              <c:f>QTR!$O$66:$S$66</c:f>
              <c:numCache>
                <c:formatCode>#,##0.0</c:formatCode>
                <c:ptCount val="5"/>
                <c:pt idx="0">
                  <c:v>5396.7741229030689</c:v>
                </c:pt>
                <c:pt idx="1">
                  <c:v>6261.5593658104162</c:v>
                </c:pt>
                <c:pt idx="2">
                  <c:v>5729.4137556188498</c:v>
                </c:pt>
                <c:pt idx="3">
                  <c:v>4638.2878360361183</c:v>
                </c:pt>
              </c:numCache>
            </c:numRef>
          </c:val>
          <c:smooth val="0"/>
          <c:extLst>
            <c:ext xmlns:c16="http://schemas.microsoft.com/office/drawing/2014/chart" uri="{C3380CC4-5D6E-409C-BE32-E72D297353CC}">
              <c16:uniqueId val="{0000000B-3605-407F-A96B-4B7811775C30}"/>
            </c:ext>
          </c:extLst>
        </c:ser>
        <c:dLbls>
          <c:showLegendKey val="0"/>
          <c:showVal val="0"/>
          <c:showCatName val="0"/>
          <c:showSerName val="0"/>
          <c:showPercent val="0"/>
          <c:showBubbleSize val="0"/>
        </c:dLbls>
        <c:marker val="1"/>
        <c:smooth val="0"/>
        <c:axId val="1904454671"/>
        <c:axId val="1904455631"/>
      </c:lineChart>
      <c:catAx>
        <c:axId val="190445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5631"/>
        <c:crosses val="autoZero"/>
        <c:auto val="1"/>
        <c:lblAlgn val="ctr"/>
        <c:lblOffset val="100"/>
        <c:noMultiLvlLbl val="0"/>
      </c:catAx>
      <c:valAx>
        <c:axId val="1904455631"/>
        <c:scaling>
          <c:orientation val="minMax"/>
          <c:max val="7000"/>
          <c:min val="25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467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QTR!$N$105</c:f>
              <c:strCache>
                <c:ptCount val="1"/>
                <c:pt idx="0">
                  <c:v>Q1</c:v>
                </c:pt>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QTR!$O$105:$S$105</c:f>
              <c:numCache>
                <c:formatCode>0.0%</c:formatCode>
                <c:ptCount val="5"/>
                <c:pt idx="0">
                  <c:v>8.688340807174888E-2</c:v>
                </c:pt>
                <c:pt idx="1">
                  <c:v>9.0264650283553891E-2</c:v>
                </c:pt>
                <c:pt idx="2">
                  <c:v>9.026579219882637E-2</c:v>
                </c:pt>
                <c:pt idx="3">
                  <c:v>8.7443946188340824E-2</c:v>
                </c:pt>
                <c:pt idx="4">
                  <c:v>0.10041288191577208</c:v>
                </c:pt>
              </c:numCache>
            </c:numRef>
          </c:val>
          <c:smooth val="0"/>
          <c:extLst>
            <c:ext xmlns:c16="http://schemas.microsoft.com/office/drawing/2014/chart" uri="{C3380CC4-5D6E-409C-BE32-E72D297353CC}">
              <c16:uniqueId val="{00000005-1272-4200-9EE1-E54F8F3CDF23}"/>
            </c:ext>
          </c:extLst>
        </c:ser>
        <c:ser>
          <c:idx val="1"/>
          <c:order val="1"/>
          <c:tx>
            <c:strRef>
              <c:f>QTR!$N$106</c:f>
              <c:strCache>
                <c:ptCount val="1"/>
                <c:pt idx="0">
                  <c:v>Q2</c:v>
                </c:pt>
              </c:strCache>
            </c:strRef>
          </c:tx>
          <c:spPr>
            <a:ln w="19050" cap="rnd">
              <a:solidFill>
                <a:schemeClr val="bg1">
                  <a:lumMod val="75000"/>
                </a:schemeClr>
              </a:solidFill>
              <a:round/>
            </a:ln>
            <a:effectLst/>
          </c:spPr>
          <c:marker>
            <c:symbol val="diamond"/>
            <c:size val="8"/>
            <c:spPr>
              <a:solidFill>
                <a:schemeClr val="bg2"/>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QTR!$O$106:$S$106</c:f>
              <c:numCache>
                <c:formatCode>0.0%</c:formatCode>
                <c:ptCount val="5"/>
                <c:pt idx="0">
                  <c:v>0.10696599537801255</c:v>
                </c:pt>
                <c:pt idx="1">
                  <c:v>8.7105901374292638E-2</c:v>
                </c:pt>
                <c:pt idx="2">
                  <c:v>9.2215168727029742E-2</c:v>
                </c:pt>
                <c:pt idx="3">
                  <c:v>0.11069082221779813</c:v>
                </c:pt>
                <c:pt idx="4">
                  <c:v>9.9717935954869746E-2</c:v>
                </c:pt>
              </c:numCache>
            </c:numRef>
          </c:val>
          <c:smooth val="0"/>
          <c:extLst>
            <c:ext xmlns:c16="http://schemas.microsoft.com/office/drawing/2014/chart" uri="{C3380CC4-5D6E-409C-BE32-E72D297353CC}">
              <c16:uniqueId val="{00000007-1272-4200-9EE1-E54F8F3CDF23}"/>
            </c:ext>
          </c:extLst>
        </c:ser>
        <c:ser>
          <c:idx val="2"/>
          <c:order val="2"/>
          <c:tx>
            <c:strRef>
              <c:f>QTR!$N$107</c:f>
              <c:strCache>
                <c:ptCount val="1"/>
                <c:pt idx="0">
                  <c:v>Q3</c:v>
                </c:pt>
              </c:strCache>
            </c:strRef>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QTR!$O$107:$S$107</c:f>
              <c:numCache>
                <c:formatCode>0.0%</c:formatCode>
                <c:ptCount val="5"/>
                <c:pt idx="0">
                  <c:v>6.651506537805571E-2</c:v>
                </c:pt>
                <c:pt idx="1">
                  <c:v>8.6791257522964835E-2</c:v>
                </c:pt>
                <c:pt idx="2">
                  <c:v>7.7627063245628375E-2</c:v>
                </c:pt>
                <c:pt idx="3">
                  <c:v>9.3138119597812666E-2</c:v>
                </c:pt>
                <c:pt idx="4">
                  <c:v>0.10152466367713005</c:v>
                </c:pt>
              </c:numCache>
            </c:numRef>
          </c:val>
          <c:smooth val="0"/>
          <c:extLst>
            <c:ext xmlns:c16="http://schemas.microsoft.com/office/drawing/2014/chart" uri="{C3380CC4-5D6E-409C-BE32-E72D297353CC}">
              <c16:uniqueId val="{00000009-1272-4200-9EE1-E54F8F3CDF23}"/>
            </c:ext>
          </c:extLst>
        </c:ser>
        <c:ser>
          <c:idx val="3"/>
          <c:order val="3"/>
          <c:tx>
            <c:strRef>
              <c:f>QTR!$N$108</c:f>
              <c:strCache>
                <c:ptCount val="1"/>
                <c:pt idx="0">
                  <c:v>Q4</c:v>
                </c:pt>
              </c:strCache>
            </c:strRef>
          </c:tx>
          <c:spPr>
            <a:ln w="19050" cap="rnd">
              <a:solidFill>
                <a:schemeClr val="accent3">
                  <a:lumMod val="40000"/>
                  <a:lumOff val="60000"/>
                </a:schemeClr>
              </a:solidFill>
              <a:round/>
            </a:ln>
            <a:effectLst/>
          </c:spPr>
          <c:marker>
            <c:symbol val="diamond"/>
            <c:size val="8"/>
            <c:spPr>
              <a:solidFill>
                <a:schemeClr val="accent2"/>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QTR!$O$108:$S$108</c:f>
              <c:numCache>
                <c:formatCode>0.0%</c:formatCode>
                <c:ptCount val="5"/>
                <c:pt idx="0">
                  <c:v>9.1662065157371617E-2</c:v>
                </c:pt>
                <c:pt idx="1">
                  <c:v>7.3039889958734533E-2</c:v>
                </c:pt>
                <c:pt idx="2">
                  <c:v>6.1481086840703254E-2</c:v>
                </c:pt>
                <c:pt idx="3">
                  <c:v>6.5993788819875776E-2</c:v>
                </c:pt>
              </c:numCache>
            </c:numRef>
          </c:val>
          <c:smooth val="0"/>
          <c:extLst>
            <c:ext xmlns:c16="http://schemas.microsoft.com/office/drawing/2014/chart" uri="{C3380CC4-5D6E-409C-BE32-E72D297353CC}">
              <c16:uniqueId val="{0000000B-1272-4200-9EE1-E54F8F3CDF23}"/>
            </c:ext>
          </c:extLst>
        </c:ser>
        <c:dLbls>
          <c:showLegendKey val="0"/>
          <c:showVal val="0"/>
          <c:showCatName val="0"/>
          <c:showSerName val="0"/>
          <c:showPercent val="0"/>
          <c:showBubbleSize val="0"/>
        </c:dLbls>
        <c:marker val="1"/>
        <c:smooth val="0"/>
        <c:axId val="1904454671"/>
        <c:axId val="1904455631"/>
      </c:lineChart>
      <c:catAx>
        <c:axId val="190445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5631"/>
        <c:crosses val="autoZero"/>
        <c:auto val="1"/>
        <c:lblAlgn val="ctr"/>
        <c:lblOffset val="100"/>
        <c:noMultiLvlLbl val="0"/>
      </c:catAx>
      <c:valAx>
        <c:axId val="1904455631"/>
        <c:scaling>
          <c:orientation val="minMax"/>
          <c:min val="6.0000000000000012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467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QTR!$N$99</c:f>
              <c:strCache>
                <c:ptCount val="1"/>
                <c:pt idx="0">
                  <c:v>Q1</c:v>
                </c:pt>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cat>
            <c:numRef>
              <c:f>QTR!$O$68:$S$68</c:f>
              <c:numCache>
                <c:formatCode>General</c:formatCode>
                <c:ptCount val="5"/>
                <c:pt idx="0">
                  <c:v>2020</c:v>
                </c:pt>
                <c:pt idx="1">
                  <c:v>2021</c:v>
                </c:pt>
                <c:pt idx="2">
                  <c:v>2022</c:v>
                </c:pt>
                <c:pt idx="3">
                  <c:v>2023</c:v>
                </c:pt>
                <c:pt idx="4">
                  <c:v>2024</c:v>
                </c:pt>
              </c:numCache>
            </c:numRef>
          </c:cat>
          <c:val>
            <c:numRef>
              <c:f>QTR!$O$99:$S$99</c:f>
              <c:numCache>
                <c:formatCode>#,##0.0</c:formatCode>
                <c:ptCount val="5"/>
                <c:pt idx="0">
                  <c:v>15.5</c:v>
                </c:pt>
                <c:pt idx="1">
                  <c:v>38.200000000000003</c:v>
                </c:pt>
                <c:pt idx="2">
                  <c:v>52.3</c:v>
                </c:pt>
                <c:pt idx="3">
                  <c:v>50.7</c:v>
                </c:pt>
                <c:pt idx="4">
                  <c:v>60.8</c:v>
                </c:pt>
              </c:numCache>
            </c:numRef>
          </c:val>
          <c:smooth val="0"/>
          <c:extLst>
            <c:ext xmlns:c16="http://schemas.microsoft.com/office/drawing/2014/chart" uri="{C3380CC4-5D6E-409C-BE32-E72D297353CC}">
              <c16:uniqueId val="{00000005-99DB-4D32-801D-41FB0B5672B6}"/>
            </c:ext>
          </c:extLst>
        </c:ser>
        <c:ser>
          <c:idx val="1"/>
          <c:order val="1"/>
          <c:tx>
            <c:strRef>
              <c:f>QTR!$N$100</c:f>
              <c:strCache>
                <c:ptCount val="1"/>
                <c:pt idx="0">
                  <c:v>Q2</c:v>
                </c:pt>
              </c:strCache>
            </c:strRef>
          </c:tx>
          <c:spPr>
            <a:ln w="19050" cap="rnd">
              <a:solidFill>
                <a:schemeClr val="bg1">
                  <a:lumMod val="75000"/>
                </a:schemeClr>
              </a:solidFill>
              <a:round/>
            </a:ln>
            <a:effectLst/>
          </c:spPr>
          <c:marker>
            <c:symbol val="diamond"/>
            <c:size val="8"/>
            <c:spPr>
              <a:solidFill>
                <a:schemeClr val="bg2"/>
              </a:solidFill>
              <a:ln w="9525">
                <a:noFill/>
              </a:ln>
              <a:effectLst/>
            </c:spPr>
          </c:marker>
          <c:cat>
            <c:numRef>
              <c:f>QTR!$O$68:$S$68</c:f>
              <c:numCache>
                <c:formatCode>General</c:formatCode>
                <c:ptCount val="5"/>
                <c:pt idx="0">
                  <c:v>2020</c:v>
                </c:pt>
                <c:pt idx="1">
                  <c:v>2021</c:v>
                </c:pt>
                <c:pt idx="2">
                  <c:v>2022</c:v>
                </c:pt>
                <c:pt idx="3">
                  <c:v>2023</c:v>
                </c:pt>
                <c:pt idx="4">
                  <c:v>2024</c:v>
                </c:pt>
              </c:numCache>
            </c:numRef>
          </c:cat>
          <c:val>
            <c:numRef>
              <c:f>QTR!$O$100:$S$100</c:f>
              <c:numCache>
                <c:formatCode>#,##0.0</c:formatCode>
                <c:ptCount val="5"/>
                <c:pt idx="0">
                  <c:v>32.4</c:v>
                </c:pt>
                <c:pt idx="1">
                  <c:v>43.1</c:v>
                </c:pt>
                <c:pt idx="2">
                  <c:v>55.2</c:v>
                </c:pt>
                <c:pt idx="3">
                  <c:v>55.6</c:v>
                </c:pt>
                <c:pt idx="4">
                  <c:v>60.1</c:v>
                </c:pt>
              </c:numCache>
            </c:numRef>
          </c:val>
          <c:smooth val="0"/>
          <c:extLst>
            <c:ext xmlns:c16="http://schemas.microsoft.com/office/drawing/2014/chart" uri="{C3380CC4-5D6E-409C-BE32-E72D297353CC}">
              <c16:uniqueId val="{00000007-99DB-4D32-801D-41FB0B5672B6}"/>
            </c:ext>
          </c:extLst>
        </c:ser>
        <c:ser>
          <c:idx val="2"/>
          <c:order val="2"/>
          <c:tx>
            <c:strRef>
              <c:f>QTR!$N$101</c:f>
              <c:strCache>
                <c:ptCount val="1"/>
                <c:pt idx="0">
                  <c:v>Q3</c:v>
                </c:pt>
              </c:strCache>
            </c:strRef>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cat>
            <c:numRef>
              <c:f>QTR!$O$68:$S$68</c:f>
              <c:numCache>
                <c:formatCode>General</c:formatCode>
                <c:ptCount val="5"/>
                <c:pt idx="0">
                  <c:v>2020</c:v>
                </c:pt>
                <c:pt idx="1">
                  <c:v>2021</c:v>
                </c:pt>
                <c:pt idx="2">
                  <c:v>2022</c:v>
                </c:pt>
                <c:pt idx="3">
                  <c:v>2023</c:v>
                </c:pt>
                <c:pt idx="4">
                  <c:v>2024</c:v>
                </c:pt>
              </c:numCache>
            </c:numRef>
          </c:cat>
          <c:val>
            <c:numRef>
              <c:f>QTR!$O$101:$S$101</c:f>
              <c:numCache>
                <c:formatCode>#,##0.0</c:formatCode>
                <c:ptCount val="5"/>
                <c:pt idx="0">
                  <c:v>35.1</c:v>
                </c:pt>
                <c:pt idx="1">
                  <c:v>54.8</c:v>
                </c:pt>
                <c:pt idx="2">
                  <c:v>47.5</c:v>
                </c:pt>
                <c:pt idx="3">
                  <c:v>52.8</c:v>
                </c:pt>
                <c:pt idx="4">
                  <c:v>56.6</c:v>
                </c:pt>
              </c:numCache>
            </c:numRef>
          </c:val>
          <c:smooth val="0"/>
          <c:extLst>
            <c:ext xmlns:c16="http://schemas.microsoft.com/office/drawing/2014/chart" uri="{C3380CC4-5D6E-409C-BE32-E72D297353CC}">
              <c16:uniqueId val="{00000009-99DB-4D32-801D-41FB0B5672B6}"/>
            </c:ext>
          </c:extLst>
        </c:ser>
        <c:ser>
          <c:idx val="3"/>
          <c:order val="3"/>
          <c:tx>
            <c:strRef>
              <c:f>QTR!$N$102</c:f>
              <c:strCache>
                <c:ptCount val="1"/>
                <c:pt idx="0">
                  <c:v>Q4</c:v>
                </c:pt>
              </c:strCache>
            </c:strRef>
          </c:tx>
          <c:spPr>
            <a:ln w="19050" cap="rnd">
              <a:solidFill>
                <a:schemeClr val="accent3">
                  <a:lumMod val="40000"/>
                  <a:lumOff val="60000"/>
                </a:schemeClr>
              </a:solidFill>
              <a:round/>
            </a:ln>
            <a:effectLst/>
          </c:spPr>
          <c:marker>
            <c:symbol val="diamond"/>
            <c:size val="8"/>
            <c:spPr>
              <a:solidFill>
                <a:schemeClr val="accent2"/>
              </a:solidFill>
              <a:ln w="9525">
                <a:noFill/>
              </a:ln>
              <a:effectLst/>
            </c:spPr>
          </c:marker>
          <c:cat>
            <c:numRef>
              <c:f>QTR!$O$68:$S$68</c:f>
              <c:numCache>
                <c:formatCode>General</c:formatCode>
                <c:ptCount val="5"/>
                <c:pt idx="0">
                  <c:v>2020</c:v>
                </c:pt>
                <c:pt idx="1">
                  <c:v>2021</c:v>
                </c:pt>
                <c:pt idx="2">
                  <c:v>2022</c:v>
                </c:pt>
                <c:pt idx="3">
                  <c:v>2023</c:v>
                </c:pt>
                <c:pt idx="4">
                  <c:v>2024</c:v>
                </c:pt>
              </c:numCache>
            </c:numRef>
          </c:cat>
          <c:val>
            <c:numRef>
              <c:f>QTR!$O$102:$S$102</c:f>
              <c:numCache>
                <c:formatCode>#,##0.0</c:formatCode>
                <c:ptCount val="5"/>
                <c:pt idx="0">
                  <c:v>49.8</c:v>
                </c:pt>
                <c:pt idx="1">
                  <c:v>53.1</c:v>
                </c:pt>
                <c:pt idx="2">
                  <c:v>57.7</c:v>
                </c:pt>
                <c:pt idx="3">
                  <c:v>59.5</c:v>
                </c:pt>
              </c:numCache>
            </c:numRef>
          </c:val>
          <c:smooth val="0"/>
          <c:extLst>
            <c:ext xmlns:c16="http://schemas.microsoft.com/office/drawing/2014/chart" uri="{C3380CC4-5D6E-409C-BE32-E72D297353CC}">
              <c16:uniqueId val="{0000000B-99DB-4D32-801D-41FB0B5672B6}"/>
            </c:ext>
          </c:extLst>
        </c:ser>
        <c:dLbls>
          <c:showLegendKey val="0"/>
          <c:showVal val="0"/>
          <c:showCatName val="0"/>
          <c:showSerName val="0"/>
          <c:showPercent val="0"/>
          <c:showBubbleSize val="0"/>
        </c:dLbls>
        <c:marker val="1"/>
        <c:smooth val="0"/>
        <c:axId val="1904454671"/>
        <c:axId val="1904455631"/>
      </c:lineChart>
      <c:catAx>
        <c:axId val="190445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5631"/>
        <c:crosses val="autoZero"/>
        <c:auto val="1"/>
        <c:lblAlgn val="ctr"/>
        <c:lblOffset val="100"/>
        <c:noMultiLvlLbl val="0"/>
      </c:catAx>
      <c:valAx>
        <c:axId val="1904455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467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QTR!$N$93</c:f>
              <c:strCache>
                <c:ptCount val="1"/>
                <c:pt idx="0">
                  <c:v>Q1</c:v>
                </c:pt>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cat>
            <c:numRef>
              <c:f>QTR!$O$62:$S$62</c:f>
              <c:numCache>
                <c:formatCode>General</c:formatCode>
                <c:ptCount val="5"/>
                <c:pt idx="0">
                  <c:v>2020</c:v>
                </c:pt>
                <c:pt idx="1">
                  <c:v>2021</c:v>
                </c:pt>
                <c:pt idx="2">
                  <c:v>2022</c:v>
                </c:pt>
                <c:pt idx="3">
                  <c:v>2023</c:v>
                </c:pt>
                <c:pt idx="4">
                  <c:v>2024</c:v>
                </c:pt>
              </c:numCache>
            </c:numRef>
          </c:cat>
          <c:val>
            <c:numRef>
              <c:f>QTR!$O$93:$S$93</c:f>
              <c:numCache>
                <c:formatCode>#,##0.0</c:formatCode>
                <c:ptCount val="5"/>
                <c:pt idx="0">
                  <c:v>178.4</c:v>
                </c:pt>
                <c:pt idx="1">
                  <c:v>423.2</c:v>
                </c:pt>
                <c:pt idx="2">
                  <c:v>579.4</c:v>
                </c:pt>
                <c:pt idx="3">
                  <c:v>579.79999999999995</c:v>
                </c:pt>
                <c:pt idx="4">
                  <c:v>605.5</c:v>
                </c:pt>
              </c:numCache>
            </c:numRef>
          </c:val>
          <c:smooth val="0"/>
          <c:extLst>
            <c:ext xmlns:c16="http://schemas.microsoft.com/office/drawing/2014/chart" uri="{C3380CC4-5D6E-409C-BE32-E72D297353CC}">
              <c16:uniqueId val="{0000000D-41E3-466B-AE1B-B070E13B2077}"/>
            </c:ext>
          </c:extLst>
        </c:ser>
        <c:ser>
          <c:idx val="1"/>
          <c:order val="1"/>
          <c:tx>
            <c:strRef>
              <c:f>QTR!$N$94</c:f>
              <c:strCache>
                <c:ptCount val="1"/>
                <c:pt idx="0">
                  <c:v>Q2</c:v>
                </c:pt>
              </c:strCache>
            </c:strRef>
          </c:tx>
          <c:spPr>
            <a:ln w="19050" cap="rnd">
              <a:solidFill>
                <a:schemeClr val="bg1">
                  <a:lumMod val="75000"/>
                </a:schemeClr>
              </a:solidFill>
              <a:round/>
            </a:ln>
            <a:effectLst/>
          </c:spPr>
          <c:marker>
            <c:symbol val="diamond"/>
            <c:size val="8"/>
            <c:spPr>
              <a:solidFill>
                <a:schemeClr val="bg2"/>
              </a:solidFill>
              <a:ln w="9525">
                <a:noFill/>
              </a:ln>
              <a:effectLst/>
            </c:spPr>
          </c:marker>
          <c:cat>
            <c:numRef>
              <c:f>QTR!$O$62:$S$62</c:f>
              <c:numCache>
                <c:formatCode>General</c:formatCode>
                <c:ptCount val="5"/>
                <c:pt idx="0">
                  <c:v>2020</c:v>
                </c:pt>
                <c:pt idx="1">
                  <c:v>2021</c:v>
                </c:pt>
                <c:pt idx="2">
                  <c:v>2022</c:v>
                </c:pt>
                <c:pt idx="3">
                  <c:v>2023</c:v>
                </c:pt>
                <c:pt idx="4">
                  <c:v>2024</c:v>
                </c:pt>
              </c:numCache>
            </c:numRef>
          </c:cat>
          <c:val>
            <c:numRef>
              <c:f>QTR!$O$94:$S$94</c:f>
              <c:numCache>
                <c:formatCode>#,##0.0</c:formatCode>
                <c:ptCount val="5"/>
                <c:pt idx="0">
                  <c:v>302.89999999999998</c:v>
                </c:pt>
                <c:pt idx="1">
                  <c:v>494.8</c:v>
                </c:pt>
                <c:pt idx="2">
                  <c:v>598.6</c:v>
                </c:pt>
                <c:pt idx="3">
                  <c:v>502.3</c:v>
                </c:pt>
                <c:pt idx="4">
                  <c:v>602.70000000000005</c:v>
                </c:pt>
              </c:numCache>
            </c:numRef>
          </c:val>
          <c:smooth val="0"/>
          <c:extLst>
            <c:ext xmlns:c16="http://schemas.microsoft.com/office/drawing/2014/chart" uri="{C3380CC4-5D6E-409C-BE32-E72D297353CC}">
              <c16:uniqueId val="{0000000F-41E3-466B-AE1B-B070E13B2077}"/>
            </c:ext>
          </c:extLst>
        </c:ser>
        <c:ser>
          <c:idx val="2"/>
          <c:order val="2"/>
          <c:tx>
            <c:strRef>
              <c:f>QTR!$N$95</c:f>
              <c:strCache>
                <c:ptCount val="1"/>
                <c:pt idx="0">
                  <c:v>Q3</c:v>
                </c:pt>
              </c:strCache>
            </c:strRef>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cat>
            <c:numRef>
              <c:f>QTR!$O$62:$S$62</c:f>
              <c:numCache>
                <c:formatCode>General</c:formatCode>
                <c:ptCount val="5"/>
                <c:pt idx="0">
                  <c:v>2020</c:v>
                </c:pt>
                <c:pt idx="1">
                  <c:v>2021</c:v>
                </c:pt>
                <c:pt idx="2">
                  <c:v>2022</c:v>
                </c:pt>
                <c:pt idx="3">
                  <c:v>2023</c:v>
                </c:pt>
                <c:pt idx="4">
                  <c:v>2024</c:v>
                </c:pt>
              </c:numCache>
            </c:numRef>
          </c:cat>
          <c:val>
            <c:numRef>
              <c:f>QTR!$O$95:$S$95</c:f>
              <c:numCache>
                <c:formatCode>#,##0.0</c:formatCode>
                <c:ptCount val="5"/>
                <c:pt idx="0">
                  <c:v>527.70000000000005</c:v>
                </c:pt>
                <c:pt idx="1">
                  <c:v>631.4</c:v>
                </c:pt>
                <c:pt idx="2">
                  <c:v>611.9</c:v>
                </c:pt>
                <c:pt idx="3">
                  <c:v>566.9</c:v>
                </c:pt>
                <c:pt idx="4">
                  <c:v>557.5</c:v>
                </c:pt>
              </c:numCache>
            </c:numRef>
          </c:val>
          <c:smooth val="0"/>
          <c:extLst>
            <c:ext xmlns:c16="http://schemas.microsoft.com/office/drawing/2014/chart" uri="{C3380CC4-5D6E-409C-BE32-E72D297353CC}">
              <c16:uniqueId val="{00000011-41E3-466B-AE1B-B070E13B2077}"/>
            </c:ext>
          </c:extLst>
        </c:ser>
        <c:ser>
          <c:idx val="3"/>
          <c:order val="3"/>
          <c:tx>
            <c:strRef>
              <c:f>QTR!$N$96</c:f>
              <c:strCache>
                <c:ptCount val="1"/>
                <c:pt idx="0">
                  <c:v>Q4</c:v>
                </c:pt>
              </c:strCache>
            </c:strRef>
          </c:tx>
          <c:spPr>
            <a:ln w="19050" cap="rnd">
              <a:solidFill>
                <a:schemeClr val="accent3">
                  <a:lumMod val="40000"/>
                  <a:lumOff val="60000"/>
                </a:schemeClr>
              </a:solidFill>
              <a:round/>
            </a:ln>
            <a:effectLst/>
          </c:spPr>
          <c:marker>
            <c:symbol val="diamond"/>
            <c:size val="8"/>
            <c:spPr>
              <a:solidFill>
                <a:schemeClr val="accent2"/>
              </a:solidFill>
              <a:ln w="9525">
                <a:noFill/>
              </a:ln>
              <a:effectLst/>
            </c:spPr>
          </c:marker>
          <c:cat>
            <c:numRef>
              <c:f>QTR!$O$62:$S$62</c:f>
              <c:numCache>
                <c:formatCode>General</c:formatCode>
                <c:ptCount val="5"/>
                <c:pt idx="0">
                  <c:v>2020</c:v>
                </c:pt>
                <c:pt idx="1">
                  <c:v>2021</c:v>
                </c:pt>
                <c:pt idx="2">
                  <c:v>2022</c:v>
                </c:pt>
                <c:pt idx="3">
                  <c:v>2023</c:v>
                </c:pt>
                <c:pt idx="4">
                  <c:v>2024</c:v>
                </c:pt>
              </c:numCache>
            </c:numRef>
          </c:cat>
          <c:val>
            <c:numRef>
              <c:f>QTR!$O$96:$S$96</c:f>
              <c:numCache>
                <c:formatCode>#,##0.0</c:formatCode>
                <c:ptCount val="5"/>
                <c:pt idx="0">
                  <c:v>543.29999999999995</c:v>
                </c:pt>
                <c:pt idx="1">
                  <c:v>727</c:v>
                </c:pt>
                <c:pt idx="2">
                  <c:v>938.5</c:v>
                </c:pt>
                <c:pt idx="3">
                  <c:v>901.6</c:v>
                </c:pt>
              </c:numCache>
            </c:numRef>
          </c:val>
          <c:smooth val="0"/>
          <c:extLst>
            <c:ext xmlns:c16="http://schemas.microsoft.com/office/drawing/2014/chart" uri="{C3380CC4-5D6E-409C-BE32-E72D297353CC}">
              <c16:uniqueId val="{00000013-41E3-466B-AE1B-B070E13B2077}"/>
            </c:ext>
          </c:extLst>
        </c:ser>
        <c:dLbls>
          <c:showLegendKey val="0"/>
          <c:showVal val="0"/>
          <c:showCatName val="0"/>
          <c:showSerName val="0"/>
          <c:showPercent val="0"/>
          <c:showBubbleSize val="0"/>
        </c:dLbls>
        <c:marker val="1"/>
        <c:smooth val="0"/>
        <c:axId val="1904454671"/>
        <c:axId val="1904455631"/>
      </c:lineChart>
      <c:catAx>
        <c:axId val="190445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5631"/>
        <c:crosses val="autoZero"/>
        <c:auto val="1"/>
        <c:lblAlgn val="ctr"/>
        <c:lblOffset val="100"/>
        <c:noMultiLvlLbl val="0"/>
      </c:catAx>
      <c:valAx>
        <c:axId val="1904455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467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QTR!$C$58</c:f>
              <c:strCache>
                <c:ptCount val="1"/>
                <c:pt idx="0">
                  <c:v>SportsBet</c:v>
                </c:pt>
              </c:strCache>
            </c:strRef>
          </c:tx>
          <c:spPr>
            <a:solidFill>
              <a:schemeClr val="tx2"/>
            </a:solidFill>
            <a:ln>
              <a:noFill/>
            </a:ln>
            <a:effectLst/>
          </c:spPr>
          <c:invertIfNegative val="0"/>
          <c:dLbls>
            <c:numFmt formatCode="[Color10]\+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QTR!$B$59:$B$62</c:f>
              <c:strCache>
                <c:ptCount val="4"/>
                <c:pt idx="0">
                  <c:v>Turnover</c:v>
                </c:pt>
                <c:pt idx="1">
                  <c:v>Gross Win</c:v>
                </c:pt>
                <c:pt idx="2">
                  <c:v>Net Win</c:v>
                </c:pt>
                <c:pt idx="3">
                  <c:v>Active Customers (LTM)</c:v>
                </c:pt>
              </c:strCache>
            </c:strRef>
          </c:cat>
          <c:val>
            <c:numRef>
              <c:f>QTR!$C$59:$C$62</c:f>
              <c:numCache>
                <c:formatCode>[Color10]\+0%;[Red]\-0%;\-</c:formatCode>
                <c:ptCount val="4"/>
                <c:pt idx="0">
                  <c:v>-0.15480857980834317</c:v>
                </c:pt>
                <c:pt idx="2">
                  <c:v>-2.6520596386395257E-2</c:v>
                </c:pt>
              </c:numCache>
            </c:numRef>
          </c:val>
          <c:extLst>
            <c:ext xmlns:c16="http://schemas.microsoft.com/office/drawing/2014/chart" uri="{C3380CC4-5D6E-409C-BE32-E72D297353CC}">
              <c16:uniqueId val="{00000000-487A-4276-97B0-0C47A6059284}"/>
            </c:ext>
          </c:extLst>
        </c:ser>
        <c:ser>
          <c:idx val="24"/>
          <c:order val="1"/>
          <c:tx>
            <c:strRef>
              <c:f>QTR!$D$58</c:f>
              <c:strCache>
                <c:ptCount val="1"/>
                <c:pt idx="0">
                  <c:v>PointsBet</c:v>
                </c:pt>
              </c:strCache>
            </c:strRef>
          </c:tx>
          <c:spPr>
            <a:solidFill>
              <a:schemeClr val="bg2"/>
            </a:solidFill>
            <a:ln>
              <a:noFill/>
            </a:ln>
            <a:effectLst/>
          </c:spPr>
          <c:invertIfNegative val="0"/>
          <c:dLbls>
            <c:numFmt formatCode="[Color10]\+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QTR!$B$59:$B$62</c:f>
              <c:strCache>
                <c:ptCount val="4"/>
                <c:pt idx="0">
                  <c:v>Turnover</c:v>
                </c:pt>
                <c:pt idx="1">
                  <c:v>Gross Win</c:v>
                </c:pt>
                <c:pt idx="2">
                  <c:v>Net Win</c:v>
                </c:pt>
                <c:pt idx="3">
                  <c:v>Active Customers (LTM)</c:v>
                </c:pt>
              </c:strCache>
            </c:strRef>
          </c:cat>
          <c:val>
            <c:numRef>
              <c:f>QTR!$D$59:$D$62</c:f>
              <c:numCache>
                <c:formatCode>[Color10]\+0%;[Red]\-0%;\-</c:formatCode>
                <c:ptCount val="4"/>
                <c:pt idx="0">
                  <c:v>4.4325629527423249E-2</c:v>
                </c:pt>
                <c:pt idx="1">
                  <c:v>9.3883357041251836E-2</c:v>
                </c:pt>
                <c:pt idx="2">
                  <c:v>0.19921104536489143</c:v>
                </c:pt>
                <c:pt idx="3">
                  <c:v>-7.1639207910810132E-2</c:v>
                </c:pt>
              </c:numCache>
            </c:numRef>
          </c:val>
          <c:extLst>
            <c:ext xmlns:c16="http://schemas.microsoft.com/office/drawing/2014/chart" uri="{C3380CC4-5D6E-409C-BE32-E72D297353CC}">
              <c16:uniqueId val="{00000001-487A-4276-97B0-0C47A6059284}"/>
            </c:ext>
          </c:extLst>
        </c:ser>
        <c:ser>
          <c:idx val="28"/>
          <c:order val="2"/>
          <c:tx>
            <c:strRef>
              <c:f>QTR!$E$58</c:f>
              <c:strCache>
                <c:ptCount val="1"/>
                <c:pt idx="0">
                  <c:v>BlueBet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QTR!$B$59:$B$62</c:f>
              <c:strCache>
                <c:ptCount val="4"/>
                <c:pt idx="0">
                  <c:v>Turnover</c:v>
                </c:pt>
                <c:pt idx="1">
                  <c:v>Gross Win</c:v>
                </c:pt>
                <c:pt idx="2">
                  <c:v>Net Win</c:v>
                </c:pt>
                <c:pt idx="3">
                  <c:v>Active Customers (LTM)</c:v>
                </c:pt>
              </c:strCache>
            </c:strRef>
          </c:cat>
          <c:val>
            <c:numRef>
              <c:f>QTR!$E$59:$E$62</c:f>
              <c:numCache>
                <c:formatCode>[Color10]\+0%;[Red]\-0%;\-</c:formatCode>
                <c:ptCount val="4"/>
                <c:pt idx="0">
                  <c:v>0.17212426532325775</c:v>
                </c:pt>
                <c:pt idx="1">
                  <c:v>0.18354430379746822</c:v>
                </c:pt>
                <c:pt idx="2">
                  <c:v>0.32499999999999996</c:v>
                </c:pt>
                <c:pt idx="3">
                  <c:v>7.3101175575905453E-2</c:v>
                </c:pt>
              </c:numCache>
            </c:numRef>
          </c:val>
          <c:extLst>
            <c:ext xmlns:c16="http://schemas.microsoft.com/office/drawing/2014/chart" uri="{C3380CC4-5D6E-409C-BE32-E72D297353CC}">
              <c16:uniqueId val="{00000002-487A-4276-97B0-0C47A6059284}"/>
            </c:ext>
          </c:extLst>
        </c:ser>
        <c:ser>
          <c:idx val="1"/>
          <c:order val="3"/>
          <c:tx>
            <c:strRef>
              <c:f>QTR!$F$58</c:f>
              <c:strCache>
                <c:ptCount val="1"/>
                <c:pt idx="0">
                  <c:v>BetR</c:v>
                </c:pt>
              </c:strCache>
            </c:strRef>
          </c:tx>
          <c:spPr>
            <a:solidFill>
              <a:schemeClr val="accent2"/>
            </a:solidFill>
            <a:ln>
              <a:noFill/>
            </a:ln>
            <a:effectLst/>
          </c:spPr>
          <c:invertIfNegative val="0"/>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487A-4276-97B0-0C47A60592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QTR!$B$59:$B$62</c:f>
              <c:strCache>
                <c:ptCount val="4"/>
                <c:pt idx="0">
                  <c:v>Turnover</c:v>
                </c:pt>
                <c:pt idx="1">
                  <c:v>Gross Win</c:v>
                </c:pt>
                <c:pt idx="2">
                  <c:v>Net Win</c:v>
                </c:pt>
                <c:pt idx="3">
                  <c:v>Active Customers (LTM)</c:v>
                </c:pt>
              </c:strCache>
            </c:strRef>
          </c:cat>
          <c:val>
            <c:numRef>
              <c:f>QTR!$F$59:$F$62</c:f>
              <c:numCache>
                <c:formatCode>[Color10]\+0%;[Red]\-0%;\-</c:formatCode>
                <c:ptCount val="4"/>
                <c:pt idx="0">
                  <c:v>-0.22896668548842458</c:v>
                </c:pt>
                <c:pt idx="1">
                  <c:v>-1.3297872340425565E-2</c:v>
                </c:pt>
                <c:pt idx="2">
                  <c:v>0.55333333333333345</c:v>
                </c:pt>
              </c:numCache>
            </c:numRef>
          </c:val>
          <c:extLst>
            <c:ext xmlns:c16="http://schemas.microsoft.com/office/drawing/2014/chart" uri="{C3380CC4-5D6E-409C-BE32-E72D297353CC}">
              <c16:uniqueId val="{00000005-487A-4276-97B0-0C47A6059284}"/>
            </c:ext>
          </c:extLst>
        </c:ser>
        <c:dLbls>
          <c:dLblPos val="outEnd"/>
          <c:showLegendKey val="0"/>
          <c:showVal val="1"/>
          <c:showCatName val="0"/>
          <c:showSerName val="0"/>
          <c:showPercent val="0"/>
          <c:showBubbleSize val="0"/>
        </c:dLbls>
        <c:gapWidth val="219"/>
        <c:overlap val="-27"/>
        <c:axId val="2129809839"/>
        <c:axId val="2129810799"/>
      </c:barChart>
      <c:catAx>
        <c:axId val="2129809839"/>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9810799"/>
        <c:crosses val="autoZero"/>
        <c:auto val="1"/>
        <c:lblAlgn val="ctr"/>
        <c:lblOffset val="100"/>
        <c:noMultiLvlLbl val="0"/>
      </c:catAx>
      <c:valAx>
        <c:axId val="2129810799"/>
        <c:scaling>
          <c:orientation val="minMax"/>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980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QTR!$N$81</c:f>
              <c:strCache>
                <c:ptCount val="1"/>
                <c:pt idx="0">
                  <c:v>Q1</c:v>
                </c:pt>
              </c:strCache>
            </c:strRef>
          </c:tx>
          <c:spPr>
            <a:ln w="19050" cap="rnd">
              <a:solidFill>
                <a:schemeClr val="tx2">
                  <a:lumMod val="40000"/>
                  <a:lumOff val="60000"/>
                </a:schemeClr>
              </a:solidFill>
              <a:round/>
            </a:ln>
            <a:effectLst/>
          </c:spPr>
          <c:marker>
            <c:symbol val="diamond"/>
            <c:size val="8"/>
            <c:spPr>
              <a:solidFill>
                <a:schemeClr val="tx2"/>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QTR!$O$81:$S$81</c:f>
              <c:numCache>
                <c:formatCode>0.0%</c:formatCode>
                <c:ptCount val="5"/>
                <c:pt idx="1">
                  <c:v>0.10731698569138218</c:v>
                </c:pt>
                <c:pt idx="2">
                  <c:v>0.1187329401162595</c:v>
                </c:pt>
                <c:pt idx="3">
                  <c:v>0.149771785706242</c:v>
                </c:pt>
                <c:pt idx="4">
                  <c:v>0.14264808033218318</c:v>
                </c:pt>
              </c:numCache>
            </c:numRef>
          </c:val>
          <c:smooth val="0"/>
          <c:extLst>
            <c:ext xmlns:c16="http://schemas.microsoft.com/office/drawing/2014/chart" uri="{C3380CC4-5D6E-409C-BE32-E72D297353CC}">
              <c16:uniqueId val="{00000005-AD7A-4B00-AB81-C93477893C7C}"/>
            </c:ext>
          </c:extLst>
        </c:ser>
        <c:ser>
          <c:idx val="1"/>
          <c:order val="1"/>
          <c:tx>
            <c:strRef>
              <c:f>QTR!$N$82</c:f>
              <c:strCache>
                <c:ptCount val="1"/>
                <c:pt idx="0">
                  <c:v>Q2</c:v>
                </c:pt>
              </c:strCache>
            </c:strRef>
          </c:tx>
          <c:spPr>
            <a:ln w="19050" cap="rnd">
              <a:solidFill>
                <a:schemeClr val="bg1">
                  <a:lumMod val="75000"/>
                </a:schemeClr>
              </a:solidFill>
              <a:round/>
            </a:ln>
            <a:effectLst/>
          </c:spPr>
          <c:marker>
            <c:symbol val="diamond"/>
            <c:size val="8"/>
            <c:spPr>
              <a:solidFill>
                <a:schemeClr val="bg2"/>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QTR!$O$82:$S$82</c:f>
              <c:numCache>
                <c:formatCode>0.0%</c:formatCode>
                <c:ptCount val="5"/>
                <c:pt idx="1">
                  <c:v>0.15982187383247415</c:v>
                </c:pt>
                <c:pt idx="2">
                  <c:v>0.13270821789957751</c:v>
                </c:pt>
                <c:pt idx="3">
                  <c:v>0.14536131497312263</c:v>
                </c:pt>
                <c:pt idx="4">
                  <c:v>0.16045845272206305</c:v>
                </c:pt>
              </c:numCache>
            </c:numRef>
          </c:val>
          <c:smooth val="0"/>
          <c:extLst>
            <c:ext xmlns:c16="http://schemas.microsoft.com/office/drawing/2014/chart" uri="{C3380CC4-5D6E-409C-BE32-E72D297353CC}">
              <c16:uniqueId val="{00000007-AD7A-4B00-AB81-C93477893C7C}"/>
            </c:ext>
          </c:extLst>
        </c:ser>
        <c:ser>
          <c:idx val="2"/>
          <c:order val="2"/>
          <c:tx>
            <c:strRef>
              <c:f>QTR!$N$83</c:f>
              <c:strCache>
                <c:ptCount val="1"/>
                <c:pt idx="0">
                  <c:v>Q3</c:v>
                </c:pt>
              </c:strCache>
            </c:strRef>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QTR!$O$83:$S$83</c:f>
              <c:numCache>
                <c:formatCode>0.0%</c:formatCode>
                <c:ptCount val="5"/>
                <c:pt idx="1">
                  <c:v>0.12749179960418763</c:v>
                </c:pt>
                <c:pt idx="2">
                  <c:v>0.16729703181986272</c:v>
                </c:pt>
                <c:pt idx="3">
                  <c:v>0.17578651260196659</c:v>
                </c:pt>
                <c:pt idx="4">
                  <c:v>0.16172506738544473</c:v>
                </c:pt>
              </c:numCache>
            </c:numRef>
          </c:val>
          <c:smooth val="0"/>
          <c:extLst>
            <c:ext xmlns:c16="http://schemas.microsoft.com/office/drawing/2014/chart" uri="{C3380CC4-5D6E-409C-BE32-E72D297353CC}">
              <c16:uniqueId val="{00000009-AD7A-4B00-AB81-C93477893C7C}"/>
            </c:ext>
          </c:extLst>
        </c:ser>
        <c:ser>
          <c:idx val="3"/>
          <c:order val="3"/>
          <c:tx>
            <c:strRef>
              <c:f>QTR!$N$84</c:f>
              <c:strCache>
                <c:ptCount val="1"/>
                <c:pt idx="0">
                  <c:v>Q4</c:v>
                </c:pt>
              </c:strCache>
            </c:strRef>
          </c:tx>
          <c:spPr>
            <a:ln w="19050" cap="rnd">
              <a:solidFill>
                <a:schemeClr val="accent3">
                  <a:lumMod val="40000"/>
                  <a:lumOff val="60000"/>
                </a:schemeClr>
              </a:solidFill>
              <a:round/>
            </a:ln>
            <a:effectLst/>
          </c:spPr>
          <c:marker>
            <c:symbol val="diamond"/>
            <c:size val="8"/>
            <c:spPr>
              <a:solidFill>
                <a:schemeClr val="accent2"/>
              </a:solidFill>
              <a:ln w="9525">
                <a:noFill/>
              </a:ln>
              <a:effectLst/>
            </c:spPr>
          </c:marker>
          <c:cat>
            <c:numRef>
              <c:f>QTR!$O$74:$S$74</c:f>
              <c:numCache>
                <c:formatCode>General</c:formatCode>
                <c:ptCount val="5"/>
                <c:pt idx="0">
                  <c:v>2020</c:v>
                </c:pt>
                <c:pt idx="1">
                  <c:v>2021</c:v>
                </c:pt>
                <c:pt idx="2">
                  <c:v>2022</c:v>
                </c:pt>
                <c:pt idx="3">
                  <c:v>2023</c:v>
                </c:pt>
                <c:pt idx="4">
                  <c:v>2024</c:v>
                </c:pt>
              </c:numCache>
            </c:numRef>
          </c:cat>
          <c:val>
            <c:numRef>
              <c:f>QTR!$O$84:$S$84</c:f>
              <c:numCache>
                <c:formatCode>0.0%</c:formatCode>
                <c:ptCount val="5"/>
                <c:pt idx="1">
                  <c:v>0.12433990335498753</c:v>
                </c:pt>
                <c:pt idx="2">
                  <c:v>0.17042412295161902</c:v>
                </c:pt>
                <c:pt idx="3">
                  <c:v>0.15466666666666667</c:v>
                </c:pt>
              </c:numCache>
            </c:numRef>
          </c:val>
          <c:smooth val="0"/>
          <c:extLst>
            <c:ext xmlns:c16="http://schemas.microsoft.com/office/drawing/2014/chart" uri="{C3380CC4-5D6E-409C-BE32-E72D297353CC}">
              <c16:uniqueId val="{0000000B-AD7A-4B00-AB81-C93477893C7C}"/>
            </c:ext>
          </c:extLst>
        </c:ser>
        <c:dLbls>
          <c:showLegendKey val="0"/>
          <c:showVal val="0"/>
          <c:showCatName val="0"/>
          <c:showSerName val="0"/>
          <c:showPercent val="0"/>
          <c:showBubbleSize val="0"/>
        </c:dLbls>
        <c:marker val="1"/>
        <c:smooth val="0"/>
        <c:axId val="1904454671"/>
        <c:axId val="1904455631"/>
      </c:lineChart>
      <c:catAx>
        <c:axId val="190445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5631"/>
        <c:crosses val="autoZero"/>
        <c:auto val="1"/>
        <c:lblAlgn val="ctr"/>
        <c:lblOffset val="100"/>
        <c:noMultiLvlLbl val="0"/>
      </c:catAx>
      <c:valAx>
        <c:axId val="1904455631"/>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0445467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Turnover</c:v>
          </c:tx>
          <c:spPr>
            <a:ln w="19050" cap="rnd">
              <a:solidFill>
                <a:schemeClr val="tx2">
                  <a:lumMod val="60000"/>
                  <a:lumOff val="40000"/>
                </a:schemeClr>
              </a:solidFill>
              <a:round/>
            </a:ln>
            <a:effectLst/>
          </c:spPr>
          <c:marker>
            <c:symbol val="diamond"/>
            <c:size val="8"/>
            <c:spPr>
              <a:solidFill>
                <a:schemeClr val="tx2"/>
              </a:solidFill>
              <a:ln w="9525">
                <a:noFill/>
              </a:ln>
              <a:effectLst/>
            </c:spPr>
          </c:marker>
          <c:dLbls>
            <c:dLbl>
              <c:idx val="1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4A-4D84-BFBD-A86592B3422C}"/>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QTR!$O$11:$AG$11</c:f>
              <c:numCache>
                <c:formatCode>mmm\-yy</c:formatCode>
                <c:ptCount val="19"/>
                <c:pt idx="0">
                  <c:v>43921</c:v>
                </c:pt>
                <c:pt idx="1">
                  <c:v>44012</c:v>
                </c:pt>
                <c:pt idx="2">
                  <c:v>44104</c:v>
                </c:pt>
                <c:pt idx="3">
                  <c:v>44196</c:v>
                </c:pt>
                <c:pt idx="4">
                  <c:v>44286</c:v>
                </c:pt>
                <c:pt idx="5">
                  <c:v>44377</c:v>
                </c:pt>
                <c:pt idx="6">
                  <c:v>44469</c:v>
                </c:pt>
                <c:pt idx="7">
                  <c:v>44561</c:v>
                </c:pt>
                <c:pt idx="8">
                  <c:v>44651</c:v>
                </c:pt>
                <c:pt idx="9">
                  <c:v>44742</c:v>
                </c:pt>
                <c:pt idx="10">
                  <c:v>44834</c:v>
                </c:pt>
                <c:pt idx="11">
                  <c:v>44926</c:v>
                </c:pt>
                <c:pt idx="12">
                  <c:v>45016</c:v>
                </c:pt>
                <c:pt idx="13">
                  <c:v>45107</c:v>
                </c:pt>
                <c:pt idx="14">
                  <c:v>45199</c:v>
                </c:pt>
                <c:pt idx="15">
                  <c:v>45291</c:v>
                </c:pt>
                <c:pt idx="16">
                  <c:v>45382</c:v>
                </c:pt>
                <c:pt idx="17">
                  <c:v>45473</c:v>
                </c:pt>
                <c:pt idx="18">
                  <c:v>45565</c:v>
                </c:pt>
              </c:numCache>
            </c:numRef>
          </c:cat>
          <c:val>
            <c:numRef>
              <c:f>QTR!$O$48:$AG$48</c:f>
              <c:numCache>
                <c:formatCode>0.00</c:formatCode>
                <c:ptCount val="19"/>
                <c:pt idx="0">
                  <c:v>1</c:v>
                </c:pt>
                <c:pt idx="1">
                  <c:v>1.3674696606346162</c:v>
                </c:pt>
                <c:pt idx="2">
                  <c:v>1.8045078911409582</c:v>
                </c:pt>
                <c:pt idx="3">
                  <c:v>1.7954585196241273</c:v>
                </c:pt>
                <c:pt idx="4">
                  <c:v>1.4549657242540892</c:v>
                </c:pt>
                <c:pt idx="5">
                  <c:v>1.5389653754936372</c:v>
                </c:pt>
                <c:pt idx="6">
                  <c:v>2.0743475539316494</c:v>
                </c:pt>
                <c:pt idx="7">
                  <c:v>2.0831648413384007</c:v>
                </c:pt>
                <c:pt idx="8">
                  <c:v>1.5553912146524069</c:v>
                </c:pt>
                <c:pt idx="9">
                  <c:v>1.5728987277657012</c:v>
                </c:pt>
                <c:pt idx="10">
                  <c:v>1.6442958712118154</c:v>
                </c:pt>
                <c:pt idx="11">
                  <c:v>1.9061247526223906</c:v>
                </c:pt>
                <c:pt idx="12">
                  <c:v>1.5295940000061259</c:v>
                </c:pt>
                <c:pt idx="13">
                  <c:v>1.4738615472898371</c:v>
                </c:pt>
                <c:pt idx="14">
                  <c:v>1.4879101481778951</c:v>
                </c:pt>
                <c:pt idx="15">
                  <c:v>1.5431169105888447</c:v>
                </c:pt>
                <c:pt idx="16">
                  <c:v>1.2879637412960856</c:v>
                </c:pt>
                <c:pt idx="17">
                  <c:v>1.3760506781592596</c:v>
                </c:pt>
                <c:pt idx="18">
                  <c:v>1.3331245983085935</c:v>
                </c:pt>
              </c:numCache>
            </c:numRef>
          </c:val>
          <c:smooth val="0"/>
          <c:extLst>
            <c:ext xmlns:c16="http://schemas.microsoft.com/office/drawing/2014/chart" uri="{C3380CC4-5D6E-409C-BE32-E72D297353CC}">
              <c16:uniqueId val="{00000003-834A-4D84-BFBD-A86592B3422C}"/>
            </c:ext>
          </c:extLst>
        </c:ser>
        <c:ser>
          <c:idx val="1"/>
          <c:order val="1"/>
          <c:tx>
            <c:v>Net Win</c:v>
          </c:tx>
          <c:spPr>
            <a:ln>
              <a:solidFill>
                <a:schemeClr val="accent1">
                  <a:lumMod val="60000"/>
                  <a:lumOff val="40000"/>
                </a:schemeClr>
              </a:solidFill>
            </a:ln>
          </c:spPr>
          <c:marker>
            <c:symbol val="diamond"/>
            <c:size val="8"/>
            <c:spPr>
              <a:solidFill>
                <a:schemeClr val="accent1"/>
              </a:solidFill>
              <a:ln>
                <a:noFill/>
              </a:ln>
            </c:spPr>
          </c:marker>
          <c:dLbls>
            <c:dLbl>
              <c:idx val="1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4A-4D84-BFBD-A86592B3422C}"/>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QTR!$O$11:$AG$11</c:f>
              <c:numCache>
                <c:formatCode>mmm\-yy</c:formatCode>
                <c:ptCount val="19"/>
                <c:pt idx="0">
                  <c:v>43921</c:v>
                </c:pt>
                <c:pt idx="1">
                  <c:v>44012</c:v>
                </c:pt>
                <c:pt idx="2">
                  <c:v>44104</c:v>
                </c:pt>
                <c:pt idx="3">
                  <c:v>44196</c:v>
                </c:pt>
                <c:pt idx="4">
                  <c:v>44286</c:v>
                </c:pt>
                <c:pt idx="5">
                  <c:v>44377</c:v>
                </c:pt>
                <c:pt idx="6">
                  <c:v>44469</c:v>
                </c:pt>
                <c:pt idx="7">
                  <c:v>44561</c:v>
                </c:pt>
                <c:pt idx="8">
                  <c:v>44651</c:v>
                </c:pt>
                <c:pt idx="9">
                  <c:v>44742</c:v>
                </c:pt>
                <c:pt idx="10">
                  <c:v>44834</c:v>
                </c:pt>
                <c:pt idx="11">
                  <c:v>44926</c:v>
                </c:pt>
                <c:pt idx="12">
                  <c:v>45016</c:v>
                </c:pt>
                <c:pt idx="13">
                  <c:v>45107</c:v>
                </c:pt>
                <c:pt idx="14">
                  <c:v>45199</c:v>
                </c:pt>
                <c:pt idx="15">
                  <c:v>45291</c:v>
                </c:pt>
                <c:pt idx="16">
                  <c:v>45382</c:v>
                </c:pt>
                <c:pt idx="17">
                  <c:v>45473</c:v>
                </c:pt>
                <c:pt idx="18">
                  <c:v>45565</c:v>
                </c:pt>
              </c:numCache>
            </c:numRef>
          </c:cat>
          <c:val>
            <c:numRef>
              <c:f>QTR!$O$49:$AG$49</c:f>
              <c:numCache>
                <c:formatCode>0.00</c:formatCode>
                <c:ptCount val="19"/>
                <c:pt idx="0">
                  <c:v>1</c:v>
                </c:pt>
                <c:pt idx="1">
                  <c:v>1.6508704533661065</c:v>
                </c:pt>
                <c:pt idx="2">
                  <c:v>1.8452535071141893</c:v>
                </c:pt>
                <c:pt idx="3">
                  <c:v>1.8458344172619001</c:v>
                </c:pt>
                <c:pt idx="4">
                  <c:v>1.5898789917829399</c:v>
                </c:pt>
                <c:pt idx="5">
                  <c:v>1.778872323072157</c:v>
                </c:pt>
                <c:pt idx="6">
                  <c:v>2.2308222482375477</c:v>
                </c:pt>
                <c:pt idx="7">
                  <c:v>1.991610110583895</c:v>
                </c:pt>
                <c:pt idx="8">
                  <c:v>1.7189540052271108</c:v>
                </c:pt>
                <c:pt idx="9">
                  <c:v>1.8076399596921995</c:v>
                </c:pt>
                <c:pt idx="10">
                  <c:v>1.7471901487081107</c:v>
                </c:pt>
                <c:pt idx="11">
                  <c:v>1.8901512221529819</c:v>
                </c:pt>
                <c:pt idx="12">
                  <c:v>1.6370054025954368</c:v>
                </c:pt>
                <c:pt idx="13">
                  <c:v>1.8613775715513725</c:v>
                </c:pt>
                <c:pt idx="14">
                  <c:v>1.6183844689431468</c:v>
                </c:pt>
                <c:pt idx="15">
                  <c:v>1.8381543688433799</c:v>
                </c:pt>
                <c:pt idx="16">
                  <c:v>1.5961736851030535</c:v>
                </c:pt>
                <c:pt idx="17">
                  <c:v>1.6905834451699611</c:v>
                </c:pt>
                <c:pt idx="18">
                  <c:v>1.768335834453755</c:v>
                </c:pt>
              </c:numCache>
            </c:numRef>
          </c:val>
          <c:smooth val="0"/>
          <c:extLst>
            <c:ext xmlns:c16="http://schemas.microsoft.com/office/drawing/2014/chart" uri="{C3380CC4-5D6E-409C-BE32-E72D297353CC}">
              <c16:uniqueId val="{00000005-834A-4D84-BFBD-A86592B3422C}"/>
            </c:ext>
          </c:extLst>
        </c:ser>
        <c:dLbls>
          <c:dLblPos val="t"/>
          <c:showLegendKey val="0"/>
          <c:showVal val="1"/>
          <c:showCatName val="0"/>
          <c:showSerName val="0"/>
          <c:showPercent val="0"/>
          <c:showBubbleSize val="0"/>
        </c:dLbls>
        <c:marker val="1"/>
        <c:smooth val="0"/>
        <c:axId val="194032815"/>
        <c:axId val="194033775"/>
      </c:lineChart>
      <c:dateAx>
        <c:axId val="1940328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3775"/>
        <c:crosses val="autoZero"/>
        <c:auto val="0"/>
        <c:lblOffset val="100"/>
        <c:baseTimeUnit val="months"/>
        <c:majorUnit val="3"/>
        <c:majorTimeUnit val="months"/>
      </c:dateAx>
      <c:valAx>
        <c:axId val="1940337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2815"/>
        <c:crosses val="autoZero"/>
        <c:crossBetween val="between"/>
      </c:valAx>
    </c:plotArea>
    <c:legend>
      <c:legendPos val="b"/>
      <c:overlay val="0"/>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Turnover</c:v>
          </c:tx>
          <c:spPr>
            <a:ln w="19050" cap="rnd">
              <a:solidFill>
                <a:schemeClr val="tx2">
                  <a:lumMod val="60000"/>
                  <a:lumOff val="40000"/>
                </a:schemeClr>
              </a:solidFill>
              <a:round/>
            </a:ln>
            <a:effectLst/>
          </c:spPr>
          <c:marker>
            <c:symbol val="diamond"/>
            <c:size val="8"/>
            <c:spPr>
              <a:solidFill>
                <a:schemeClr val="tx2"/>
              </a:solidFill>
              <a:ln w="9525">
                <a:noFill/>
              </a:ln>
              <a:effectLst/>
            </c:spPr>
          </c:marker>
          <c:dLbls>
            <c:dLbl>
              <c:idx val="1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F0-4544-A249-28D48B6E326C}"/>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QTR!$O$11:$AG$11</c:f>
              <c:numCache>
                <c:formatCode>mmm\-yy</c:formatCode>
                <c:ptCount val="19"/>
                <c:pt idx="0">
                  <c:v>43921</c:v>
                </c:pt>
                <c:pt idx="1">
                  <c:v>44012</c:v>
                </c:pt>
                <c:pt idx="2">
                  <c:v>44104</c:v>
                </c:pt>
                <c:pt idx="3">
                  <c:v>44196</c:v>
                </c:pt>
                <c:pt idx="4">
                  <c:v>44286</c:v>
                </c:pt>
                <c:pt idx="5">
                  <c:v>44377</c:v>
                </c:pt>
                <c:pt idx="6">
                  <c:v>44469</c:v>
                </c:pt>
                <c:pt idx="7">
                  <c:v>44561</c:v>
                </c:pt>
                <c:pt idx="8">
                  <c:v>44651</c:v>
                </c:pt>
                <c:pt idx="9">
                  <c:v>44742</c:v>
                </c:pt>
                <c:pt idx="10">
                  <c:v>44834</c:v>
                </c:pt>
                <c:pt idx="11">
                  <c:v>44926</c:v>
                </c:pt>
                <c:pt idx="12">
                  <c:v>45016</c:v>
                </c:pt>
                <c:pt idx="13">
                  <c:v>45107</c:v>
                </c:pt>
                <c:pt idx="14">
                  <c:v>45199</c:v>
                </c:pt>
                <c:pt idx="15">
                  <c:v>45291</c:v>
                </c:pt>
                <c:pt idx="16">
                  <c:v>45382</c:v>
                </c:pt>
                <c:pt idx="17">
                  <c:v>45473</c:v>
                </c:pt>
                <c:pt idx="18">
                  <c:v>45565</c:v>
                </c:pt>
              </c:numCache>
            </c:numRef>
          </c:cat>
          <c:val>
            <c:numRef>
              <c:f>QTR!$O$51:$AG$51</c:f>
              <c:numCache>
                <c:formatCode>0.00</c:formatCode>
                <c:ptCount val="19"/>
                <c:pt idx="0">
                  <c:v>1</c:v>
                </c:pt>
                <c:pt idx="1">
                  <c:v>1.6978699551569505</c:v>
                </c:pt>
                <c:pt idx="2">
                  <c:v>2.9579596412556057</c:v>
                </c:pt>
                <c:pt idx="3">
                  <c:v>3.0454035874439458</c:v>
                </c:pt>
                <c:pt idx="4">
                  <c:v>2.3721973094170403</c:v>
                </c:pt>
                <c:pt idx="5">
                  <c:v>2.7735426008968611</c:v>
                </c:pt>
                <c:pt idx="6">
                  <c:v>3.5392376681614346</c:v>
                </c:pt>
                <c:pt idx="7">
                  <c:v>4.0751121076233181</c:v>
                </c:pt>
                <c:pt idx="8">
                  <c:v>3.2477578475336322</c:v>
                </c:pt>
                <c:pt idx="9">
                  <c:v>3.3553811659192827</c:v>
                </c:pt>
                <c:pt idx="10">
                  <c:v>3.4299327354260085</c:v>
                </c:pt>
                <c:pt idx="11">
                  <c:v>5.2606502242152464</c:v>
                </c:pt>
                <c:pt idx="12">
                  <c:v>3.2499999999999996</c:v>
                </c:pt>
                <c:pt idx="13">
                  <c:v>2.8155829596412554</c:v>
                </c:pt>
                <c:pt idx="14">
                  <c:v>3.1776905829596411</c:v>
                </c:pt>
                <c:pt idx="15">
                  <c:v>5.0538116591928253</c:v>
                </c:pt>
                <c:pt idx="16">
                  <c:v>3.3940582959641254</c:v>
                </c:pt>
                <c:pt idx="17">
                  <c:v>3.3783632286995515</c:v>
                </c:pt>
                <c:pt idx="18">
                  <c:v>3.125</c:v>
                </c:pt>
              </c:numCache>
            </c:numRef>
          </c:val>
          <c:smooth val="0"/>
          <c:extLst>
            <c:ext xmlns:c16="http://schemas.microsoft.com/office/drawing/2014/chart" uri="{C3380CC4-5D6E-409C-BE32-E72D297353CC}">
              <c16:uniqueId val="{00000006-61F0-4544-A249-28D48B6E326C}"/>
            </c:ext>
          </c:extLst>
        </c:ser>
        <c:ser>
          <c:idx val="1"/>
          <c:order val="1"/>
          <c:tx>
            <c:v>Net Win</c:v>
          </c:tx>
          <c:spPr>
            <a:ln>
              <a:solidFill>
                <a:schemeClr val="accent1">
                  <a:lumMod val="60000"/>
                  <a:lumOff val="40000"/>
                </a:schemeClr>
              </a:solidFill>
            </a:ln>
          </c:spPr>
          <c:marker>
            <c:symbol val="diamond"/>
            <c:size val="8"/>
            <c:spPr>
              <a:solidFill>
                <a:schemeClr val="accent1"/>
              </a:solidFill>
              <a:ln>
                <a:noFill/>
              </a:ln>
            </c:spPr>
          </c:marker>
          <c:dLbls>
            <c:dLbl>
              <c:idx val="1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1F0-4544-A249-28D48B6E326C}"/>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QTR!$O$11:$AG$11</c:f>
              <c:numCache>
                <c:formatCode>mmm\-yy</c:formatCode>
                <c:ptCount val="19"/>
                <c:pt idx="0">
                  <c:v>43921</c:v>
                </c:pt>
                <c:pt idx="1">
                  <c:v>44012</c:v>
                </c:pt>
                <c:pt idx="2">
                  <c:v>44104</c:v>
                </c:pt>
                <c:pt idx="3">
                  <c:v>44196</c:v>
                </c:pt>
                <c:pt idx="4">
                  <c:v>44286</c:v>
                </c:pt>
                <c:pt idx="5">
                  <c:v>44377</c:v>
                </c:pt>
                <c:pt idx="6">
                  <c:v>44469</c:v>
                </c:pt>
                <c:pt idx="7">
                  <c:v>44561</c:v>
                </c:pt>
                <c:pt idx="8">
                  <c:v>44651</c:v>
                </c:pt>
                <c:pt idx="9">
                  <c:v>44742</c:v>
                </c:pt>
                <c:pt idx="10">
                  <c:v>44834</c:v>
                </c:pt>
                <c:pt idx="11">
                  <c:v>44926</c:v>
                </c:pt>
                <c:pt idx="12">
                  <c:v>45016</c:v>
                </c:pt>
                <c:pt idx="13">
                  <c:v>45107</c:v>
                </c:pt>
                <c:pt idx="14">
                  <c:v>45199</c:v>
                </c:pt>
                <c:pt idx="15">
                  <c:v>45291</c:v>
                </c:pt>
                <c:pt idx="16">
                  <c:v>45382</c:v>
                </c:pt>
                <c:pt idx="17">
                  <c:v>45473</c:v>
                </c:pt>
                <c:pt idx="18">
                  <c:v>45565</c:v>
                </c:pt>
              </c:numCache>
            </c:numRef>
          </c:cat>
          <c:val>
            <c:numRef>
              <c:f>QTR!$O$52:$AG$52</c:f>
              <c:numCache>
                <c:formatCode>0.00</c:formatCode>
                <c:ptCount val="19"/>
                <c:pt idx="0">
                  <c:v>1</c:v>
                </c:pt>
                <c:pt idx="1">
                  <c:v>2.0903225806451613</c:v>
                </c:pt>
                <c:pt idx="2">
                  <c:v>2.2645161290322582</c:v>
                </c:pt>
                <c:pt idx="3">
                  <c:v>3.2129032258064516</c:v>
                </c:pt>
                <c:pt idx="4">
                  <c:v>2.4645161290322584</c:v>
                </c:pt>
                <c:pt idx="5">
                  <c:v>2.7806451612903227</c:v>
                </c:pt>
                <c:pt idx="6">
                  <c:v>3.5354838709677416</c:v>
                </c:pt>
                <c:pt idx="7">
                  <c:v>3.4258064516129032</c:v>
                </c:pt>
                <c:pt idx="8">
                  <c:v>3.3741935483870966</c:v>
                </c:pt>
                <c:pt idx="9">
                  <c:v>3.5612903225806454</c:v>
                </c:pt>
                <c:pt idx="10">
                  <c:v>3.064516129032258</c:v>
                </c:pt>
                <c:pt idx="11">
                  <c:v>3.7225806451612904</c:v>
                </c:pt>
                <c:pt idx="12">
                  <c:v>3.2709677419354839</c:v>
                </c:pt>
                <c:pt idx="13">
                  <c:v>3.5870967741935487</c:v>
                </c:pt>
                <c:pt idx="14">
                  <c:v>3.4064516129032256</c:v>
                </c:pt>
                <c:pt idx="15">
                  <c:v>3.838709677419355</c:v>
                </c:pt>
                <c:pt idx="16">
                  <c:v>3.9225806451612901</c:v>
                </c:pt>
                <c:pt idx="17">
                  <c:v>3.8774193548387097</c:v>
                </c:pt>
                <c:pt idx="18">
                  <c:v>3.6516129032258067</c:v>
                </c:pt>
              </c:numCache>
            </c:numRef>
          </c:val>
          <c:smooth val="0"/>
          <c:extLst>
            <c:ext xmlns:c16="http://schemas.microsoft.com/office/drawing/2014/chart" uri="{C3380CC4-5D6E-409C-BE32-E72D297353CC}">
              <c16:uniqueId val="{00000009-61F0-4544-A249-28D48B6E326C}"/>
            </c:ext>
          </c:extLst>
        </c:ser>
        <c:dLbls>
          <c:dLblPos val="t"/>
          <c:showLegendKey val="0"/>
          <c:showVal val="1"/>
          <c:showCatName val="0"/>
          <c:showSerName val="0"/>
          <c:showPercent val="0"/>
          <c:showBubbleSize val="0"/>
        </c:dLbls>
        <c:marker val="1"/>
        <c:smooth val="0"/>
        <c:axId val="194032815"/>
        <c:axId val="194033775"/>
      </c:lineChart>
      <c:dateAx>
        <c:axId val="1940328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3775"/>
        <c:crosses val="autoZero"/>
        <c:auto val="0"/>
        <c:lblOffset val="100"/>
        <c:baseTimeUnit val="months"/>
        <c:majorUnit val="3"/>
        <c:majorTimeUnit val="months"/>
      </c:dateAx>
      <c:valAx>
        <c:axId val="1940337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2815"/>
        <c:crosses val="autoZero"/>
        <c:crossBetween val="between"/>
      </c:valAx>
    </c:plotArea>
    <c:legend>
      <c:legendPos val="b"/>
      <c:overlay val="0"/>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2">
                <a:lumMod val="60000"/>
                <a:lumOff val="40000"/>
              </a:schemeClr>
            </a:solidFill>
            <a:ln>
              <a:noFill/>
            </a:ln>
            <a:effectLst/>
          </c:spPr>
          <c:invertIfNegative val="0"/>
          <c:dPt>
            <c:idx val="2"/>
            <c:invertIfNegative val="0"/>
            <c:bubble3D val="0"/>
            <c:spPr>
              <a:solidFill>
                <a:schemeClr val="tx2"/>
              </a:solidFill>
              <a:ln>
                <a:noFill/>
              </a:ln>
              <a:effectLst/>
            </c:spPr>
            <c:extLst>
              <c:ext xmlns:c16="http://schemas.microsoft.com/office/drawing/2014/chart" uri="{C3380CC4-5D6E-409C-BE32-E72D297353CC}">
                <c16:uniqueId val="{00000001-9512-42B7-8CB2-EC15DE64B275}"/>
              </c:ext>
            </c:extLst>
          </c:dPt>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MS!$C$17:$C$24</c:f>
              <c:strCache>
                <c:ptCount val="8"/>
                <c:pt idx="0">
                  <c:v>Other</c:v>
                </c:pt>
                <c:pt idx="1">
                  <c:v>Dabble</c:v>
                </c:pt>
                <c:pt idx="2">
                  <c:v>betr</c:v>
                </c:pt>
                <c:pt idx="3">
                  <c:v>PointsBet</c:v>
                </c:pt>
                <c:pt idx="4">
                  <c:v>bet365</c:v>
                </c:pt>
                <c:pt idx="5">
                  <c:v>Entain</c:v>
                </c:pt>
                <c:pt idx="6">
                  <c:v>Tabcorp</c:v>
                </c:pt>
                <c:pt idx="7">
                  <c:v>Sportsbet</c:v>
                </c:pt>
              </c:strCache>
            </c:strRef>
          </c:cat>
          <c:val>
            <c:numRef>
              <c:f>MS!$D$17:$D$24</c:f>
              <c:numCache>
                <c:formatCode>0.0%</c:formatCode>
                <c:ptCount val="8"/>
                <c:pt idx="0">
                  <c:v>3.0192505345615513E-2</c:v>
                </c:pt>
                <c:pt idx="1">
                  <c:v>3.0192505345615513E-2</c:v>
                </c:pt>
                <c:pt idx="2">
                  <c:v>3.1624371185005211E-2</c:v>
                </c:pt>
                <c:pt idx="3">
                  <c:v>4.902907709384173E-2</c:v>
                </c:pt>
                <c:pt idx="4">
                  <c:v>5.8563650342602233E-2</c:v>
                </c:pt>
                <c:pt idx="5">
                  <c:v>0.16387344339679613</c:v>
                </c:pt>
                <c:pt idx="6">
                  <c:v>0.21703483330475959</c:v>
                </c:pt>
                <c:pt idx="7">
                  <c:v>0.4188591454668521</c:v>
                </c:pt>
              </c:numCache>
            </c:numRef>
          </c:val>
          <c:extLst>
            <c:ext xmlns:c16="http://schemas.microsoft.com/office/drawing/2014/chart" uri="{C3380CC4-5D6E-409C-BE32-E72D297353CC}">
              <c16:uniqueId val="{00000002-9512-42B7-8CB2-EC15DE64B275}"/>
            </c:ext>
          </c:extLst>
        </c:ser>
        <c:dLbls>
          <c:showLegendKey val="0"/>
          <c:showVal val="0"/>
          <c:showCatName val="0"/>
          <c:showSerName val="0"/>
          <c:showPercent val="0"/>
          <c:showBubbleSize val="0"/>
        </c:dLbls>
        <c:gapWidth val="30"/>
        <c:axId val="501180608"/>
        <c:axId val="501177248"/>
      </c:barChart>
      <c:catAx>
        <c:axId val="50118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01177248"/>
        <c:crosses val="autoZero"/>
        <c:auto val="1"/>
        <c:lblAlgn val="ctr"/>
        <c:lblOffset val="100"/>
        <c:noMultiLvlLbl val="0"/>
      </c:catAx>
      <c:valAx>
        <c:axId val="5011772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0118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2">
                <a:lumMod val="60000"/>
                <a:lumOff val="40000"/>
              </a:schemeClr>
            </a:solidFill>
            <a:ln>
              <a:noFill/>
            </a:ln>
            <a:effectLst/>
          </c:spPr>
          <c:invertIfNegative val="0"/>
          <c:dPt>
            <c:idx val="2"/>
            <c:invertIfNegative val="0"/>
            <c:bubble3D val="0"/>
            <c:spPr>
              <a:solidFill>
                <a:schemeClr val="tx2"/>
              </a:solidFill>
              <a:ln>
                <a:noFill/>
              </a:ln>
              <a:effectLst/>
            </c:spPr>
            <c:extLst>
              <c:ext xmlns:c16="http://schemas.microsoft.com/office/drawing/2014/chart" uri="{C3380CC4-5D6E-409C-BE32-E72D297353CC}">
                <c16:uniqueId val="{00000001-4CF7-4BAB-A2CC-F64E413211FE}"/>
              </c:ext>
            </c:extLst>
          </c:dPt>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MS!$C$17:$C$24</c:f>
              <c:strCache>
                <c:ptCount val="8"/>
                <c:pt idx="0">
                  <c:v>Other</c:v>
                </c:pt>
                <c:pt idx="1">
                  <c:v>Dabble</c:v>
                </c:pt>
                <c:pt idx="2">
                  <c:v>betr</c:v>
                </c:pt>
                <c:pt idx="3">
                  <c:v>PointsBet</c:v>
                </c:pt>
                <c:pt idx="4">
                  <c:v>bet365</c:v>
                </c:pt>
                <c:pt idx="5">
                  <c:v>Entain</c:v>
                </c:pt>
                <c:pt idx="6">
                  <c:v>Tabcorp</c:v>
                </c:pt>
                <c:pt idx="7">
                  <c:v>Sportsbet</c:v>
                </c:pt>
              </c:strCache>
            </c:strRef>
          </c:cat>
          <c:val>
            <c:numRef>
              <c:f>MS!$D$17:$D$24</c:f>
              <c:numCache>
                <c:formatCode>0.0%</c:formatCode>
                <c:ptCount val="8"/>
                <c:pt idx="0">
                  <c:v>3.0192505345615513E-2</c:v>
                </c:pt>
                <c:pt idx="1">
                  <c:v>3.0192505345615513E-2</c:v>
                </c:pt>
                <c:pt idx="2">
                  <c:v>3.1624371185005211E-2</c:v>
                </c:pt>
                <c:pt idx="3">
                  <c:v>4.902907709384173E-2</c:v>
                </c:pt>
                <c:pt idx="4">
                  <c:v>5.8563650342602233E-2</c:v>
                </c:pt>
                <c:pt idx="5">
                  <c:v>0.16387344339679613</c:v>
                </c:pt>
                <c:pt idx="6">
                  <c:v>0.21703483330475959</c:v>
                </c:pt>
                <c:pt idx="7">
                  <c:v>0.4188591454668521</c:v>
                </c:pt>
              </c:numCache>
            </c:numRef>
          </c:val>
          <c:extLst>
            <c:ext xmlns:c16="http://schemas.microsoft.com/office/drawing/2014/chart" uri="{C3380CC4-5D6E-409C-BE32-E72D297353CC}">
              <c16:uniqueId val="{00000002-4CF7-4BAB-A2CC-F64E413211FE}"/>
            </c:ext>
          </c:extLst>
        </c:ser>
        <c:dLbls>
          <c:showLegendKey val="0"/>
          <c:showVal val="0"/>
          <c:showCatName val="0"/>
          <c:showSerName val="0"/>
          <c:showPercent val="0"/>
          <c:showBubbleSize val="0"/>
        </c:dLbls>
        <c:gapWidth val="30"/>
        <c:axId val="501180608"/>
        <c:axId val="501177248"/>
      </c:barChart>
      <c:catAx>
        <c:axId val="50118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01177248"/>
        <c:crosses val="autoZero"/>
        <c:auto val="1"/>
        <c:lblAlgn val="ctr"/>
        <c:lblOffset val="100"/>
        <c:noMultiLvlLbl val="0"/>
      </c:catAx>
      <c:valAx>
        <c:axId val="5011772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0118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'SBET QTR'!$O$60:$AH$60</c:f>
              <c:numCache>
                <c:formatCode>0.0%</c:formatCode>
                <c:ptCount val="20"/>
                <c:pt idx="0">
                  <c:v>0.10420711974110032</c:v>
                </c:pt>
                <c:pt idx="1">
                  <c:v>0.12580348943985309</c:v>
                </c:pt>
                <c:pt idx="2">
                  <c:v>0.10656010656010655</c:v>
                </c:pt>
                <c:pt idx="3">
                  <c:v>0.10713090056913291</c:v>
                </c:pt>
                <c:pt idx="4">
                  <c:v>0.11386983741869343</c:v>
                </c:pt>
                <c:pt idx="5">
                  <c:v>0.1204518075106466</c:v>
                </c:pt>
                <c:pt idx="6">
                  <c:v>0.11206779727080425</c:v>
                </c:pt>
                <c:pt idx="7">
                  <c:v>9.9627235038135933E-2</c:v>
                </c:pt>
                <c:pt idx="8">
                  <c:v>0.11516539643833351</c:v>
                </c:pt>
                <c:pt idx="9">
                  <c:v>0.11975911125315769</c:v>
                </c:pt>
                <c:pt idx="10">
                  <c:v>0.11072803637384009</c:v>
                </c:pt>
                <c:pt idx="11">
                  <c:v>0.10333385286807759</c:v>
                </c:pt>
                <c:pt idx="12">
                  <c:v>0.11152476932075285</c:v>
                </c:pt>
                <c:pt idx="13">
                  <c:v>0.13160584577209827</c:v>
                </c:pt>
                <c:pt idx="14">
                  <c:v>0.11334500564353435</c:v>
                </c:pt>
                <c:pt idx="15">
                  <c:v>0.12413108242303873</c:v>
                </c:pt>
                <c:pt idx="16">
                  <c:v>0.12914390133665232</c:v>
                </c:pt>
                <c:pt idx="17">
                  <c:v>0.12802641232575201</c:v>
                </c:pt>
                <c:pt idx="18">
                  <c:v>0.13822652757078988</c:v>
                </c:pt>
                <c:pt idx="19">
                  <c:v>0.12110605530276512</c:v>
                </c:pt>
              </c:numCache>
            </c:numRef>
          </c:val>
          <c:smooth val="0"/>
          <c:extLst>
            <c:ext xmlns:c16="http://schemas.microsoft.com/office/drawing/2014/chart" uri="{C3380CC4-5D6E-409C-BE32-E72D297353CC}">
              <c16:uniqueId val="{00000000-AC80-46D1-880C-AFF2C94AFDA6}"/>
            </c:ext>
          </c:extLst>
        </c:ser>
        <c:dLbls>
          <c:showLegendKey val="0"/>
          <c:showVal val="0"/>
          <c:showCatName val="0"/>
          <c:showSerName val="0"/>
          <c:showPercent val="0"/>
          <c:showBubbleSize val="0"/>
        </c:dLbls>
        <c:smooth val="0"/>
        <c:axId val="169980063"/>
        <c:axId val="169976703"/>
      </c:lineChart>
      <c:catAx>
        <c:axId val="1699800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6703"/>
        <c:crosses val="autoZero"/>
        <c:auto val="1"/>
        <c:lblAlgn val="ctr"/>
        <c:lblOffset val="100"/>
        <c:noMultiLvlLbl val="0"/>
      </c:catAx>
      <c:valAx>
        <c:axId val="1699767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tx2">
                  <a:lumMod val="60000"/>
                  <a:lumOff val="40000"/>
                </a:schemeClr>
              </a:solidFill>
              <a:round/>
            </a:ln>
            <a:effectLst/>
          </c:spPr>
          <c:marker>
            <c:symbol val="diamond"/>
            <c:size val="8"/>
            <c:spPr>
              <a:solidFill>
                <a:schemeClr val="tx2"/>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'SBET QTR'!$S$13:$AN$13</c:f>
              <c:numCache>
                <c:formatCode>mmm\-yy</c:formatCode>
                <c:ptCount val="22"/>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pt idx="16">
                  <c:v>45747</c:v>
                </c:pt>
                <c:pt idx="17">
                  <c:v>45838</c:v>
                </c:pt>
                <c:pt idx="18">
                  <c:v>45930</c:v>
                </c:pt>
                <c:pt idx="19">
                  <c:v>46022</c:v>
                </c:pt>
                <c:pt idx="20">
                  <c:v>46112</c:v>
                </c:pt>
                <c:pt idx="21">
                  <c:v>46203</c:v>
                </c:pt>
              </c:numCache>
            </c:numRef>
          </c:cat>
          <c:val>
            <c:numRef>
              <c:f>'SBET QTR'!$S$37:$AN$37</c:f>
              <c:numCache>
                <c:formatCode>0.0%</c:formatCode>
                <c:ptCount val="22"/>
                <c:pt idx="0">
                  <c:v>5.2414509645823761E-2</c:v>
                </c:pt>
                <c:pt idx="1">
                  <c:v>5.6751476127456735E-2</c:v>
                </c:pt>
                <c:pt idx="2">
                  <c:v>5.1358927259782083E-2</c:v>
                </c:pt>
                <c:pt idx="3">
                  <c:v>5.260684793068586E-2</c:v>
                </c:pt>
                <c:pt idx="4">
                  <c:v>5.4399034106611913E-2</c:v>
                </c:pt>
                <c:pt idx="5">
                  <c:v>5.4857015642967764E-2</c:v>
                </c:pt>
                <c:pt idx="6">
                  <c:v>5.5989357252959567E-2</c:v>
                </c:pt>
                <c:pt idx="7">
                  <c:v>5.1859832258319798E-2</c:v>
                </c:pt>
                <c:pt idx="8">
                  <c:v>5.9417418470209427E-2</c:v>
                </c:pt>
                <c:pt idx="9">
                  <c:v>6.6918630635129442E-2</c:v>
                </c:pt>
                <c:pt idx="10">
                  <c:v>6.215370532872571E-2</c:v>
                </c:pt>
                <c:pt idx="11">
                  <c:v>6.5210195299569673E-2</c:v>
                </c:pt>
                <c:pt idx="12">
                  <c:v>6.8225547470287751E-2</c:v>
                </c:pt>
                <c:pt idx="13">
                  <c:v>7.0432868672046955E-2</c:v>
                </c:pt>
                <c:pt idx="14">
                  <c:v>7.7123695976154996E-2</c:v>
                </c:pt>
                <c:pt idx="15">
                  <c:v>6.6503325166258315E-2</c:v>
                </c:pt>
              </c:numCache>
            </c:numRef>
          </c:val>
          <c:smooth val="0"/>
          <c:extLst>
            <c:ext xmlns:c16="http://schemas.microsoft.com/office/drawing/2014/chart" uri="{C3380CC4-5D6E-409C-BE32-E72D297353CC}">
              <c16:uniqueId val="{00000000-9E90-4D63-8214-26BC5FEA7FBC}"/>
            </c:ext>
          </c:extLst>
        </c:ser>
        <c:dLbls>
          <c:dLblPos val="t"/>
          <c:showLegendKey val="0"/>
          <c:showVal val="1"/>
          <c:showCatName val="0"/>
          <c:showSerName val="0"/>
          <c:showPercent val="0"/>
          <c:showBubbleSize val="0"/>
        </c:dLbls>
        <c:marker val="1"/>
        <c:smooth val="0"/>
        <c:axId val="194032815"/>
        <c:axId val="194033775"/>
      </c:lineChart>
      <c:dateAx>
        <c:axId val="194032815"/>
        <c:scaling>
          <c:orientation val="minMax"/>
          <c:max val="45627"/>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3775"/>
        <c:crosses val="autoZero"/>
        <c:auto val="0"/>
        <c:lblOffset val="100"/>
        <c:baseTimeUnit val="months"/>
        <c:majorUnit val="3"/>
        <c:majorTimeUnit val="months"/>
      </c:dateAx>
      <c:valAx>
        <c:axId val="1940337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tx2">
                  <a:lumMod val="60000"/>
                  <a:lumOff val="40000"/>
                </a:schemeClr>
              </a:solidFill>
              <a:round/>
            </a:ln>
            <a:effectLst/>
          </c:spPr>
          <c:marker>
            <c:symbol val="diamond"/>
            <c:size val="8"/>
            <c:spPr>
              <a:solidFill>
                <a:schemeClr val="tx2"/>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'SBET QTR'!$S$13:$AG$13</c:f>
              <c:numCache>
                <c:formatCode>mmm\-yy</c:formatCode>
                <c:ptCount val="15"/>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numCache>
            </c:numRef>
          </c:cat>
          <c:val>
            <c:numRef>
              <c:f>'SBET QTR'!$S$75:$AH$75</c:f>
              <c:numCache>
                <c:formatCode>0.0%</c:formatCode>
                <c:ptCount val="16"/>
                <c:pt idx="0">
                  <c:v>0.10731698569138216</c:v>
                </c:pt>
                <c:pt idx="1">
                  <c:v>0.15982187383247412</c:v>
                </c:pt>
                <c:pt idx="2">
                  <c:v>0.12749179960418763</c:v>
                </c:pt>
                <c:pt idx="3">
                  <c:v>0.12433990335498753</c:v>
                </c:pt>
                <c:pt idx="4">
                  <c:v>0.11873294011625951</c:v>
                </c:pt>
                <c:pt idx="5">
                  <c:v>0.13270821789957751</c:v>
                </c:pt>
                <c:pt idx="6">
                  <c:v>0.16729703181986272</c:v>
                </c:pt>
                <c:pt idx="7">
                  <c:v>0.17042412295161902</c:v>
                </c:pt>
                <c:pt idx="8">
                  <c:v>0.149771785706242</c:v>
                </c:pt>
                <c:pt idx="9">
                  <c:v>0.1453613149731226</c:v>
                </c:pt>
                <c:pt idx="10">
                  <c:v>0.17578651260196659</c:v>
                </c:pt>
                <c:pt idx="11">
                  <c:v>0.15466666666666667</c:v>
                </c:pt>
                <c:pt idx="12">
                  <c:v>0.14264808033218318</c:v>
                </c:pt>
                <c:pt idx="13">
                  <c:v>0.16045845272206302</c:v>
                </c:pt>
                <c:pt idx="14">
                  <c:v>0.16172506738544476</c:v>
                </c:pt>
                <c:pt idx="15">
                  <c:v>0.17341040462427745</c:v>
                </c:pt>
              </c:numCache>
            </c:numRef>
          </c:val>
          <c:smooth val="0"/>
          <c:extLst>
            <c:ext xmlns:c16="http://schemas.microsoft.com/office/drawing/2014/chart" uri="{C3380CC4-5D6E-409C-BE32-E72D297353CC}">
              <c16:uniqueId val="{00000001-7943-4E56-AFE8-7E1D73641ECD}"/>
            </c:ext>
          </c:extLst>
        </c:ser>
        <c:dLbls>
          <c:dLblPos val="t"/>
          <c:showLegendKey val="0"/>
          <c:showVal val="1"/>
          <c:showCatName val="0"/>
          <c:showSerName val="0"/>
          <c:showPercent val="0"/>
          <c:showBubbleSize val="0"/>
        </c:dLbls>
        <c:marker val="1"/>
        <c:smooth val="0"/>
        <c:axId val="194032815"/>
        <c:axId val="194033775"/>
      </c:lineChart>
      <c:dateAx>
        <c:axId val="194032815"/>
        <c:scaling>
          <c:orientation val="minMax"/>
          <c:max val="45627"/>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3775"/>
        <c:crosses val="autoZero"/>
        <c:auto val="0"/>
        <c:lblOffset val="100"/>
        <c:baseTimeUnit val="months"/>
        <c:majorUnit val="3"/>
        <c:majorTimeUnit val="months"/>
      </c:dateAx>
      <c:valAx>
        <c:axId val="194033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2815"/>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tx2">
                  <a:lumMod val="60000"/>
                  <a:lumOff val="40000"/>
                </a:schemeClr>
              </a:solidFill>
              <a:round/>
            </a:ln>
            <a:effectLst/>
          </c:spPr>
          <c:marker>
            <c:symbol val="diamond"/>
            <c:size val="8"/>
            <c:spPr>
              <a:solidFill>
                <a:schemeClr val="tx2"/>
              </a:solidFill>
              <a:ln w="9525">
                <a:noFill/>
              </a:ln>
              <a:effectLst/>
            </c:spPr>
          </c:marker>
          <c:dLbls>
            <c:spPr>
              <a:noFill/>
              <a:ln>
                <a:noFill/>
              </a:ln>
              <a:effectLst/>
            </c:spPr>
            <c:txPr>
              <a:bodyPr wrap="square" lIns="38100" tIns="19050" rIns="38100" bIns="19050" anchor="ctr">
                <a:spAutoFit/>
              </a:bodyPr>
              <a:lstStyle/>
              <a:p>
                <a:pPr>
                  <a:defRPr sz="800"/>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'SBET QTR'!$S$13:$AG$13</c:f>
              <c:numCache>
                <c:formatCode>mmm\-yy</c:formatCode>
                <c:ptCount val="15"/>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numCache>
            </c:numRef>
          </c:cat>
          <c:val>
            <c:numRef>
              <c:f>'SBET QTR'!$S$30:$AG$30</c:f>
              <c:numCache>
                <c:formatCode>#,##0.0</c:formatCode>
                <c:ptCount val="15"/>
                <c:pt idx="0">
                  <c:v>41.29445271252839</c:v>
                </c:pt>
                <c:pt idx="1">
                  <c:v>68.559887816892569</c:v>
                </c:pt>
                <c:pt idx="2">
                  <c:v>65.453072815183518</c:v>
                </c:pt>
                <c:pt idx="3">
                  <c:v>56.521442594115953</c:v>
                </c:pt>
                <c:pt idx="4">
                  <c:v>46.31213118349001</c:v>
                </c:pt>
                <c:pt idx="5">
                  <c:v>53.674190817629771</c:v>
                </c:pt>
                <c:pt idx="6">
                  <c:v>62.552075075027254</c:v>
                </c:pt>
                <c:pt idx="7">
                  <c:v>66.334489446865305</c:v>
                </c:pt>
                <c:pt idx="8">
                  <c:v>52.495681197395129</c:v>
                </c:pt>
                <c:pt idx="9">
                  <c:v>56.614528165576885</c:v>
                </c:pt>
                <c:pt idx="10">
                  <c:v>58.332554244615501</c:v>
                </c:pt>
                <c:pt idx="11">
                  <c:v>58</c:v>
                </c:pt>
                <c:pt idx="12">
                  <c:v>46.908243863631505</c:v>
                </c:pt>
                <c:pt idx="13">
                  <c:v>56</c:v>
                </c:pt>
                <c:pt idx="14">
                  <c:v>60</c:v>
                </c:pt>
              </c:numCache>
            </c:numRef>
          </c:val>
          <c:smooth val="0"/>
          <c:extLst>
            <c:ext xmlns:c16="http://schemas.microsoft.com/office/drawing/2014/chart" uri="{C3380CC4-5D6E-409C-BE32-E72D297353CC}">
              <c16:uniqueId val="{00000002-CD18-40D8-A8D0-7D9E1D50BFDE}"/>
            </c:ext>
          </c:extLst>
        </c:ser>
        <c:dLbls>
          <c:showLegendKey val="0"/>
          <c:showVal val="0"/>
          <c:showCatName val="0"/>
          <c:showSerName val="0"/>
          <c:showPercent val="0"/>
          <c:showBubbleSize val="0"/>
        </c:dLbls>
        <c:marker val="1"/>
        <c:smooth val="0"/>
        <c:axId val="194032815"/>
        <c:axId val="194033775"/>
      </c:lineChart>
      <c:dateAx>
        <c:axId val="194032815"/>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3775"/>
        <c:crosses val="autoZero"/>
        <c:auto val="0"/>
        <c:lblOffset val="100"/>
        <c:baseTimeUnit val="months"/>
        <c:majorUnit val="3"/>
        <c:majorTimeUnit val="months"/>
      </c:dateAx>
      <c:valAx>
        <c:axId val="194033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2815"/>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tx2">
                  <a:lumMod val="20000"/>
                  <a:lumOff val="80000"/>
                </a:schemeClr>
              </a:solidFill>
              <a:round/>
            </a:ln>
            <a:effectLst/>
          </c:spPr>
          <c:marker>
            <c:symbol val="diamond"/>
            <c:size val="8"/>
            <c:spPr>
              <a:solidFill>
                <a:schemeClr val="tx2"/>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'SBET QTR'!$S$13:$AN$13</c:f>
              <c:numCache>
                <c:formatCode>mmm\-yy</c:formatCode>
                <c:ptCount val="22"/>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pt idx="16">
                  <c:v>45747</c:v>
                </c:pt>
                <c:pt idx="17">
                  <c:v>45838</c:v>
                </c:pt>
                <c:pt idx="18">
                  <c:v>45930</c:v>
                </c:pt>
                <c:pt idx="19">
                  <c:v>46022</c:v>
                </c:pt>
                <c:pt idx="20">
                  <c:v>46112</c:v>
                </c:pt>
                <c:pt idx="21">
                  <c:v>46203</c:v>
                </c:pt>
              </c:numCache>
            </c:numRef>
          </c:cat>
          <c:val>
            <c:numRef>
              <c:f>'SBET QTR'!$S$25:$AN$25</c:f>
              <c:numCache>
                <c:formatCode>0.0%</c:formatCode>
                <c:ptCount val="22"/>
                <c:pt idx="0">
                  <c:v>0.38652797962237262</c:v>
                </c:pt>
                <c:pt idx="1">
                  <c:v>0.30557445593336102</c:v>
                </c:pt>
                <c:pt idx="2">
                  <c:v>0.36045961645321956</c:v>
                </c:pt>
                <c:pt idx="3">
                  <c:v>0.30847366277786969</c:v>
                </c:pt>
                <c:pt idx="4">
                  <c:v>0.3614956221588102</c:v>
                </c:pt>
                <c:pt idx="5">
                  <c:v>0.3554453832215469</c:v>
                </c:pt>
                <c:pt idx="6">
                  <c:v>0.26373401727871731</c:v>
                </c:pt>
                <c:pt idx="7">
                  <c:v>0.26129961277279118</c:v>
                </c:pt>
                <c:pt idx="8">
                  <c:v>0.24244057846122416</c:v>
                </c:pt>
                <c:pt idx="9">
                  <c:v>0.2762593860302025</c:v>
                </c:pt>
                <c:pt idx="10">
                  <c:v>0.1898597048360634</c:v>
                </c:pt>
                <c:pt idx="11">
                  <c:v>0.26666666666666666</c:v>
                </c:pt>
                <c:pt idx="12">
                  <c:v>0.25119348085821691</c:v>
                </c:pt>
                <c:pt idx="13">
                  <c:v>0.21203438395415472</c:v>
                </c:pt>
                <c:pt idx="14">
                  <c:v>0.19407008086253369</c:v>
                </c:pt>
                <c:pt idx="15">
                  <c:v>0.19075144508670519</c:v>
                </c:pt>
              </c:numCache>
            </c:numRef>
          </c:val>
          <c:smooth val="0"/>
          <c:extLst>
            <c:ext xmlns:c16="http://schemas.microsoft.com/office/drawing/2014/chart" uri="{C3380CC4-5D6E-409C-BE32-E72D297353CC}">
              <c16:uniqueId val="{00000002-B255-4ED1-B00E-42377BB580BE}"/>
            </c:ext>
          </c:extLst>
        </c:ser>
        <c:dLbls>
          <c:dLblPos val="t"/>
          <c:showLegendKey val="0"/>
          <c:showVal val="1"/>
          <c:showCatName val="0"/>
          <c:showSerName val="0"/>
          <c:showPercent val="0"/>
          <c:showBubbleSize val="0"/>
        </c:dLbls>
        <c:marker val="1"/>
        <c:smooth val="0"/>
        <c:axId val="194032815"/>
        <c:axId val="194033775"/>
      </c:lineChart>
      <c:dateAx>
        <c:axId val="194032815"/>
        <c:scaling>
          <c:orientation val="minMax"/>
          <c:max val="45627"/>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3775"/>
        <c:crosses val="autoZero"/>
        <c:auto val="0"/>
        <c:lblOffset val="100"/>
        <c:baseTimeUnit val="months"/>
        <c:majorUnit val="3"/>
        <c:majorTimeUnit val="months"/>
      </c:dateAx>
      <c:valAx>
        <c:axId val="194033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2815"/>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Turnover</c:v>
          </c:tx>
          <c:spPr>
            <a:ln w="19050" cap="rnd">
              <a:solidFill>
                <a:schemeClr val="tx2">
                  <a:lumMod val="40000"/>
                  <a:lumOff val="60000"/>
                </a:schemeClr>
              </a:solidFill>
              <a:round/>
            </a:ln>
            <a:effectLst/>
          </c:spPr>
          <c:marker>
            <c:symbol val="diamond"/>
            <c:size val="8"/>
            <c:spPr>
              <a:solidFill>
                <a:schemeClr val="tx2"/>
              </a:solidFill>
              <a:ln w="9525">
                <a:noFill/>
              </a:ln>
              <a:effectLst/>
            </c:spPr>
          </c:marker>
          <c:dLbls>
            <c:delete val="1"/>
          </c:dLbls>
          <c:cat>
            <c:numRef>
              <c:f>'SBET QTR'!$S$13:$AH$13</c:f>
              <c:numCache>
                <c:formatCode>mmm\-yy</c:formatCode>
                <c:ptCount val="16"/>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numCache>
            </c:numRef>
          </c:cat>
          <c:val>
            <c:numRef>
              <c:f>'SBET QTR'!$S$16:$AH$16</c:f>
              <c:numCache>
                <c:formatCode>#,##0.0</c:formatCode>
                <c:ptCount val="16"/>
                <c:pt idx="0">
                  <c:v>3379.2050716943049</c:v>
                </c:pt>
                <c:pt idx="1">
                  <c:v>3561.3983946095123</c:v>
                </c:pt>
                <c:pt idx="2">
                  <c:v>4581.0702627666824</c:v>
                </c:pt>
                <c:pt idx="3">
                  <c:v>4562.728578864022</c:v>
                </c:pt>
                <c:pt idx="4">
                  <c:v>3386.8934774988388</c:v>
                </c:pt>
                <c:pt idx="5">
                  <c:v>3377.2182247146588</c:v>
                </c:pt>
                <c:pt idx="6">
                  <c:v>3376.7265089852449</c:v>
                </c:pt>
                <c:pt idx="7">
                  <c:v>3766.7404908044359</c:v>
                </c:pt>
                <c:pt idx="8">
                  <c:v>3142.8397266335724</c:v>
                </c:pt>
                <c:pt idx="9">
                  <c:v>2959.4013569028893</c:v>
                </c:pt>
                <c:pt idx="10">
                  <c:v>2927.6762848902326</c:v>
                </c:pt>
                <c:pt idx="11">
                  <c:v>3021</c:v>
                </c:pt>
                <c:pt idx="12">
                  <c:v>2546.2986555233579</c:v>
                </c:pt>
                <c:pt idx="13">
                  <c:v>2726</c:v>
                </c:pt>
                <c:pt idx="14">
                  <c:v>2684</c:v>
                </c:pt>
                <c:pt idx="15">
                  <c:v>2857</c:v>
                </c:pt>
              </c:numCache>
            </c:numRef>
          </c:val>
          <c:smooth val="0"/>
          <c:extLst>
            <c:ext xmlns:c16="http://schemas.microsoft.com/office/drawing/2014/chart" uri="{C3380CC4-5D6E-409C-BE32-E72D297353CC}">
              <c16:uniqueId val="{00000002-2B33-4BFC-B95D-D5E8B7772BFE}"/>
            </c:ext>
          </c:extLst>
        </c:ser>
        <c:ser>
          <c:idx val="1"/>
          <c:order val="1"/>
          <c:tx>
            <c:v>Net Win</c:v>
          </c:tx>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1"/>
              <c:pt idx="0">
                <c:v>1</c:v>
              </c:pt>
            </c:numLit>
          </c:val>
          <c:smooth val="0"/>
          <c:extLst>
            <c:ext xmlns:c16="http://schemas.microsoft.com/office/drawing/2014/chart" uri="{C3380CC4-5D6E-409C-BE32-E72D297353CC}">
              <c16:uniqueId val="{00000003-2B33-4BFC-B95D-D5E8B7772BFE}"/>
            </c:ext>
          </c:extLst>
        </c:ser>
        <c:dLbls>
          <c:dLblPos val="t"/>
          <c:showLegendKey val="0"/>
          <c:showVal val="1"/>
          <c:showCatName val="0"/>
          <c:showSerName val="0"/>
          <c:showPercent val="0"/>
          <c:showBubbleSize val="0"/>
        </c:dLbls>
        <c:marker val="1"/>
        <c:smooth val="0"/>
        <c:axId val="194032815"/>
        <c:axId val="194033775"/>
      </c:lineChart>
      <c:dateAx>
        <c:axId val="1940328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3775"/>
        <c:crosses val="autoZero"/>
        <c:auto val="0"/>
        <c:lblOffset val="100"/>
        <c:baseTimeUnit val="months"/>
        <c:majorUnit val="3"/>
        <c:majorTimeUnit val="months"/>
      </c:dateAx>
      <c:valAx>
        <c:axId val="194033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2815"/>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a:solidFill>
                <a:schemeClr val="accent1">
                  <a:lumMod val="40000"/>
                  <a:lumOff val="60000"/>
                </a:schemeClr>
              </a:solidFill>
            </a:ln>
          </c:spPr>
          <c:marker>
            <c:symbol val="diamond"/>
            <c:size val="8"/>
            <c:spPr>
              <a:solidFill>
                <a:schemeClr val="accent1"/>
              </a:solidFill>
              <a:ln w="9525">
                <a:noFill/>
              </a:ln>
              <a:effectLst/>
            </c:spPr>
          </c:marker>
          <c:dLbls>
            <c:delete val="1"/>
          </c:dLbls>
          <c:cat>
            <c:numRef>
              <c:f>'SBET QTR'!$S$13:$AH$13</c:f>
              <c:numCache>
                <c:formatCode>mmm\-yy</c:formatCode>
                <c:ptCount val="16"/>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numCache>
            </c:numRef>
          </c:cat>
          <c:val>
            <c:numRef>
              <c:f>'SBET QTR'!$S$19:$AH$19</c:f>
              <c:numCache>
                <c:formatCode>#,##0.0</c:formatCode>
                <c:ptCount val="16"/>
                <c:pt idx="0">
                  <c:v>384.78953211825478</c:v>
                </c:pt>
                <c:pt idx="1">
                  <c:v>428.97687389623076</c:v>
                </c:pt>
                <c:pt idx="2">
                  <c:v>513.39045349104651</c:v>
                </c:pt>
                <c:pt idx="3">
                  <c:v>454.57203254170588</c:v>
                </c:pt>
                <c:pt idx="4">
                  <c:v>390.05293003055976</c:v>
                </c:pt>
                <c:pt idx="5">
                  <c:v>404.45265309979453</c:v>
                </c:pt>
                <c:pt idx="6">
                  <c:v>373.89829571142826</c:v>
                </c:pt>
                <c:pt idx="7">
                  <c:v>389.23180766901595</c:v>
                </c:pt>
                <c:pt idx="8">
                  <c:v>350.50447552490709</c:v>
                </c:pt>
                <c:pt idx="9">
                  <c:v>389.47451855429995</c:v>
                </c:pt>
                <c:pt idx="10">
                  <c:v>331.83748503332509</c:v>
                </c:pt>
                <c:pt idx="11">
                  <c:v>375</c:v>
                </c:pt>
                <c:pt idx="12">
                  <c:v>328.83894234255899</c:v>
                </c:pt>
                <c:pt idx="13">
                  <c:v>349</c:v>
                </c:pt>
                <c:pt idx="14">
                  <c:v>371</c:v>
                </c:pt>
                <c:pt idx="15">
                  <c:v>346</c:v>
                </c:pt>
              </c:numCache>
            </c:numRef>
          </c:val>
          <c:smooth val="0"/>
          <c:extLst>
            <c:ext xmlns:c16="http://schemas.microsoft.com/office/drawing/2014/chart" uri="{C3380CC4-5D6E-409C-BE32-E72D297353CC}">
              <c16:uniqueId val="{00000000-3475-4215-8721-BBC0E9D0BD8C}"/>
            </c:ext>
          </c:extLst>
        </c:ser>
        <c:dLbls>
          <c:dLblPos val="t"/>
          <c:showLegendKey val="0"/>
          <c:showVal val="1"/>
          <c:showCatName val="0"/>
          <c:showSerName val="0"/>
          <c:showPercent val="0"/>
          <c:showBubbleSize val="0"/>
        </c:dLbls>
        <c:marker val="1"/>
        <c:smooth val="0"/>
        <c:axId val="194032815"/>
        <c:axId val="194033775"/>
      </c:lineChart>
      <c:dateAx>
        <c:axId val="1940328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3775"/>
        <c:crosses val="autoZero"/>
        <c:auto val="0"/>
        <c:lblOffset val="100"/>
        <c:baseTimeUnit val="months"/>
        <c:majorUnit val="3"/>
        <c:majorTimeUnit val="months"/>
      </c:dateAx>
      <c:valAx>
        <c:axId val="194033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2815"/>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Turnover</c:v>
          </c:tx>
          <c:spPr>
            <a:ln w="19050" cap="rnd">
              <a:solidFill>
                <a:schemeClr val="tx2">
                  <a:lumMod val="40000"/>
                  <a:lumOff val="60000"/>
                </a:schemeClr>
              </a:solidFill>
              <a:round/>
            </a:ln>
            <a:effectLst/>
          </c:spPr>
          <c:marker>
            <c:symbol val="diamond"/>
            <c:size val="8"/>
            <c:spPr>
              <a:solidFill>
                <a:schemeClr val="tx2"/>
              </a:solidFill>
              <a:ln w="9525">
                <a:noFill/>
              </a:ln>
              <a:effectLst/>
            </c:spPr>
          </c:marker>
          <c:dLbls>
            <c:delete val="1"/>
          </c:dLbls>
          <c:cat>
            <c:numRef>
              <c:f>'SBET QTR'!$S$13:$AH$13</c:f>
              <c:numCache>
                <c:formatCode>mmm\-yy</c:formatCode>
                <c:ptCount val="16"/>
                <c:pt idx="0">
                  <c:v>44286</c:v>
                </c:pt>
                <c:pt idx="1">
                  <c:v>44377</c:v>
                </c:pt>
                <c:pt idx="2">
                  <c:v>44469</c:v>
                </c:pt>
                <c:pt idx="3">
                  <c:v>44561</c:v>
                </c:pt>
                <c:pt idx="4">
                  <c:v>44651</c:v>
                </c:pt>
                <c:pt idx="5">
                  <c:v>44742</c:v>
                </c:pt>
                <c:pt idx="6">
                  <c:v>44834</c:v>
                </c:pt>
                <c:pt idx="7">
                  <c:v>44926</c:v>
                </c:pt>
                <c:pt idx="8">
                  <c:v>45016</c:v>
                </c:pt>
                <c:pt idx="9">
                  <c:v>45107</c:v>
                </c:pt>
                <c:pt idx="10">
                  <c:v>45199</c:v>
                </c:pt>
                <c:pt idx="11">
                  <c:v>45291</c:v>
                </c:pt>
                <c:pt idx="12">
                  <c:v>45382</c:v>
                </c:pt>
                <c:pt idx="13">
                  <c:v>45473</c:v>
                </c:pt>
                <c:pt idx="14">
                  <c:v>45565</c:v>
                </c:pt>
                <c:pt idx="15">
                  <c:v>45657</c:v>
                </c:pt>
              </c:numCache>
            </c:numRef>
          </c:cat>
          <c:val>
            <c:numRef>
              <c:f>'SBET QTR'!$S$16:$AH$16</c:f>
              <c:numCache>
                <c:formatCode>#,##0.0</c:formatCode>
                <c:ptCount val="16"/>
                <c:pt idx="0">
                  <c:v>3379.2050716943049</c:v>
                </c:pt>
                <c:pt idx="1">
                  <c:v>3561.3983946095123</c:v>
                </c:pt>
                <c:pt idx="2">
                  <c:v>4581.0702627666824</c:v>
                </c:pt>
                <c:pt idx="3">
                  <c:v>4562.728578864022</c:v>
                </c:pt>
                <c:pt idx="4">
                  <c:v>3386.8934774988388</c:v>
                </c:pt>
                <c:pt idx="5">
                  <c:v>3377.2182247146588</c:v>
                </c:pt>
                <c:pt idx="6">
                  <c:v>3376.7265089852449</c:v>
                </c:pt>
                <c:pt idx="7">
                  <c:v>3766.7404908044359</c:v>
                </c:pt>
                <c:pt idx="8">
                  <c:v>3142.8397266335724</c:v>
                </c:pt>
                <c:pt idx="9">
                  <c:v>2959.4013569028893</c:v>
                </c:pt>
                <c:pt idx="10">
                  <c:v>2927.6762848902326</c:v>
                </c:pt>
                <c:pt idx="11">
                  <c:v>3021</c:v>
                </c:pt>
                <c:pt idx="12">
                  <c:v>2546.2986555233579</c:v>
                </c:pt>
                <c:pt idx="13">
                  <c:v>2726</c:v>
                </c:pt>
                <c:pt idx="14">
                  <c:v>2684</c:v>
                </c:pt>
                <c:pt idx="15">
                  <c:v>2857</c:v>
                </c:pt>
              </c:numCache>
            </c:numRef>
          </c:val>
          <c:smooth val="0"/>
          <c:extLst>
            <c:ext xmlns:c16="http://schemas.microsoft.com/office/drawing/2014/chart" uri="{C3380CC4-5D6E-409C-BE32-E72D297353CC}">
              <c16:uniqueId val="{00000000-27EB-4DAF-B7BA-C3BEB5E6F1AD}"/>
            </c:ext>
          </c:extLst>
        </c:ser>
        <c:ser>
          <c:idx val="1"/>
          <c:order val="1"/>
          <c:tx>
            <c:v>Net Win</c:v>
          </c:tx>
          <c:spPr>
            <a:ln>
              <a:solidFill>
                <a:schemeClr val="accent1">
                  <a:lumMod val="40000"/>
                  <a:lumOff val="60000"/>
                </a:schemeClr>
              </a:solidFill>
            </a:ln>
          </c:spPr>
          <c:marker>
            <c:symbol val="diamond"/>
            <c:size val="8"/>
            <c:spPr>
              <a:solidFill>
                <a:schemeClr val="accent1"/>
              </a:solidFill>
              <a:ln>
                <a:noFill/>
              </a:ln>
            </c:spPr>
          </c:marker>
          <c:dLbls>
            <c:delete val="1"/>
          </c:dLbls>
          <c:val>
            <c:numRef>
              <c:f>'SBET QTR'!$S$19:$AH$19</c:f>
              <c:numCache>
                <c:formatCode>#,##0.0</c:formatCode>
                <c:ptCount val="16"/>
                <c:pt idx="0">
                  <c:v>384.78953211825478</c:v>
                </c:pt>
                <c:pt idx="1">
                  <c:v>428.97687389623076</c:v>
                </c:pt>
                <c:pt idx="2">
                  <c:v>513.39045349104651</c:v>
                </c:pt>
                <c:pt idx="3">
                  <c:v>454.57203254170588</c:v>
                </c:pt>
                <c:pt idx="4">
                  <c:v>390.05293003055976</c:v>
                </c:pt>
                <c:pt idx="5">
                  <c:v>404.45265309979453</c:v>
                </c:pt>
                <c:pt idx="6">
                  <c:v>373.89829571142826</c:v>
                </c:pt>
                <c:pt idx="7">
                  <c:v>389.23180766901595</c:v>
                </c:pt>
                <c:pt idx="8">
                  <c:v>350.50447552490709</c:v>
                </c:pt>
                <c:pt idx="9">
                  <c:v>389.47451855429995</c:v>
                </c:pt>
                <c:pt idx="10">
                  <c:v>331.83748503332509</c:v>
                </c:pt>
                <c:pt idx="11">
                  <c:v>375</c:v>
                </c:pt>
                <c:pt idx="12">
                  <c:v>328.83894234255899</c:v>
                </c:pt>
                <c:pt idx="13">
                  <c:v>349</c:v>
                </c:pt>
                <c:pt idx="14">
                  <c:v>371</c:v>
                </c:pt>
                <c:pt idx="15">
                  <c:v>346</c:v>
                </c:pt>
              </c:numCache>
            </c:numRef>
          </c:val>
          <c:smooth val="0"/>
          <c:extLst>
            <c:ext xmlns:c16="http://schemas.microsoft.com/office/drawing/2014/chart" uri="{C3380CC4-5D6E-409C-BE32-E72D297353CC}">
              <c16:uniqueId val="{00000001-27EB-4DAF-B7BA-C3BEB5E6F1AD}"/>
            </c:ext>
          </c:extLst>
        </c:ser>
        <c:dLbls>
          <c:dLblPos val="t"/>
          <c:showLegendKey val="0"/>
          <c:showVal val="1"/>
          <c:showCatName val="0"/>
          <c:showSerName val="0"/>
          <c:showPercent val="0"/>
          <c:showBubbleSize val="0"/>
        </c:dLbls>
        <c:marker val="1"/>
        <c:smooth val="0"/>
        <c:axId val="194032815"/>
        <c:axId val="194033775"/>
      </c:lineChart>
      <c:dateAx>
        <c:axId val="19403281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3775"/>
        <c:crosses val="autoZero"/>
        <c:auto val="0"/>
        <c:lblOffset val="100"/>
        <c:baseTimeUnit val="months"/>
        <c:majorUnit val="3"/>
        <c:majorTimeUnit val="months"/>
      </c:dateAx>
      <c:valAx>
        <c:axId val="194033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032815"/>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SBET!$D$18:$P$18</c:f>
              <c:strCache>
                <c:ptCount val="13"/>
                <c:pt idx="0">
                  <c:v>2H17</c:v>
                </c:pt>
                <c:pt idx="1">
                  <c:v>1H18</c:v>
                </c:pt>
                <c:pt idx="2">
                  <c:v>2H18</c:v>
                </c:pt>
                <c:pt idx="3">
                  <c:v>1H19</c:v>
                </c:pt>
                <c:pt idx="4">
                  <c:v>2H19</c:v>
                </c:pt>
                <c:pt idx="5">
                  <c:v>1H20</c:v>
                </c:pt>
                <c:pt idx="6">
                  <c:v>2H20</c:v>
                </c:pt>
                <c:pt idx="7">
                  <c:v>1H21</c:v>
                </c:pt>
                <c:pt idx="8">
                  <c:v>2H21</c:v>
                </c:pt>
                <c:pt idx="9">
                  <c:v>1H22</c:v>
                </c:pt>
                <c:pt idx="10">
                  <c:v>2H22</c:v>
                </c:pt>
                <c:pt idx="11">
                  <c:v>1H23</c:v>
                </c:pt>
                <c:pt idx="12">
                  <c:v>2H23</c:v>
                </c:pt>
              </c:strCache>
            </c:strRef>
          </c:cat>
          <c:val>
            <c:numRef>
              <c:f>SBET!$D$100:$P$100</c:f>
              <c:numCache>
                <c:formatCode>#,##0</c:formatCode>
                <c:ptCount val="13"/>
                <c:pt idx="0">
                  <c:v>-66.748562017757664</c:v>
                </c:pt>
                <c:pt idx="1">
                  <c:v>-71.028548012566617</c:v>
                </c:pt>
                <c:pt idx="2">
                  <c:v>-60.635742438023264</c:v>
                </c:pt>
                <c:pt idx="3">
                  <c:v>-85.796854661110629</c:v>
                </c:pt>
                <c:pt idx="4">
                  <c:v>-102.56847126975336</c:v>
                </c:pt>
                <c:pt idx="5">
                  <c:v>-125.08640103458275</c:v>
                </c:pt>
                <c:pt idx="6">
                  <c:v>-113.03848024405698</c:v>
                </c:pt>
                <c:pt idx="7">
                  <c:v>-126.45287372366761</c:v>
                </c:pt>
                <c:pt idx="8">
                  <c:v>-106.2192182678633</c:v>
                </c:pt>
                <c:pt idx="9">
                  <c:v>-111.76069664167572</c:v>
                </c:pt>
                <c:pt idx="10">
                  <c:v>-97.364205865333801</c:v>
                </c:pt>
                <c:pt idx="11">
                  <c:v>-140.25038977028657</c:v>
                </c:pt>
                <c:pt idx="12">
                  <c:v>-116.79323946825382</c:v>
                </c:pt>
              </c:numCache>
            </c:numRef>
          </c:val>
          <c:smooth val="0"/>
          <c:extLst>
            <c:ext xmlns:c16="http://schemas.microsoft.com/office/drawing/2014/chart" uri="{C3380CC4-5D6E-409C-BE32-E72D297353CC}">
              <c16:uniqueId val="{00000000-FCF8-4BEC-9C50-5C9445C83601}"/>
            </c:ext>
          </c:extLst>
        </c:ser>
        <c:dLbls>
          <c:showLegendKey val="0"/>
          <c:showVal val="0"/>
          <c:showCatName val="0"/>
          <c:showSerName val="0"/>
          <c:showPercent val="0"/>
          <c:showBubbleSize val="0"/>
        </c:dLbls>
        <c:smooth val="0"/>
        <c:axId val="576123711"/>
        <c:axId val="576124671"/>
      </c:lineChart>
      <c:catAx>
        <c:axId val="57612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24671"/>
        <c:crosses val="autoZero"/>
        <c:auto val="1"/>
        <c:lblAlgn val="ctr"/>
        <c:lblOffset val="100"/>
        <c:noMultiLvlLbl val="0"/>
      </c:catAx>
      <c:valAx>
        <c:axId val="576124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2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'BBET + BetR'!$AA$10</c:f>
              <c:strCache>
                <c:ptCount val="1"/>
                <c:pt idx="0">
                  <c:v>4Q23</c:v>
                </c:pt>
              </c:strCache>
            </c:strRef>
          </c:tx>
          <c:spPr>
            <a:solidFill>
              <a:schemeClr val="bg2">
                <a:lumMod val="40000"/>
                <a:lumOff val="60000"/>
              </a:schemeClr>
            </a:solidFill>
            <a:ln>
              <a:noFill/>
            </a:ln>
            <a:effectLst/>
          </c:spPr>
          <c:invertIfNegative val="0"/>
          <c:cat>
            <c:strRef>
              <c:f>'BBET + BetR'!$B$67:$B$70</c:f>
              <c:strCache>
                <c:ptCount val="4"/>
                <c:pt idx="0">
                  <c:v>Thouroughbred</c:v>
                </c:pt>
                <c:pt idx="1">
                  <c:v>Greyhound</c:v>
                </c:pt>
                <c:pt idx="2">
                  <c:v>Harness</c:v>
                </c:pt>
                <c:pt idx="3">
                  <c:v>Sport</c:v>
                </c:pt>
              </c:strCache>
            </c:strRef>
          </c:cat>
          <c:val>
            <c:numRef>
              <c:f>'BBET + BetR'!$AA$67:$AA$70</c:f>
              <c:numCache>
                <c:formatCode>0.0%</c:formatCode>
                <c:ptCount val="4"/>
                <c:pt idx="0">
                  <c:v>5.050505050505194E-3</c:v>
                </c:pt>
                <c:pt idx="1">
                  <c:v>-9.1743119266056716E-3</c:v>
                </c:pt>
                <c:pt idx="2">
                  <c:v>-9.0090090090090058E-2</c:v>
                </c:pt>
                <c:pt idx="3">
                  <c:v>0.25531914893617014</c:v>
                </c:pt>
              </c:numCache>
            </c:numRef>
          </c:val>
          <c:extLst>
            <c:ext xmlns:c16="http://schemas.microsoft.com/office/drawing/2014/chart" uri="{C3380CC4-5D6E-409C-BE32-E72D297353CC}">
              <c16:uniqueId val="{00000005-5A90-486E-8ED5-C4F53E847E73}"/>
            </c:ext>
          </c:extLst>
        </c:ser>
        <c:ser>
          <c:idx val="1"/>
          <c:order val="1"/>
          <c:tx>
            <c:strRef>
              <c:f>'BBET + BetR'!$AB$10</c:f>
              <c:strCache>
                <c:ptCount val="1"/>
                <c:pt idx="0">
                  <c:v>1Q24</c:v>
                </c:pt>
              </c:strCache>
            </c:strRef>
          </c:tx>
          <c:spPr>
            <a:solidFill>
              <a:schemeClr val="bg2">
                <a:lumMod val="60000"/>
                <a:lumOff val="40000"/>
              </a:schemeClr>
            </a:solidFill>
            <a:ln>
              <a:noFill/>
            </a:ln>
            <a:effectLst/>
          </c:spPr>
          <c:invertIfNegative val="0"/>
          <c:cat>
            <c:strRef>
              <c:f>'BBET + BetR'!$B$67:$B$70</c:f>
              <c:strCache>
                <c:ptCount val="4"/>
                <c:pt idx="0">
                  <c:v>Thouroughbred</c:v>
                </c:pt>
                <c:pt idx="1">
                  <c:v>Greyhound</c:v>
                </c:pt>
                <c:pt idx="2">
                  <c:v>Harness</c:v>
                </c:pt>
                <c:pt idx="3">
                  <c:v>Sport</c:v>
                </c:pt>
              </c:strCache>
            </c:strRef>
          </c:cat>
          <c:val>
            <c:numRef>
              <c:f>'BBET + BetR'!$AB$67:$AB$70</c:f>
              <c:numCache>
                <c:formatCode>0.0%</c:formatCode>
                <c:ptCount val="4"/>
                <c:pt idx="0">
                  <c:v>5.2215189873417778E-2</c:v>
                </c:pt>
                <c:pt idx="1">
                  <c:v>-2.4657534246575352E-2</c:v>
                </c:pt>
                <c:pt idx="2">
                  <c:v>-0.16153846153846152</c:v>
                </c:pt>
                <c:pt idx="3">
                  <c:v>0.53731343283582067</c:v>
                </c:pt>
              </c:numCache>
            </c:numRef>
          </c:val>
          <c:extLst>
            <c:ext xmlns:c16="http://schemas.microsoft.com/office/drawing/2014/chart" uri="{C3380CC4-5D6E-409C-BE32-E72D297353CC}">
              <c16:uniqueId val="{00000007-5A90-486E-8ED5-C4F53E847E73}"/>
            </c:ext>
          </c:extLst>
        </c:ser>
        <c:ser>
          <c:idx val="2"/>
          <c:order val="2"/>
          <c:tx>
            <c:strRef>
              <c:f>'BBET + BetR'!$AC$10</c:f>
              <c:strCache>
                <c:ptCount val="1"/>
                <c:pt idx="0">
                  <c:v>2Q24</c:v>
                </c:pt>
              </c:strCache>
            </c:strRef>
          </c:tx>
          <c:spPr>
            <a:solidFill>
              <a:schemeClr val="bg2"/>
            </a:solidFill>
            <a:ln>
              <a:noFill/>
            </a:ln>
            <a:effectLst/>
          </c:spPr>
          <c:invertIfNegative val="0"/>
          <c:cat>
            <c:strRef>
              <c:f>'BBET + BetR'!$B$67:$B$70</c:f>
              <c:strCache>
                <c:ptCount val="4"/>
                <c:pt idx="0">
                  <c:v>Thouroughbred</c:v>
                </c:pt>
                <c:pt idx="1">
                  <c:v>Greyhound</c:v>
                </c:pt>
                <c:pt idx="2">
                  <c:v>Harness</c:v>
                </c:pt>
                <c:pt idx="3">
                  <c:v>Sport</c:v>
                </c:pt>
              </c:strCache>
            </c:strRef>
          </c:cat>
          <c:val>
            <c:numRef>
              <c:f>'BBET + BetR'!$AC$67:$AC$70</c:f>
              <c:numCache>
                <c:formatCode>0.0%</c:formatCode>
                <c:ptCount val="4"/>
                <c:pt idx="0">
                  <c:v>3.7313432835819338E-3</c:v>
                </c:pt>
                <c:pt idx="1">
                  <c:v>5.3571428571428381E-2</c:v>
                </c:pt>
                <c:pt idx="2">
                  <c:v>0</c:v>
                </c:pt>
                <c:pt idx="3">
                  <c:v>0.30769230769230771</c:v>
                </c:pt>
              </c:numCache>
            </c:numRef>
          </c:val>
          <c:extLst>
            <c:ext xmlns:c16="http://schemas.microsoft.com/office/drawing/2014/chart" uri="{C3380CC4-5D6E-409C-BE32-E72D297353CC}">
              <c16:uniqueId val="{00000009-5A90-486E-8ED5-C4F53E847E73}"/>
            </c:ext>
          </c:extLst>
        </c:ser>
        <c:ser>
          <c:idx val="3"/>
          <c:order val="3"/>
          <c:tx>
            <c:strRef>
              <c:f>'BBET + BetR'!$AD$10</c:f>
              <c:strCache>
                <c:ptCount val="1"/>
                <c:pt idx="0">
                  <c:v>3Q24</c:v>
                </c:pt>
              </c:strCache>
            </c:strRef>
          </c:tx>
          <c:spPr>
            <a:solidFill>
              <a:schemeClr val="tx2"/>
            </a:solidFill>
            <a:ln>
              <a:noFill/>
            </a:ln>
            <a:effectLst/>
          </c:spPr>
          <c:invertIfNegative val="0"/>
          <c:cat>
            <c:strRef>
              <c:f>'BBET + BetR'!$B$67:$B$70</c:f>
              <c:strCache>
                <c:ptCount val="4"/>
                <c:pt idx="0">
                  <c:v>Thouroughbred</c:v>
                </c:pt>
                <c:pt idx="1">
                  <c:v>Greyhound</c:v>
                </c:pt>
                <c:pt idx="2">
                  <c:v>Harness</c:v>
                </c:pt>
                <c:pt idx="3">
                  <c:v>Sport</c:v>
                </c:pt>
              </c:strCache>
            </c:strRef>
          </c:cat>
          <c:val>
            <c:numRef>
              <c:f>'BBET + BetR'!$AD$67:$AD$70</c:f>
              <c:numCache>
                <c:formatCode>0.0%</c:formatCode>
                <c:ptCount val="4"/>
                <c:pt idx="0">
                  <c:v>6.3621533442088207E-2</c:v>
                </c:pt>
                <c:pt idx="1">
                  <c:v>0.22222222222222232</c:v>
                </c:pt>
                <c:pt idx="2">
                  <c:v>-1.0869565217391242E-2</c:v>
                </c:pt>
                <c:pt idx="3">
                  <c:v>0.49537037037037024</c:v>
                </c:pt>
              </c:numCache>
            </c:numRef>
          </c:val>
          <c:extLst>
            <c:ext xmlns:c16="http://schemas.microsoft.com/office/drawing/2014/chart" uri="{C3380CC4-5D6E-409C-BE32-E72D297353CC}">
              <c16:uniqueId val="{0000000B-5A90-486E-8ED5-C4F53E847E73}"/>
            </c:ext>
          </c:extLst>
        </c:ser>
        <c:dLbls>
          <c:showLegendKey val="0"/>
          <c:showVal val="0"/>
          <c:showCatName val="0"/>
          <c:showSerName val="0"/>
          <c:showPercent val="0"/>
          <c:showBubbleSize val="0"/>
        </c:dLbls>
        <c:gapWidth val="219"/>
        <c:overlap val="-27"/>
        <c:axId val="2129809839"/>
        <c:axId val="2129810799"/>
      </c:barChart>
      <c:catAx>
        <c:axId val="2129809839"/>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9810799"/>
        <c:crosses val="autoZero"/>
        <c:auto val="1"/>
        <c:lblAlgn val="ctr"/>
        <c:lblOffset val="100"/>
        <c:noMultiLvlLbl val="0"/>
      </c:catAx>
      <c:valAx>
        <c:axId val="2129810799"/>
        <c:scaling>
          <c:orientation val="minMax"/>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2980983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900">
          <a:solidFill>
            <a:sysClr val="windowText" lastClr="000000"/>
          </a:solidFill>
        </a:defRPr>
      </a:pPr>
      <a:endParaRPr lang="en-US"/>
    </a:p>
  </c:txPr>
  <c:printSettings>
    <c:headerFooter/>
    <c:pageMargins b="0.75" l="0.7" r="0.7" t="0.75" header="0.3" footer="0.3"/>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3"/>
          <c:order val="0"/>
          <c:tx>
            <c:strRef>
              <c:f>Profitability!$C$33</c:f>
              <c:strCache>
                <c:ptCount val="1"/>
                <c:pt idx="0">
                  <c:v>EBITDA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Profitability!$E$2:$F$2</c:f>
              <c:strCache>
                <c:ptCount val="2"/>
                <c:pt idx="0">
                  <c:v>Sportsbet</c:v>
                </c:pt>
                <c:pt idx="1">
                  <c:v>PointsBet</c:v>
                </c:pt>
              </c:strCache>
            </c:strRef>
          </c:cat>
          <c:val>
            <c:numRef>
              <c:f>Profitability!$E$33:$F$33</c:f>
              <c:numCache>
                <c:formatCode>0.0%</c:formatCode>
                <c:ptCount val="2"/>
                <c:pt idx="0">
                  <c:v>0.23087385555258069</c:v>
                </c:pt>
                <c:pt idx="1">
                  <c:v>0.12671394799054375</c:v>
                </c:pt>
              </c:numCache>
            </c:numRef>
          </c:val>
          <c:extLst>
            <c:ext xmlns:c16="http://schemas.microsoft.com/office/drawing/2014/chart" uri="{C3380CC4-5D6E-409C-BE32-E72D297353CC}">
              <c16:uniqueId val="{00000005-F493-43DA-8265-F52652DDB54A}"/>
            </c:ext>
          </c:extLst>
        </c:ser>
        <c:ser>
          <c:idx val="1"/>
          <c:order val="1"/>
          <c:tx>
            <c:strRef>
              <c:f>Profitability!$C$31</c:f>
              <c:strCache>
                <c:ptCount val="1"/>
                <c:pt idx="0">
                  <c:v>Marketing</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Profitability!$E$2:$F$2</c:f>
              <c:strCache>
                <c:ptCount val="2"/>
                <c:pt idx="0">
                  <c:v>Sportsbet</c:v>
                </c:pt>
                <c:pt idx="1">
                  <c:v>PointsBet</c:v>
                </c:pt>
              </c:strCache>
            </c:strRef>
          </c:cat>
          <c:val>
            <c:numRef>
              <c:f>Profitability!$E$31:$F$31</c:f>
              <c:numCache>
                <c:formatCode>0.0%</c:formatCode>
                <c:ptCount val="2"/>
                <c:pt idx="0">
                  <c:v>0.15834258081155195</c:v>
                </c:pt>
                <c:pt idx="1">
                  <c:v>0.21371158392434988</c:v>
                </c:pt>
              </c:numCache>
            </c:numRef>
          </c:val>
          <c:extLst>
            <c:ext xmlns:c16="http://schemas.microsoft.com/office/drawing/2014/chart" uri="{C3380CC4-5D6E-409C-BE32-E72D297353CC}">
              <c16:uniqueId val="{00000001-F493-43DA-8265-F52652DDB54A}"/>
            </c:ext>
          </c:extLst>
        </c:ser>
        <c:ser>
          <c:idx val="2"/>
          <c:order val="2"/>
          <c:tx>
            <c:strRef>
              <c:f>Profitability!$C$32</c:f>
              <c:strCache>
                <c:ptCount val="1"/>
                <c:pt idx="0">
                  <c:v>Other Opex</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Profitability!$E$2:$F$2</c:f>
              <c:strCache>
                <c:ptCount val="2"/>
                <c:pt idx="0">
                  <c:v>Sportsbet</c:v>
                </c:pt>
                <c:pt idx="1">
                  <c:v>PointsBet</c:v>
                </c:pt>
              </c:strCache>
            </c:strRef>
          </c:cat>
          <c:val>
            <c:numRef>
              <c:f>Profitability!$E$32:$F$32</c:f>
              <c:numCache>
                <c:formatCode>0.0%</c:formatCode>
                <c:ptCount val="2"/>
                <c:pt idx="0">
                  <c:v>7.3004130513744395E-2</c:v>
                </c:pt>
                <c:pt idx="1">
                  <c:v>0.18817966903073285</c:v>
                </c:pt>
              </c:numCache>
            </c:numRef>
          </c:val>
          <c:extLst>
            <c:ext xmlns:c16="http://schemas.microsoft.com/office/drawing/2014/chart" uri="{C3380CC4-5D6E-409C-BE32-E72D297353CC}">
              <c16:uniqueId val="{00000004-F493-43DA-8265-F52652DDB54A}"/>
            </c:ext>
          </c:extLst>
        </c:ser>
        <c:ser>
          <c:idx val="0"/>
          <c:order val="3"/>
          <c:tx>
            <c:strRef>
              <c:f>Profitability!$C$30</c:f>
              <c:strCache>
                <c:ptCount val="1"/>
                <c:pt idx="0">
                  <c:v>COGS</c:v>
                </c:pt>
              </c:strCache>
            </c:strRef>
          </c:tx>
          <c:spPr>
            <a:solidFill>
              <a:schemeClr val="bg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Profitability!$E$2:$F$2</c:f>
              <c:strCache>
                <c:ptCount val="2"/>
                <c:pt idx="0">
                  <c:v>Sportsbet</c:v>
                </c:pt>
                <c:pt idx="1">
                  <c:v>PointsBet</c:v>
                </c:pt>
              </c:strCache>
            </c:strRef>
          </c:cat>
          <c:val>
            <c:numRef>
              <c:f>Profitability!$E$30:$F$30</c:f>
              <c:numCache>
                <c:formatCode>0.0%</c:formatCode>
                <c:ptCount val="2"/>
                <c:pt idx="0">
                  <c:v>0.53777943312212395</c:v>
                </c:pt>
                <c:pt idx="1">
                  <c:v>0.47139479905437354</c:v>
                </c:pt>
              </c:numCache>
            </c:numRef>
          </c:val>
          <c:extLst>
            <c:ext xmlns:c16="http://schemas.microsoft.com/office/drawing/2014/chart" uri="{C3380CC4-5D6E-409C-BE32-E72D297353CC}">
              <c16:uniqueId val="{00000000-F493-43DA-8265-F52652DDB54A}"/>
            </c:ext>
          </c:extLst>
        </c:ser>
        <c:dLbls>
          <c:dLblPos val="ctr"/>
          <c:showLegendKey val="0"/>
          <c:showVal val="1"/>
          <c:showCatName val="0"/>
          <c:showSerName val="0"/>
          <c:showPercent val="0"/>
          <c:showBubbleSize val="0"/>
        </c:dLbls>
        <c:gapWidth val="150"/>
        <c:overlap val="100"/>
        <c:axId val="448570320"/>
        <c:axId val="448569840"/>
      </c:barChart>
      <c:catAx>
        <c:axId val="44857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48569840"/>
        <c:crosses val="autoZero"/>
        <c:auto val="1"/>
        <c:lblAlgn val="ctr"/>
        <c:lblOffset val="100"/>
        <c:noMultiLvlLbl val="0"/>
      </c:catAx>
      <c:valAx>
        <c:axId val="448569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48570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Profitability!$E$2</c:f>
              <c:strCache>
                <c:ptCount val="1"/>
                <c:pt idx="0">
                  <c:v>Sportsbet</c:v>
                </c:pt>
              </c:strCache>
            </c:strRef>
          </c:tx>
          <c:spPr>
            <a:solidFill>
              <a:schemeClr val="tx2"/>
            </a:solidFill>
            <a:ln>
              <a:noFill/>
            </a:ln>
            <a:effectLst/>
          </c:spPr>
          <c:invertIfNegative val="0"/>
          <c:cat>
            <c:strRef>
              <c:f>Profitability!$C$37:$C$42</c:f>
              <c:strCache>
                <c:ptCount val="6"/>
                <c:pt idx="0">
                  <c:v>Revenue</c:v>
                </c:pt>
                <c:pt idx="1">
                  <c:v>COGS</c:v>
                </c:pt>
                <c:pt idx="2">
                  <c:v>Gross Profit</c:v>
                </c:pt>
                <c:pt idx="3">
                  <c:v>Marketing</c:v>
                </c:pt>
                <c:pt idx="4">
                  <c:v>Other Opex</c:v>
                </c:pt>
                <c:pt idx="5">
                  <c:v>EBITDA</c:v>
                </c:pt>
              </c:strCache>
            </c:strRef>
          </c:cat>
          <c:val>
            <c:numRef>
              <c:f>Profitability!$E$37:$E$42</c:f>
              <c:numCache>
                <c:formatCode>#,##0.0</c:formatCode>
                <c:ptCount val="6"/>
                <c:pt idx="0">
                  <c:v>2112.168100020745</c:v>
                </c:pt>
                <c:pt idx="1">
                  <c:v>1135.8805634877899</c:v>
                </c:pt>
                <c:pt idx="2">
                  <c:v>976.28753653295507</c:v>
                </c:pt>
                <c:pt idx="3">
                  <c:v>334.44614806511697</c:v>
                </c:pt>
                <c:pt idx="4">
                  <c:v>154.19699564088199</c:v>
                </c:pt>
                <c:pt idx="5">
                  <c:v>487.64439282695827</c:v>
                </c:pt>
              </c:numCache>
            </c:numRef>
          </c:val>
          <c:extLst>
            <c:ext xmlns:c16="http://schemas.microsoft.com/office/drawing/2014/chart" uri="{C3380CC4-5D6E-409C-BE32-E72D297353CC}">
              <c16:uniqueId val="{00000000-5CD0-41FB-8EB5-080BE765CEC9}"/>
            </c:ext>
          </c:extLst>
        </c:ser>
        <c:ser>
          <c:idx val="1"/>
          <c:order val="1"/>
          <c:tx>
            <c:strRef>
              <c:f>Profitability!$F$2</c:f>
              <c:strCache>
                <c:ptCount val="1"/>
                <c:pt idx="0">
                  <c:v>PointsBet</c:v>
                </c:pt>
              </c:strCache>
            </c:strRef>
          </c:tx>
          <c:spPr>
            <a:solidFill>
              <a:schemeClr val="bg2">
                <a:lumMod val="60000"/>
                <a:lumOff val="40000"/>
              </a:schemeClr>
            </a:solidFill>
            <a:ln>
              <a:noFill/>
            </a:ln>
            <a:effectLst/>
          </c:spPr>
          <c:invertIfNegative val="0"/>
          <c:cat>
            <c:strRef>
              <c:f>Profitability!$C$37:$C$42</c:f>
              <c:strCache>
                <c:ptCount val="6"/>
                <c:pt idx="0">
                  <c:v>Revenue</c:v>
                </c:pt>
                <c:pt idx="1">
                  <c:v>COGS</c:v>
                </c:pt>
                <c:pt idx="2">
                  <c:v>Gross Profit</c:v>
                </c:pt>
                <c:pt idx="3">
                  <c:v>Marketing</c:v>
                </c:pt>
                <c:pt idx="4">
                  <c:v>Other Opex</c:v>
                </c:pt>
                <c:pt idx="5">
                  <c:v>EBITDA</c:v>
                </c:pt>
              </c:strCache>
            </c:strRef>
          </c:cat>
          <c:val>
            <c:numRef>
              <c:f>Profitability!$F$37:$F$42</c:f>
              <c:numCache>
                <c:formatCode>#,##0.0</c:formatCode>
                <c:ptCount val="6"/>
                <c:pt idx="0">
                  <c:v>211.5</c:v>
                </c:pt>
                <c:pt idx="1">
                  <c:v>99.7</c:v>
                </c:pt>
                <c:pt idx="2">
                  <c:v>111.8</c:v>
                </c:pt>
                <c:pt idx="3">
                  <c:v>45.2</c:v>
                </c:pt>
                <c:pt idx="4">
                  <c:v>39.799999999999997</c:v>
                </c:pt>
                <c:pt idx="5">
                  <c:v>26.8</c:v>
                </c:pt>
              </c:numCache>
            </c:numRef>
          </c:val>
          <c:extLst>
            <c:ext xmlns:c16="http://schemas.microsoft.com/office/drawing/2014/chart" uri="{C3380CC4-5D6E-409C-BE32-E72D297353CC}">
              <c16:uniqueId val="{00000001-5CD0-41FB-8EB5-080BE765CEC9}"/>
            </c:ext>
          </c:extLst>
        </c:ser>
        <c:dLbls>
          <c:showLegendKey val="0"/>
          <c:showVal val="0"/>
          <c:showCatName val="0"/>
          <c:showSerName val="0"/>
          <c:showPercent val="0"/>
          <c:showBubbleSize val="0"/>
        </c:dLbls>
        <c:gapWidth val="219"/>
        <c:axId val="747629424"/>
        <c:axId val="747623184"/>
      </c:barChart>
      <c:lineChart>
        <c:grouping val="standard"/>
        <c:varyColors val="0"/>
        <c:ser>
          <c:idx val="2"/>
          <c:order val="2"/>
          <c:tx>
            <c:v>Multiple (RHS)</c:v>
          </c:tx>
          <c:spPr>
            <a:ln w="28575" cap="rnd">
              <a:noFill/>
              <a:round/>
            </a:ln>
            <a:effectLst/>
          </c:spPr>
          <c:marker>
            <c:symbol val="diamond"/>
            <c:size val="13"/>
            <c:spPr>
              <a:solidFill>
                <a:schemeClr val="accent1"/>
              </a:solidFill>
              <a:ln w="19050">
                <a:solidFill>
                  <a:srgbClr val="00B0F0"/>
                </a:solidFill>
              </a:ln>
              <a:effectLst/>
            </c:spPr>
          </c:marker>
          <c:cat>
            <c:strRef>
              <c:f>Profitability!$C$37:$C$42</c:f>
              <c:strCache>
                <c:ptCount val="6"/>
                <c:pt idx="0">
                  <c:v>Revenue</c:v>
                </c:pt>
                <c:pt idx="1">
                  <c:v>COGS</c:v>
                </c:pt>
                <c:pt idx="2">
                  <c:v>Gross Profit</c:v>
                </c:pt>
                <c:pt idx="3">
                  <c:v>Marketing</c:v>
                </c:pt>
                <c:pt idx="4">
                  <c:v>Other Opex</c:v>
                </c:pt>
                <c:pt idx="5">
                  <c:v>EBITDA</c:v>
                </c:pt>
              </c:strCache>
            </c:strRef>
          </c:cat>
          <c:val>
            <c:numRef>
              <c:f>Profitability!$H$37:$H$42</c:f>
              <c:numCache>
                <c:formatCode>#,##0.0</c:formatCode>
                <c:ptCount val="6"/>
                <c:pt idx="0">
                  <c:v>9.9866104019893385</c:v>
                </c:pt>
                <c:pt idx="1">
                  <c:v>11.392984588643831</c:v>
                </c:pt>
                <c:pt idx="2">
                  <c:v>8.732446659507648</c:v>
                </c:pt>
                <c:pt idx="3">
                  <c:v>7.3992510633875428</c:v>
                </c:pt>
                <c:pt idx="4">
                  <c:v>3.8742963728864823</c:v>
                </c:pt>
                <c:pt idx="5">
                  <c:v>18.195686299513369</c:v>
                </c:pt>
              </c:numCache>
            </c:numRef>
          </c:val>
          <c:smooth val="0"/>
          <c:extLst>
            <c:ext xmlns:c16="http://schemas.microsoft.com/office/drawing/2014/chart" uri="{C3380CC4-5D6E-409C-BE32-E72D297353CC}">
              <c16:uniqueId val="{00000006-5CD0-41FB-8EB5-080BE765CEC9}"/>
            </c:ext>
          </c:extLst>
        </c:ser>
        <c:dLbls>
          <c:showLegendKey val="0"/>
          <c:showVal val="0"/>
          <c:showCatName val="0"/>
          <c:showSerName val="0"/>
          <c:showPercent val="0"/>
          <c:showBubbleSize val="0"/>
        </c:dLbls>
        <c:marker val="1"/>
        <c:smooth val="0"/>
        <c:axId val="772143136"/>
        <c:axId val="772152256"/>
      </c:lineChart>
      <c:catAx>
        <c:axId val="74762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47623184"/>
        <c:crosses val="autoZero"/>
        <c:auto val="1"/>
        <c:lblAlgn val="ctr"/>
        <c:lblOffset val="100"/>
        <c:noMultiLvlLbl val="0"/>
      </c:catAx>
      <c:valAx>
        <c:axId val="747623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47629424"/>
        <c:crosses val="autoZero"/>
        <c:crossBetween val="between"/>
      </c:valAx>
      <c:valAx>
        <c:axId val="772152256"/>
        <c:scaling>
          <c:orientation val="minMax"/>
        </c:scaling>
        <c:delete val="0"/>
        <c:axPos val="r"/>
        <c:numFmt formatCode="#,##0\x;;\-"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72143136"/>
        <c:crosses val="max"/>
        <c:crossBetween val="between"/>
      </c:valAx>
      <c:catAx>
        <c:axId val="772143136"/>
        <c:scaling>
          <c:orientation val="minMax"/>
        </c:scaling>
        <c:delete val="1"/>
        <c:axPos val="b"/>
        <c:numFmt formatCode="General" sourceLinked="1"/>
        <c:majorTickMark val="out"/>
        <c:minorTickMark val="none"/>
        <c:tickLblPos val="nextTo"/>
        <c:crossAx val="772152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Digital</c:v>
          </c:tx>
          <c:spPr>
            <a:solidFill>
              <a:schemeClr val="tx2"/>
            </a:solidFill>
            <a:ln>
              <a:noFill/>
            </a:ln>
            <a:effectLst/>
          </c:spPr>
          <c:invertIfNegative val="0"/>
          <c:cat>
            <c:strRef>
              <c:extLst>
                <c:ext xmlns:c15="http://schemas.microsoft.com/office/drawing/2012/chart" uri="{02D57815-91ED-43cb-92C2-25804820EDAC}">
                  <c15:fullRef>
                    <c15:sqref>MERGER!$C$27:$C$32</c15:sqref>
                  </c15:fullRef>
                </c:ext>
              </c:extLst>
              <c:f>(MERGER!$C$27:$C$28,MERGER!$C$31:$C$32)</c:f>
              <c:strCache>
                <c:ptCount val="4"/>
                <c:pt idx="0">
                  <c:v>Tabcorp</c:v>
                </c:pt>
                <c:pt idx="1">
                  <c:v>SportsBet</c:v>
                </c:pt>
                <c:pt idx="2">
                  <c:v>PointsBet</c:v>
                </c:pt>
                <c:pt idx="3">
                  <c:v>BlueBet</c:v>
                </c:pt>
              </c:strCache>
            </c:strRef>
          </c:cat>
          <c:val>
            <c:numRef>
              <c:extLst>
                <c:ext xmlns:c15="http://schemas.microsoft.com/office/drawing/2012/chart" uri="{02D57815-91ED-43cb-92C2-25804820EDAC}">
                  <c15:fullRef>
                    <c15:sqref>MERGER!$E$27:$E$32</c15:sqref>
                  </c15:fullRef>
                </c:ext>
              </c:extLst>
              <c:f>(MERGER!$E$27:$E$28,MERGER!$E$31:$E$32)</c:f>
              <c:numCache>
                <c:formatCode>#,##0</c:formatCode>
                <c:ptCount val="4"/>
                <c:pt idx="0">
                  <c:v>4731.2</c:v>
                </c:pt>
                <c:pt idx="1">
                  <c:v>9099.9404926255283</c:v>
                </c:pt>
                <c:pt idx="2">
                  <c:v>1468.5</c:v>
                </c:pt>
                <c:pt idx="3">
                  <c:v>298.70000000000005</c:v>
                </c:pt>
              </c:numCache>
            </c:numRef>
          </c:val>
          <c:extLst>
            <c:ext xmlns:c16="http://schemas.microsoft.com/office/drawing/2014/chart" uri="{C3380CC4-5D6E-409C-BE32-E72D297353CC}">
              <c16:uniqueId val="{00000004-75A3-4344-9FF8-E71B8813F930}"/>
            </c:ext>
          </c:extLst>
        </c:ser>
        <c:ser>
          <c:idx val="0"/>
          <c:order val="1"/>
          <c:tx>
            <c:v>Retail</c:v>
          </c:tx>
          <c:spPr>
            <a:solidFill>
              <a:schemeClr val="bg1">
                <a:lumMod val="65000"/>
              </a:schemeClr>
            </a:solidFill>
            <a:ln>
              <a:noFill/>
            </a:ln>
            <a:effectLst/>
          </c:spPr>
          <c:invertIfNegative val="0"/>
          <c:dPt>
            <c:idx val="2"/>
            <c:invertIfNegative val="0"/>
            <c:bubble3D val="0"/>
            <c:extLst>
              <c:ext xmlns:c16="http://schemas.microsoft.com/office/drawing/2014/chart" uri="{C3380CC4-5D6E-409C-BE32-E72D297353CC}">
                <c16:uniqueId val="{00000007-75A3-4344-9FF8-E71B8813F930}"/>
              </c:ext>
            </c:extLst>
          </c:dPt>
          <c:cat>
            <c:strRef>
              <c:extLst>
                <c:ext xmlns:c15="http://schemas.microsoft.com/office/drawing/2012/chart" uri="{02D57815-91ED-43cb-92C2-25804820EDAC}">
                  <c15:fullRef>
                    <c15:sqref>MERGER!$C$27:$C$32</c15:sqref>
                  </c15:fullRef>
                </c:ext>
              </c:extLst>
              <c:f>(MERGER!$C$27:$C$28,MERGER!$C$31:$C$32)</c:f>
              <c:strCache>
                <c:ptCount val="4"/>
                <c:pt idx="0">
                  <c:v>Tabcorp</c:v>
                </c:pt>
                <c:pt idx="1">
                  <c:v>SportsBet</c:v>
                </c:pt>
                <c:pt idx="2">
                  <c:v>PointsBet</c:v>
                </c:pt>
                <c:pt idx="3">
                  <c:v>BlueBet</c:v>
                </c:pt>
              </c:strCache>
            </c:strRef>
          </c:cat>
          <c:val>
            <c:numRef>
              <c:extLst>
                <c:ext xmlns:c15="http://schemas.microsoft.com/office/drawing/2012/chart" uri="{02D57815-91ED-43cb-92C2-25804820EDAC}">
                  <c15:fullRef>
                    <c15:sqref>MERGER!$D$27:$D$32</c15:sqref>
                  </c15:fullRef>
                </c:ext>
              </c:extLst>
              <c:f>(MERGER!$D$27:$D$28,MERGER!$D$31:$D$32)</c:f>
              <c:numCache>
                <c:formatCode>General</c:formatCode>
                <c:ptCount val="4"/>
                <c:pt idx="0" formatCode="#,##0">
                  <c:v>2732.4</c:v>
                </c:pt>
              </c:numCache>
            </c:numRef>
          </c:val>
          <c:extLst>
            <c:ext xmlns:c16="http://schemas.microsoft.com/office/drawing/2014/chart" uri="{C3380CC4-5D6E-409C-BE32-E72D297353CC}">
              <c16:uniqueId val="{00000008-75A3-4344-9FF8-E71B8813F930}"/>
            </c:ext>
          </c:extLst>
        </c:ser>
        <c:ser>
          <c:idx val="2"/>
          <c:order val="2"/>
          <c:tx>
            <c:v>BetR Acquisition</c:v>
          </c:tx>
          <c:spPr>
            <a:solidFill>
              <a:schemeClr val="accent5"/>
            </a:solidFill>
          </c:spPr>
          <c:invertIfNegative val="0"/>
          <c:dPt>
            <c:idx val="3"/>
            <c:invertIfNegative val="0"/>
            <c:bubble3D val="0"/>
            <c:spPr>
              <a:solidFill>
                <a:schemeClr val="accent5"/>
              </a:solidFill>
              <a:ln>
                <a:noFill/>
              </a:ln>
              <a:effectLst/>
            </c:spPr>
            <c:extLst>
              <c:ext xmlns:c16="http://schemas.microsoft.com/office/drawing/2014/chart" uri="{C3380CC4-5D6E-409C-BE32-E72D297353CC}">
                <c16:uniqueId val="{00000003-377A-4519-9477-FE4EF7ECA8F7}"/>
              </c:ext>
            </c:extLst>
          </c:dPt>
          <c:cat>
            <c:strLit>
              <c:ptCount val="4"/>
              <c:pt idx="0">
                <c:v>Tabcorp</c:v>
              </c:pt>
              <c:pt idx="1">
                <c:v>SportsBet</c:v>
              </c:pt>
              <c:pt idx="2">
                <c:v>PointsBet</c:v>
              </c:pt>
              <c:pt idx="3">
                <c:v>BlueBet</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MERGER!$F$27:$F$33</c15:sqref>
                  </c15:fullRef>
                </c:ext>
              </c:extLst>
              <c:f>(MERGER!$F$27:$F$28,MERGER!$F$31:$F$32)</c:f>
              <c:numCache>
                <c:formatCode>General</c:formatCode>
                <c:ptCount val="4"/>
                <c:pt idx="3" formatCode="#,##0">
                  <c:v>673.2</c:v>
                </c:pt>
              </c:numCache>
            </c:numRef>
          </c:val>
          <c:extLst>
            <c:ext xmlns:c16="http://schemas.microsoft.com/office/drawing/2014/chart" uri="{C3380CC4-5D6E-409C-BE32-E72D297353CC}">
              <c16:uniqueId val="{00000005-A9B4-426E-AEB1-C4339F83A2A5}"/>
            </c:ext>
          </c:extLst>
        </c:ser>
        <c:dLbls>
          <c:showLegendKey val="0"/>
          <c:showVal val="0"/>
          <c:showCatName val="0"/>
          <c:showSerName val="0"/>
          <c:showPercent val="0"/>
          <c:showBubbleSize val="0"/>
        </c:dLbls>
        <c:gapWidth val="150"/>
        <c:overlap val="100"/>
        <c:axId val="1855798208"/>
        <c:axId val="1855793408"/>
      </c:barChart>
      <c:catAx>
        <c:axId val="185579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5793408"/>
        <c:crosses val="autoZero"/>
        <c:auto val="1"/>
        <c:lblAlgn val="ctr"/>
        <c:lblOffset val="100"/>
        <c:noMultiLvlLbl val="0"/>
      </c:catAx>
      <c:valAx>
        <c:axId val="1855793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5798208"/>
        <c:crosses val="autoZero"/>
        <c:crossBetween val="between"/>
      </c:valAx>
    </c:plotArea>
    <c:legend>
      <c:legendPos val="b"/>
      <c:overlay val="0"/>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Digital</c:v>
          </c:tx>
          <c:spPr>
            <a:solidFill>
              <a:schemeClr val="tx2"/>
            </a:solidFill>
            <a:ln>
              <a:noFill/>
            </a:ln>
            <a:effectLst/>
          </c:spPr>
          <c:invertIfNegative val="0"/>
          <c:cat>
            <c:strRef>
              <c:extLst>
                <c:ext xmlns:c15="http://schemas.microsoft.com/office/drawing/2012/chart" uri="{02D57815-91ED-43cb-92C2-25804820EDAC}">
                  <c15:fullRef>
                    <c15:sqref>MERGER!$C$27:$C$33</c15:sqref>
                  </c15:fullRef>
                </c:ext>
              </c:extLst>
              <c:f>(MERGER!$C$27:$C$28,MERGER!$C$31:$C$33)</c:f>
              <c:strCache>
                <c:ptCount val="5"/>
                <c:pt idx="0">
                  <c:v>Tabcorp</c:v>
                </c:pt>
                <c:pt idx="1">
                  <c:v>SportsBet</c:v>
                </c:pt>
                <c:pt idx="2">
                  <c:v>PointsBet</c:v>
                </c:pt>
                <c:pt idx="3">
                  <c:v>BlueBet</c:v>
                </c:pt>
                <c:pt idx="4">
                  <c:v>BlueBet
Proforma</c:v>
                </c:pt>
              </c:strCache>
            </c:strRef>
          </c:cat>
          <c:val>
            <c:numRef>
              <c:extLst>
                <c:ext xmlns:c15="http://schemas.microsoft.com/office/drawing/2012/chart" uri="{02D57815-91ED-43cb-92C2-25804820EDAC}">
                  <c15:fullRef>
                    <c15:sqref>MERGER!$H$27:$H$33</c15:sqref>
                  </c15:fullRef>
                </c:ext>
              </c:extLst>
              <c:f>(MERGER!$H$27:$H$28,MERGER!$H$31:$H$33)</c:f>
              <c:numCache>
                <c:formatCode>#,##0</c:formatCode>
                <c:ptCount val="5"/>
                <c:pt idx="0">
                  <c:v>572.9</c:v>
                </c:pt>
                <c:pt idx="1">
                  <c:v>1081.2000983358444</c:v>
                </c:pt>
                <c:pt idx="2">
                  <c:v>112.3</c:v>
                </c:pt>
                <c:pt idx="3">
                  <c:v>30.7</c:v>
                </c:pt>
                <c:pt idx="4">
                  <c:v>30.7</c:v>
                </c:pt>
              </c:numCache>
            </c:numRef>
          </c:val>
          <c:extLst>
            <c:ext xmlns:c16="http://schemas.microsoft.com/office/drawing/2014/chart" uri="{C3380CC4-5D6E-409C-BE32-E72D297353CC}">
              <c16:uniqueId val="{00000000-D2C6-47F0-B16E-858B6CFBA13D}"/>
            </c:ext>
          </c:extLst>
        </c:ser>
        <c:ser>
          <c:idx val="0"/>
          <c:order val="1"/>
          <c:tx>
            <c:v>Retail</c:v>
          </c:tx>
          <c:spPr>
            <a:solidFill>
              <a:schemeClr val="bg2"/>
            </a:solidFill>
            <a:ln>
              <a:noFill/>
            </a:ln>
            <a:effectLst/>
          </c:spPr>
          <c:invertIfNegative val="0"/>
          <c:cat>
            <c:strRef>
              <c:extLst>
                <c:ext xmlns:c15="http://schemas.microsoft.com/office/drawing/2012/chart" uri="{02D57815-91ED-43cb-92C2-25804820EDAC}">
                  <c15:fullRef>
                    <c15:sqref>MERGER!$C$27:$C$33</c15:sqref>
                  </c15:fullRef>
                </c:ext>
              </c:extLst>
              <c:f>(MERGER!$C$27:$C$28,MERGER!$C$31:$C$33)</c:f>
              <c:strCache>
                <c:ptCount val="5"/>
                <c:pt idx="0">
                  <c:v>Tabcorp</c:v>
                </c:pt>
                <c:pt idx="1">
                  <c:v>SportsBet</c:v>
                </c:pt>
                <c:pt idx="2">
                  <c:v>PointsBet</c:v>
                </c:pt>
                <c:pt idx="3">
                  <c:v>BlueBet</c:v>
                </c:pt>
                <c:pt idx="4">
                  <c:v>BlueBet
Proforma</c:v>
                </c:pt>
              </c:strCache>
            </c:strRef>
          </c:cat>
          <c:val>
            <c:numRef>
              <c:extLst>
                <c:ext xmlns:c15="http://schemas.microsoft.com/office/drawing/2012/chart" uri="{02D57815-91ED-43cb-92C2-25804820EDAC}">
                  <c15:fullRef>
                    <c15:sqref>MERGER!$G$27:$G$33</c15:sqref>
                  </c15:fullRef>
                </c:ext>
              </c:extLst>
              <c:f>(MERGER!$G$27:$G$28,MERGER!$G$31:$G$33)</c:f>
              <c:numCache>
                <c:formatCode>General</c:formatCode>
                <c:ptCount val="5"/>
                <c:pt idx="0" formatCode="#,##0">
                  <c:v>458.1</c:v>
                </c:pt>
              </c:numCache>
            </c:numRef>
          </c:val>
          <c:extLst>
            <c:ext xmlns:c16="http://schemas.microsoft.com/office/drawing/2014/chart" uri="{C3380CC4-5D6E-409C-BE32-E72D297353CC}">
              <c16:uniqueId val="{00000003-D2C6-47F0-B16E-858B6CFBA13D}"/>
            </c:ext>
          </c:extLst>
        </c:ser>
        <c:ser>
          <c:idx val="2"/>
          <c:order val="2"/>
          <c:tx>
            <c:v>BetR Acquisition</c:v>
          </c:tx>
          <c:spPr>
            <a:solidFill>
              <a:schemeClr val="accent5"/>
            </a:solidFill>
            <a:ln>
              <a:noFill/>
            </a:ln>
            <a:effectLst/>
          </c:spPr>
          <c:invertIfNegative val="0"/>
          <c:dPt>
            <c:idx val="3"/>
            <c:invertIfNegative val="0"/>
            <c:bubble3D val="0"/>
            <c:spPr>
              <a:solidFill>
                <a:schemeClr val="accent5"/>
              </a:solidFill>
              <a:ln>
                <a:noFill/>
              </a:ln>
              <a:effectLst/>
            </c:spPr>
            <c:extLst>
              <c:ext xmlns:c16="http://schemas.microsoft.com/office/drawing/2014/chart" uri="{C3380CC4-5D6E-409C-BE32-E72D297353CC}">
                <c16:uniqueId val="{00000001-1BA3-4F7B-B20E-F0B087CC42B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3-1BA3-4F7B-B20E-F0B087CC42B7}"/>
              </c:ext>
            </c:extLst>
          </c:dPt>
          <c:cat>
            <c:strLit>
              <c:ptCount val="5"/>
              <c:pt idx="0">
                <c:v>Tabcorp</c:v>
              </c:pt>
              <c:pt idx="1">
                <c:v>SportsBet</c:v>
              </c:pt>
              <c:pt idx="2">
                <c:v>PointsBet</c:v>
              </c:pt>
              <c:pt idx="3">
                <c:v>BlueBet</c:v>
              </c:pt>
              <c:pt idx="4">
                <c:v>BlueBet
Proforma</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MERGER!$I$27:$I$33</c15:sqref>
                  </c15:fullRef>
                </c:ext>
              </c:extLst>
              <c:f>(MERGER!$I$27:$I$28,MERGER!$I$31:$I$33)</c:f>
              <c:numCache>
                <c:formatCode>General</c:formatCode>
                <c:ptCount val="5"/>
                <c:pt idx="3" formatCode="#,##0">
                  <c:v>11.9</c:v>
                </c:pt>
                <c:pt idx="4" formatCode="#,##0">
                  <c:v>49.8</c:v>
                </c:pt>
              </c:numCache>
            </c:numRef>
          </c:val>
          <c:extLst>
            <c:ext xmlns:c16="http://schemas.microsoft.com/office/drawing/2014/chart" uri="{C3380CC4-5D6E-409C-BE32-E72D297353CC}">
              <c16:uniqueId val="{00000004-1CA8-443C-8146-29C703929C85}"/>
            </c:ext>
          </c:extLst>
        </c:ser>
        <c:dLbls>
          <c:showLegendKey val="0"/>
          <c:showVal val="0"/>
          <c:showCatName val="0"/>
          <c:showSerName val="0"/>
          <c:showPercent val="0"/>
          <c:showBubbleSize val="0"/>
        </c:dLbls>
        <c:gapWidth val="150"/>
        <c:overlap val="100"/>
        <c:axId val="1855798208"/>
        <c:axId val="1855793408"/>
      </c:barChart>
      <c:catAx>
        <c:axId val="185579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5793408"/>
        <c:crosses val="autoZero"/>
        <c:auto val="1"/>
        <c:lblAlgn val="ctr"/>
        <c:lblOffset val="100"/>
        <c:noMultiLvlLbl val="0"/>
      </c:catAx>
      <c:valAx>
        <c:axId val="1855793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5798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1">
                <a:lumMod val="75000"/>
              </a:schemeClr>
            </a:solidFill>
            <a:ln>
              <a:noFill/>
            </a:ln>
            <a:effectLst/>
          </c:spPr>
          <c:invertIfNegative val="0"/>
          <c:cat>
            <c:strRef>
              <c:extLst>
                <c:ext xmlns:c15="http://schemas.microsoft.com/office/drawing/2012/chart" uri="{02D57815-91ED-43cb-92C2-25804820EDAC}">
                  <c15:fullRef>
                    <c15:sqref>(MERGER!$C$16:$C$18,MERGER!$C$21:$C$24)</c15:sqref>
                  </c15:fullRef>
                </c:ext>
              </c:extLst>
              <c:f>(MERGER!$C$17:$C$18,MERGER!$C$21:$C$24)</c:f>
              <c:strCache>
                <c:ptCount val="6"/>
                <c:pt idx="0">
                  <c:v>Tabcorp - Digital</c:v>
                </c:pt>
                <c:pt idx="1">
                  <c:v>SportsBet</c:v>
                </c:pt>
                <c:pt idx="2">
                  <c:v>PointsBet</c:v>
                </c:pt>
                <c:pt idx="3">
                  <c:v>BlueBet</c:v>
                </c:pt>
                <c:pt idx="4">
                  <c:v>BetR - ProForma</c:v>
                </c:pt>
                <c:pt idx="5">
                  <c:v>BetR - Reported</c:v>
                </c:pt>
              </c:strCache>
            </c:strRef>
          </c:cat>
          <c:val>
            <c:numRef>
              <c:extLst>
                <c:ext xmlns:c15="http://schemas.microsoft.com/office/drawing/2012/chart" uri="{02D57815-91ED-43cb-92C2-25804820EDAC}">
                  <c15:fullRef>
                    <c15:sqref>(MERGER!$E$16:$E$18,MERGER!$E$21:$E$24)</c15:sqref>
                  </c15:fullRef>
                </c:ext>
              </c:extLst>
              <c:f>(MERGER!$E$17:$E$18,MERGER!$E$21:$E$24)</c:f>
              <c:numCache>
                <c:formatCode>0.0%</c:formatCode>
                <c:ptCount val="6"/>
                <c:pt idx="0">
                  <c:v>0.12108978694622928</c:v>
                </c:pt>
                <c:pt idx="1">
                  <c:v>0.11881397457621121</c:v>
                </c:pt>
                <c:pt idx="2">
                  <c:v>7.6472591079332644E-2</c:v>
                </c:pt>
                <c:pt idx="3">
                  <c:v>0.10277870773351187</c:v>
                </c:pt>
                <c:pt idx="4" formatCode="0.00%">
                  <c:v>7.3975044563279843E-2</c:v>
                </c:pt>
                <c:pt idx="5">
                  <c:v>1.7676767676767676E-2</c:v>
                </c:pt>
              </c:numCache>
            </c:numRef>
          </c:val>
          <c:extLst>
            <c:ext xmlns:c16="http://schemas.microsoft.com/office/drawing/2014/chart" uri="{C3380CC4-5D6E-409C-BE32-E72D297353CC}">
              <c16:uniqueId val="{00000000-F773-4F44-A651-299F73C87D37}"/>
            </c:ext>
          </c:extLst>
        </c:ser>
        <c:dLbls>
          <c:showLegendKey val="0"/>
          <c:showVal val="0"/>
          <c:showCatName val="0"/>
          <c:showSerName val="0"/>
          <c:showPercent val="0"/>
          <c:showBubbleSize val="0"/>
        </c:dLbls>
        <c:gapWidth val="219"/>
        <c:overlap val="-27"/>
        <c:axId val="2139935743"/>
        <c:axId val="2139936223"/>
      </c:barChart>
      <c:catAx>
        <c:axId val="213993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39936223"/>
        <c:crosses val="autoZero"/>
        <c:auto val="1"/>
        <c:lblAlgn val="ctr"/>
        <c:lblOffset val="100"/>
        <c:noMultiLvlLbl val="0"/>
      </c:catAx>
      <c:valAx>
        <c:axId val="213993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3993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1"/>
          <c:tx>
            <c:strRef>
              <c:f>NSW!$B$125</c:f>
              <c:strCache>
                <c:ptCount val="1"/>
                <c:pt idx="0">
                  <c:v>Greyhound</c:v>
                </c:pt>
              </c:strCache>
            </c:strRef>
          </c:tx>
          <c:spPr>
            <a:solidFill>
              <a:schemeClr val="accent4">
                <a:lumMod val="40000"/>
                <a:lumOff val="60000"/>
              </a:schemeClr>
            </a:solidFill>
            <a:ln>
              <a:noFill/>
            </a:ln>
            <a:effectLst/>
          </c:spPr>
          <c:invertIfNegative val="0"/>
          <c:cat>
            <c:strRef>
              <c:f>NSW!$M$2:$AA$2</c:f>
              <c:strCache>
                <c:ptCount val="15"/>
                <c:pt idx="0">
                  <c:v>FY09</c:v>
                </c:pt>
                <c:pt idx="1">
                  <c:v>FY10</c:v>
                </c:pt>
                <c:pt idx="2">
                  <c:v>FY11</c:v>
                </c:pt>
                <c:pt idx="3">
                  <c:v>FY12</c:v>
                </c:pt>
                <c:pt idx="4">
                  <c:v>FY13</c:v>
                </c:pt>
                <c:pt idx="5">
                  <c:v>FY14</c:v>
                </c:pt>
                <c:pt idx="6">
                  <c:v>FY15</c:v>
                </c:pt>
                <c:pt idx="7">
                  <c:v>FY16</c:v>
                </c:pt>
                <c:pt idx="8">
                  <c:v>FY17</c:v>
                </c:pt>
                <c:pt idx="9">
                  <c:v>FY18</c:v>
                </c:pt>
                <c:pt idx="10">
                  <c:v>FY19</c:v>
                </c:pt>
                <c:pt idx="11">
                  <c:v>FY20</c:v>
                </c:pt>
                <c:pt idx="12">
                  <c:v>FY21</c:v>
                </c:pt>
                <c:pt idx="13">
                  <c:v>FY22</c:v>
                </c:pt>
                <c:pt idx="14">
                  <c:v>FY23</c:v>
                </c:pt>
              </c:strCache>
            </c:strRef>
          </c:cat>
          <c:val>
            <c:numRef>
              <c:f>NSW!$M$125:$AA$125</c:f>
              <c:numCache>
                <c:formatCode>0.0%</c:formatCode>
                <c:ptCount val="15"/>
                <c:pt idx="14" formatCode="#,##0">
                  <c:v>33906528</c:v>
                </c:pt>
              </c:numCache>
            </c:numRef>
          </c:val>
          <c:extLst>
            <c:ext xmlns:c16="http://schemas.microsoft.com/office/drawing/2014/chart" uri="{C3380CC4-5D6E-409C-BE32-E72D297353CC}">
              <c16:uniqueId val="{00000000-15B4-4E85-B29B-FFF946F50A4A}"/>
            </c:ext>
          </c:extLst>
        </c:ser>
        <c:ser>
          <c:idx val="2"/>
          <c:order val="2"/>
          <c:tx>
            <c:strRef>
              <c:f>NSW!$B$124</c:f>
              <c:strCache>
                <c:ptCount val="1"/>
                <c:pt idx="0">
                  <c:v>Harness</c:v>
                </c:pt>
              </c:strCache>
            </c:strRef>
          </c:tx>
          <c:spPr>
            <a:solidFill>
              <a:schemeClr val="accent3">
                <a:lumMod val="20000"/>
                <a:lumOff val="80000"/>
              </a:schemeClr>
            </a:solidFill>
            <a:ln>
              <a:noFill/>
            </a:ln>
            <a:effectLst/>
          </c:spPr>
          <c:invertIfNegative val="0"/>
          <c:cat>
            <c:strRef>
              <c:f>NSW!$M$2:$AA$2</c:f>
              <c:strCache>
                <c:ptCount val="15"/>
                <c:pt idx="0">
                  <c:v>FY09</c:v>
                </c:pt>
                <c:pt idx="1">
                  <c:v>FY10</c:v>
                </c:pt>
                <c:pt idx="2">
                  <c:v>FY11</c:v>
                </c:pt>
                <c:pt idx="3">
                  <c:v>FY12</c:v>
                </c:pt>
                <c:pt idx="4">
                  <c:v>FY13</c:v>
                </c:pt>
                <c:pt idx="5">
                  <c:v>FY14</c:v>
                </c:pt>
                <c:pt idx="6">
                  <c:v>FY15</c:v>
                </c:pt>
                <c:pt idx="7">
                  <c:v>FY16</c:v>
                </c:pt>
                <c:pt idx="8">
                  <c:v>FY17</c:v>
                </c:pt>
                <c:pt idx="9">
                  <c:v>FY18</c:v>
                </c:pt>
                <c:pt idx="10">
                  <c:v>FY19</c:v>
                </c:pt>
                <c:pt idx="11">
                  <c:v>FY20</c:v>
                </c:pt>
                <c:pt idx="12">
                  <c:v>FY21</c:v>
                </c:pt>
                <c:pt idx="13">
                  <c:v>FY22</c:v>
                </c:pt>
                <c:pt idx="14">
                  <c:v>FY23</c:v>
                </c:pt>
              </c:strCache>
            </c:strRef>
          </c:cat>
          <c:val>
            <c:numRef>
              <c:f>NSW!$M$124:$AA$124</c:f>
              <c:numCache>
                <c:formatCode>0.0%</c:formatCode>
                <c:ptCount val="15"/>
                <c:pt idx="14" formatCode="#,##0">
                  <c:v>32348068</c:v>
                </c:pt>
              </c:numCache>
            </c:numRef>
          </c:val>
          <c:extLst>
            <c:ext xmlns:c16="http://schemas.microsoft.com/office/drawing/2014/chart" uri="{C3380CC4-5D6E-409C-BE32-E72D297353CC}">
              <c16:uniqueId val="{00000001-15B4-4E85-B29B-FFF946F50A4A}"/>
            </c:ext>
          </c:extLst>
        </c:ser>
        <c:ser>
          <c:idx val="1"/>
          <c:order val="3"/>
          <c:tx>
            <c:strRef>
              <c:f>NSW!$B$123</c:f>
              <c:strCache>
                <c:ptCount val="1"/>
                <c:pt idx="0">
                  <c:v>Thoroughbred</c:v>
                </c:pt>
              </c:strCache>
            </c:strRef>
          </c:tx>
          <c:spPr>
            <a:solidFill>
              <a:schemeClr val="accent1">
                <a:lumMod val="20000"/>
                <a:lumOff val="80000"/>
              </a:schemeClr>
            </a:solidFill>
            <a:ln>
              <a:noFill/>
            </a:ln>
            <a:effectLst/>
          </c:spPr>
          <c:invertIfNegative val="0"/>
          <c:cat>
            <c:strRef>
              <c:f>NSW!$M$2:$AA$2</c:f>
              <c:strCache>
                <c:ptCount val="15"/>
                <c:pt idx="0">
                  <c:v>FY09</c:v>
                </c:pt>
                <c:pt idx="1">
                  <c:v>FY10</c:v>
                </c:pt>
                <c:pt idx="2">
                  <c:v>FY11</c:v>
                </c:pt>
                <c:pt idx="3">
                  <c:v>FY12</c:v>
                </c:pt>
                <c:pt idx="4">
                  <c:v>FY13</c:v>
                </c:pt>
                <c:pt idx="5">
                  <c:v>FY14</c:v>
                </c:pt>
                <c:pt idx="6">
                  <c:v>FY15</c:v>
                </c:pt>
                <c:pt idx="7">
                  <c:v>FY16</c:v>
                </c:pt>
                <c:pt idx="8">
                  <c:v>FY17</c:v>
                </c:pt>
                <c:pt idx="9">
                  <c:v>FY18</c:v>
                </c:pt>
                <c:pt idx="10">
                  <c:v>FY19</c:v>
                </c:pt>
                <c:pt idx="11">
                  <c:v>FY20</c:v>
                </c:pt>
                <c:pt idx="12">
                  <c:v>FY21</c:v>
                </c:pt>
                <c:pt idx="13">
                  <c:v>FY22</c:v>
                </c:pt>
                <c:pt idx="14">
                  <c:v>FY23</c:v>
                </c:pt>
              </c:strCache>
            </c:strRef>
          </c:cat>
          <c:val>
            <c:numRef>
              <c:f>NSW!$M$123:$AA$123</c:f>
              <c:numCache>
                <c:formatCode>0.0%</c:formatCode>
                <c:ptCount val="15"/>
                <c:pt idx="14" formatCode="#,##0">
                  <c:v>177000000</c:v>
                </c:pt>
              </c:numCache>
            </c:numRef>
          </c:val>
          <c:extLst>
            <c:ext xmlns:c16="http://schemas.microsoft.com/office/drawing/2014/chart" uri="{C3380CC4-5D6E-409C-BE32-E72D297353CC}">
              <c16:uniqueId val="{00000002-15B4-4E85-B29B-FFF946F50A4A}"/>
            </c:ext>
          </c:extLst>
        </c:ser>
        <c:dLbls>
          <c:showLegendKey val="0"/>
          <c:showVal val="0"/>
          <c:showCatName val="0"/>
          <c:showSerName val="0"/>
          <c:showPercent val="0"/>
          <c:showBubbleSize val="0"/>
        </c:dLbls>
        <c:gapWidth val="0"/>
        <c:overlap val="100"/>
        <c:axId val="400223120"/>
        <c:axId val="132320224"/>
      </c:barChart>
      <c:lineChart>
        <c:grouping val="standard"/>
        <c:varyColors val="0"/>
        <c:ser>
          <c:idx val="0"/>
          <c:order val="0"/>
          <c:tx>
            <c:v>Tabcorp Distributions</c:v>
          </c:tx>
          <c:spPr>
            <a:ln w="28575" cap="rnd">
              <a:solidFill>
                <a:schemeClr val="tx2"/>
              </a:solidFill>
              <a:round/>
            </a:ln>
            <a:effectLst/>
          </c:spPr>
          <c:marker>
            <c:symbol val="none"/>
          </c:marker>
          <c:cat>
            <c:strRef>
              <c:f>NSW!$M$2:$AA$2</c:f>
              <c:strCache>
                <c:ptCount val="15"/>
                <c:pt idx="0">
                  <c:v>FY09</c:v>
                </c:pt>
                <c:pt idx="1">
                  <c:v>FY10</c:v>
                </c:pt>
                <c:pt idx="2">
                  <c:v>FY11</c:v>
                </c:pt>
                <c:pt idx="3">
                  <c:v>FY12</c:v>
                </c:pt>
                <c:pt idx="4">
                  <c:v>FY13</c:v>
                </c:pt>
                <c:pt idx="5">
                  <c:v>FY14</c:v>
                </c:pt>
                <c:pt idx="6">
                  <c:v>FY15</c:v>
                </c:pt>
                <c:pt idx="7">
                  <c:v>FY16</c:v>
                </c:pt>
                <c:pt idx="8">
                  <c:v>FY17</c:v>
                </c:pt>
                <c:pt idx="9">
                  <c:v>FY18</c:v>
                </c:pt>
                <c:pt idx="10">
                  <c:v>FY19</c:v>
                </c:pt>
                <c:pt idx="11">
                  <c:v>FY20</c:v>
                </c:pt>
                <c:pt idx="12">
                  <c:v>FY21</c:v>
                </c:pt>
                <c:pt idx="13">
                  <c:v>FY22</c:v>
                </c:pt>
                <c:pt idx="14">
                  <c:v>FY23</c:v>
                </c:pt>
              </c:strCache>
            </c:strRef>
          </c:cat>
          <c:val>
            <c:numRef>
              <c:f>NSW!$M$117:$AA$117</c:f>
              <c:numCache>
                <c:formatCode>#,##0</c:formatCode>
                <c:ptCount val="15"/>
                <c:pt idx="0">
                  <c:v>223937925</c:v>
                </c:pt>
                <c:pt idx="1">
                  <c:v>228396575</c:v>
                </c:pt>
                <c:pt idx="2">
                  <c:v>224651157.14285713</c:v>
                </c:pt>
                <c:pt idx="3">
                  <c:v>229538053.57142857</c:v>
                </c:pt>
                <c:pt idx="4">
                  <c:v>230692664.2857143</c:v>
                </c:pt>
                <c:pt idx="5">
                  <c:v>233844675</c:v>
                </c:pt>
                <c:pt idx="6">
                  <c:v>248829414.2857143</c:v>
                </c:pt>
                <c:pt idx="7">
                  <c:v>252639357.14285713</c:v>
                </c:pt>
                <c:pt idx="8">
                  <c:v>253980046.42857143</c:v>
                </c:pt>
                <c:pt idx="9">
                  <c:v>257865878.57142857</c:v>
                </c:pt>
                <c:pt idx="10">
                  <c:v>246497371.42857143</c:v>
                </c:pt>
                <c:pt idx="11">
                  <c:v>236324400</c:v>
                </c:pt>
                <c:pt idx="12">
                  <c:v>273463321.42857146</c:v>
                </c:pt>
                <c:pt idx="13">
                  <c:v>234897675</c:v>
                </c:pt>
                <c:pt idx="14">
                  <c:v>236623557.14285713</c:v>
                </c:pt>
              </c:numCache>
            </c:numRef>
          </c:val>
          <c:smooth val="0"/>
          <c:extLst>
            <c:ext xmlns:c16="http://schemas.microsoft.com/office/drawing/2014/chart" uri="{C3380CC4-5D6E-409C-BE32-E72D297353CC}">
              <c16:uniqueId val="{00000003-15B4-4E85-B29B-FFF946F50A4A}"/>
            </c:ext>
          </c:extLst>
        </c:ser>
        <c:dLbls>
          <c:showLegendKey val="0"/>
          <c:showVal val="0"/>
          <c:showCatName val="0"/>
          <c:showSerName val="0"/>
          <c:showPercent val="0"/>
          <c:showBubbleSize val="0"/>
        </c:dLbls>
        <c:marker val="1"/>
        <c:smooth val="0"/>
        <c:axId val="400223120"/>
        <c:axId val="132320224"/>
      </c:lineChart>
      <c:catAx>
        <c:axId val="40022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32320224"/>
        <c:crosses val="autoZero"/>
        <c:auto val="1"/>
        <c:lblAlgn val="ctr"/>
        <c:lblOffset val="100"/>
        <c:noMultiLvlLbl val="0"/>
      </c:catAx>
      <c:valAx>
        <c:axId val="132320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00223120"/>
        <c:crosses val="autoZero"/>
        <c:crossBetween val="between"/>
        <c:dispUnits>
          <c:builtInUnit val="million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tx2"/>
              </a:solidFill>
              <a:round/>
            </a:ln>
            <a:effectLst/>
          </c:spPr>
          <c:marker>
            <c:symbol val="none"/>
          </c:marker>
          <c:cat>
            <c:strRef>
              <c:f>NSW!$Q$2:$AA$2</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NSW!$Q$27:$AA$27</c:f>
              <c:numCache>
                <c:formatCode>#,##0</c:formatCode>
                <c:ptCount val="11"/>
                <c:pt idx="0">
                  <c:v>104653787</c:v>
                </c:pt>
                <c:pt idx="1">
                  <c:v>119510944</c:v>
                </c:pt>
                <c:pt idx="2">
                  <c:v>118949883</c:v>
                </c:pt>
                <c:pt idx="3">
                  <c:v>139496368</c:v>
                </c:pt>
                <c:pt idx="4">
                  <c:v>177207540</c:v>
                </c:pt>
                <c:pt idx="5">
                  <c:v>219536579</c:v>
                </c:pt>
                <c:pt idx="6">
                  <c:v>255818435</c:v>
                </c:pt>
                <c:pt idx="7">
                  <c:v>289795673</c:v>
                </c:pt>
                <c:pt idx="8">
                  <c:v>367603157</c:v>
                </c:pt>
                <c:pt idx="9">
                  <c:v>378673501</c:v>
                </c:pt>
                <c:pt idx="10">
                  <c:v>421534592</c:v>
                </c:pt>
              </c:numCache>
            </c:numRef>
          </c:val>
          <c:smooth val="0"/>
          <c:extLst>
            <c:ext xmlns:c16="http://schemas.microsoft.com/office/drawing/2014/chart" uri="{C3380CC4-5D6E-409C-BE32-E72D297353CC}">
              <c16:uniqueId val="{00000008-B614-40F3-AF3C-91EEE5060C15}"/>
            </c:ext>
          </c:extLst>
        </c:ser>
        <c:dLbls>
          <c:showLegendKey val="0"/>
          <c:showVal val="0"/>
          <c:showCatName val="0"/>
          <c:showSerName val="0"/>
          <c:showPercent val="0"/>
          <c:showBubbleSize val="0"/>
        </c:dLbls>
        <c:smooth val="0"/>
        <c:axId val="400223120"/>
        <c:axId val="132320224"/>
      </c:lineChart>
      <c:catAx>
        <c:axId val="40022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32320224"/>
        <c:crosses val="autoZero"/>
        <c:auto val="1"/>
        <c:lblAlgn val="ctr"/>
        <c:lblOffset val="100"/>
        <c:noMultiLvlLbl val="0"/>
      </c:catAx>
      <c:valAx>
        <c:axId val="132320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00223120"/>
        <c:crosses val="autoZero"/>
        <c:crossBetween val="between"/>
        <c:dispUnits>
          <c:builtInUnit val="millions"/>
        </c:dispUnits>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'Media Spend'!$E$2</c:f>
              <c:strCache>
                <c:ptCount val="1"/>
                <c:pt idx="0">
                  <c:v>CY19</c:v>
                </c:pt>
              </c:strCache>
            </c:strRef>
          </c:tx>
          <c:spPr>
            <a:solidFill>
              <a:schemeClr val="tx2"/>
            </a:solidFill>
            <a:ln>
              <a:noFill/>
            </a:ln>
            <a:effectLst/>
          </c:spPr>
          <c:invertIfNegative val="0"/>
          <c:cat>
            <c:strRef>
              <c:f>'Media Spend'!$B$9:$B$12</c:f>
              <c:strCache>
                <c:ptCount val="4"/>
                <c:pt idx="0">
                  <c:v>Sportsbet</c:v>
                </c:pt>
                <c:pt idx="1">
                  <c:v>Entain</c:v>
                </c:pt>
                <c:pt idx="2">
                  <c:v>bet365</c:v>
                </c:pt>
                <c:pt idx="3">
                  <c:v>PointsBet</c:v>
                </c:pt>
              </c:strCache>
            </c:strRef>
          </c:cat>
          <c:val>
            <c:numRef>
              <c:f>'Media Spend'!$E$9:$E$12</c:f>
              <c:numCache>
                <c:formatCode>#,##0.0</c:formatCode>
                <c:ptCount val="4"/>
                <c:pt idx="0">
                  <c:v>113.544</c:v>
                </c:pt>
                <c:pt idx="1">
                  <c:v>113.571</c:v>
                </c:pt>
                <c:pt idx="2">
                  <c:v>32.768000000000001</c:v>
                </c:pt>
              </c:numCache>
            </c:numRef>
          </c:val>
          <c:extLst>
            <c:ext xmlns:c16="http://schemas.microsoft.com/office/drawing/2014/chart" uri="{C3380CC4-5D6E-409C-BE32-E72D297353CC}">
              <c16:uniqueId val="{00000000-EB8B-46C0-8B8F-79E4B6098679}"/>
            </c:ext>
          </c:extLst>
        </c:ser>
        <c:ser>
          <c:idx val="2"/>
          <c:order val="1"/>
          <c:tx>
            <c:strRef>
              <c:f>'Media Spend'!$F$2</c:f>
              <c:strCache>
                <c:ptCount val="1"/>
                <c:pt idx="0">
                  <c:v>CY20</c:v>
                </c:pt>
              </c:strCache>
            </c:strRef>
          </c:tx>
          <c:spPr>
            <a:solidFill>
              <a:schemeClr val="tx2">
                <a:lumMod val="60000"/>
                <a:lumOff val="40000"/>
              </a:schemeClr>
            </a:solidFill>
            <a:ln>
              <a:noFill/>
            </a:ln>
            <a:effectLst/>
          </c:spPr>
          <c:invertIfNegative val="0"/>
          <c:cat>
            <c:strRef>
              <c:f>'Media Spend'!$B$9:$B$12</c:f>
              <c:strCache>
                <c:ptCount val="4"/>
                <c:pt idx="0">
                  <c:v>Sportsbet</c:v>
                </c:pt>
                <c:pt idx="1">
                  <c:v>Entain</c:v>
                </c:pt>
                <c:pt idx="2">
                  <c:v>bet365</c:v>
                </c:pt>
                <c:pt idx="3">
                  <c:v>PointsBet</c:v>
                </c:pt>
              </c:strCache>
            </c:strRef>
          </c:cat>
          <c:val>
            <c:numRef>
              <c:f>'Media Spend'!$F$9:$F$12</c:f>
              <c:numCache>
                <c:formatCode>#,##0.0</c:formatCode>
                <c:ptCount val="4"/>
                <c:pt idx="0">
                  <c:v>156.744</c:v>
                </c:pt>
                <c:pt idx="1">
                  <c:v>111.357</c:v>
                </c:pt>
                <c:pt idx="2">
                  <c:v>37.037999999999997</c:v>
                </c:pt>
                <c:pt idx="3">
                  <c:v>32.5</c:v>
                </c:pt>
              </c:numCache>
            </c:numRef>
          </c:val>
          <c:extLst>
            <c:ext xmlns:c16="http://schemas.microsoft.com/office/drawing/2014/chart" uri="{C3380CC4-5D6E-409C-BE32-E72D297353CC}">
              <c16:uniqueId val="{00000001-EB8B-46C0-8B8F-79E4B6098679}"/>
            </c:ext>
          </c:extLst>
        </c:ser>
        <c:ser>
          <c:idx val="3"/>
          <c:order val="2"/>
          <c:tx>
            <c:strRef>
              <c:f>'Media Spend'!$G$2</c:f>
              <c:strCache>
                <c:ptCount val="1"/>
                <c:pt idx="0">
                  <c:v>CY21</c:v>
                </c:pt>
              </c:strCache>
            </c:strRef>
          </c:tx>
          <c:spPr>
            <a:solidFill>
              <a:schemeClr val="tx2">
                <a:lumMod val="40000"/>
                <a:lumOff val="60000"/>
              </a:schemeClr>
            </a:solidFill>
            <a:ln>
              <a:noFill/>
            </a:ln>
            <a:effectLst/>
          </c:spPr>
          <c:invertIfNegative val="0"/>
          <c:cat>
            <c:strRef>
              <c:f>'Media Spend'!$B$9:$B$12</c:f>
              <c:strCache>
                <c:ptCount val="4"/>
                <c:pt idx="0">
                  <c:v>Sportsbet</c:v>
                </c:pt>
                <c:pt idx="1">
                  <c:v>Entain</c:v>
                </c:pt>
                <c:pt idx="2">
                  <c:v>bet365</c:v>
                </c:pt>
                <c:pt idx="3">
                  <c:v>PointsBet</c:v>
                </c:pt>
              </c:strCache>
            </c:strRef>
          </c:cat>
          <c:val>
            <c:numRef>
              <c:f>'Media Spend'!$G$9:$G$12</c:f>
              <c:numCache>
                <c:formatCode>#,##0.0</c:formatCode>
                <c:ptCount val="4"/>
                <c:pt idx="0">
                  <c:v>187.505</c:v>
                </c:pt>
                <c:pt idx="1">
                  <c:v>128.386</c:v>
                </c:pt>
                <c:pt idx="2">
                  <c:v>41.518000000000001</c:v>
                </c:pt>
                <c:pt idx="3">
                  <c:v>75.099999999999994</c:v>
                </c:pt>
              </c:numCache>
            </c:numRef>
          </c:val>
          <c:extLst>
            <c:ext xmlns:c16="http://schemas.microsoft.com/office/drawing/2014/chart" uri="{C3380CC4-5D6E-409C-BE32-E72D297353CC}">
              <c16:uniqueId val="{00000002-EB8B-46C0-8B8F-79E4B6098679}"/>
            </c:ext>
          </c:extLst>
        </c:ser>
        <c:ser>
          <c:idx val="4"/>
          <c:order val="3"/>
          <c:tx>
            <c:strRef>
              <c:f>'Media Spend'!$H$2</c:f>
              <c:strCache>
                <c:ptCount val="1"/>
                <c:pt idx="0">
                  <c:v>CY22</c:v>
                </c:pt>
              </c:strCache>
            </c:strRef>
          </c:tx>
          <c:spPr>
            <a:solidFill>
              <a:schemeClr val="tx2">
                <a:lumMod val="20000"/>
                <a:lumOff val="80000"/>
              </a:schemeClr>
            </a:solidFill>
            <a:ln>
              <a:noFill/>
            </a:ln>
            <a:effectLst/>
          </c:spPr>
          <c:invertIfNegative val="0"/>
          <c:cat>
            <c:strRef>
              <c:f>'Media Spend'!$B$9:$B$12</c:f>
              <c:strCache>
                <c:ptCount val="4"/>
                <c:pt idx="0">
                  <c:v>Sportsbet</c:v>
                </c:pt>
                <c:pt idx="1">
                  <c:v>Entain</c:v>
                </c:pt>
                <c:pt idx="2">
                  <c:v>bet365</c:v>
                </c:pt>
                <c:pt idx="3">
                  <c:v>PointsBet</c:v>
                </c:pt>
              </c:strCache>
            </c:strRef>
          </c:cat>
          <c:val>
            <c:numRef>
              <c:f>'Media Spend'!$H$9:$H$12</c:f>
              <c:numCache>
                <c:formatCode>#,##0.0</c:formatCode>
                <c:ptCount val="4"/>
                <c:pt idx="0">
                  <c:v>217.928</c:v>
                </c:pt>
                <c:pt idx="1">
                  <c:v>132.98699999999999</c:v>
                </c:pt>
                <c:pt idx="2">
                  <c:v>44.618000000000002</c:v>
                </c:pt>
                <c:pt idx="3">
                  <c:v>62.099999999999994</c:v>
                </c:pt>
              </c:numCache>
            </c:numRef>
          </c:val>
          <c:extLst>
            <c:ext xmlns:c16="http://schemas.microsoft.com/office/drawing/2014/chart" uri="{C3380CC4-5D6E-409C-BE32-E72D297353CC}">
              <c16:uniqueId val="{00000003-EB8B-46C0-8B8F-79E4B6098679}"/>
            </c:ext>
          </c:extLst>
        </c:ser>
        <c:ser>
          <c:idx val="5"/>
          <c:order val="4"/>
          <c:tx>
            <c:strRef>
              <c:f>'Media Spend'!$I$2</c:f>
              <c:strCache>
                <c:ptCount val="1"/>
                <c:pt idx="0">
                  <c:v>CY23</c:v>
                </c:pt>
              </c:strCache>
            </c:strRef>
          </c:tx>
          <c:spPr>
            <a:solidFill>
              <a:schemeClr val="accent1"/>
            </a:solidFill>
            <a:ln>
              <a:noFill/>
            </a:ln>
            <a:effectLst/>
          </c:spPr>
          <c:invertIfNegative val="0"/>
          <c:cat>
            <c:strRef>
              <c:f>'Media Spend'!$B$9:$B$12</c:f>
              <c:strCache>
                <c:ptCount val="4"/>
                <c:pt idx="0">
                  <c:v>Sportsbet</c:v>
                </c:pt>
                <c:pt idx="1">
                  <c:v>Entain</c:v>
                </c:pt>
                <c:pt idx="2">
                  <c:v>bet365</c:v>
                </c:pt>
                <c:pt idx="3">
                  <c:v>PointsBet</c:v>
                </c:pt>
              </c:strCache>
            </c:strRef>
          </c:cat>
          <c:val>
            <c:numRef>
              <c:f>'Media Spend'!$I$9:$I$12</c:f>
              <c:numCache>
                <c:formatCode>#,##0.0</c:formatCode>
                <c:ptCount val="4"/>
                <c:pt idx="0">
                  <c:v>222.334</c:v>
                </c:pt>
                <c:pt idx="1">
                  <c:v>166.02199999999999</c:v>
                </c:pt>
                <c:pt idx="2">
                  <c:v>42.113</c:v>
                </c:pt>
                <c:pt idx="3">
                  <c:v>44.1</c:v>
                </c:pt>
              </c:numCache>
            </c:numRef>
          </c:val>
          <c:extLst>
            <c:ext xmlns:c16="http://schemas.microsoft.com/office/drawing/2014/chart" uri="{C3380CC4-5D6E-409C-BE32-E72D297353CC}">
              <c16:uniqueId val="{00000004-EB8B-46C0-8B8F-79E4B6098679}"/>
            </c:ext>
          </c:extLst>
        </c:ser>
        <c:ser>
          <c:idx val="6"/>
          <c:order val="5"/>
          <c:tx>
            <c:strRef>
              <c:f>'Media Spend'!$J$2</c:f>
              <c:strCache>
                <c:ptCount val="1"/>
                <c:pt idx="0">
                  <c:v>CY24</c:v>
                </c:pt>
              </c:strCache>
            </c:strRef>
          </c:tx>
          <c:spPr>
            <a:solidFill>
              <a:schemeClr val="accent1">
                <a:lumMod val="60000"/>
                <a:lumOff val="40000"/>
              </a:schemeClr>
            </a:solidFill>
            <a:ln>
              <a:noFill/>
            </a:ln>
            <a:effectLst/>
          </c:spPr>
          <c:invertIfNegative val="0"/>
          <c:cat>
            <c:strRef>
              <c:f>'Media Spend'!$B$9:$B$12</c:f>
              <c:strCache>
                <c:ptCount val="4"/>
                <c:pt idx="0">
                  <c:v>Sportsbet</c:v>
                </c:pt>
                <c:pt idx="1">
                  <c:v>Entain</c:v>
                </c:pt>
                <c:pt idx="2">
                  <c:v>bet365</c:v>
                </c:pt>
                <c:pt idx="3">
                  <c:v>PointsBet</c:v>
                </c:pt>
              </c:strCache>
            </c:strRef>
          </c:cat>
          <c:val>
            <c:numRef>
              <c:f>'Media Spend'!$J$9:$J$12</c:f>
              <c:numCache>
                <c:formatCode>#,##0.0</c:formatCode>
                <c:ptCount val="4"/>
                <c:pt idx="0">
                  <c:v>232.23</c:v>
                </c:pt>
                <c:pt idx="1">
                  <c:v>211.208</c:v>
                </c:pt>
                <c:pt idx="2">
                  <c:v>49.747999999999998</c:v>
                </c:pt>
                <c:pt idx="3">
                  <c:v>42.073033707865171</c:v>
                </c:pt>
              </c:numCache>
            </c:numRef>
          </c:val>
          <c:extLst>
            <c:ext xmlns:c16="http://schemas.microsoft.com/office/drawing/2014/chart" uri="{C3380CC4-5D6E-409C-BE32-E72D297353CC}">
              <c16:uniqueId val="{00000005-EB8B-46C0-8B8F-79E4B6098679}"/>
            </c:ext>
          </c:extLst>
        </c:ser>
        <c:ser>
          <c:idx val="7"/>
          <c:order val="6"/>
          <c:tx>
            <c:strRef>
              <c:f>'Media Spend'!$K$2</c:f>
              <c:strCache>
                <c:ptCount val="1"/>
                <c:pt idx="0">
                  <c:v>CY25</c:v>
                </c:pt>
              </c:strCache>
            </c:strRef>
          </c:tx>
          <c:spPr>
            <a:solidFill>
              <a:schemeClr val="accent1">
                <a:lumMod val="40000"/>
                <a:lumOff val="60000"/>
              </a:schemeClr>
            </a:solidFill>
            <a:ln>
              <a:noFill/>
            </a:ln>
            <a:effectLst/>
          </c:spPr>
          <c:invertIfNegative val="0"/>
          <c:cat>
            <c:strRef>
              <c:f>'Media Spend'!$B$9:$B$12</c:f>
              <c:strCache>
                <c:ptCount val="4"/>
                <c:pt idx="0">
                  <c:v>Sportsbet</c:v>
                </c:pt>
                <c:pt idx="1">
                  <c:v>Entain</c:v>
                </c:pt>
                <c:pt idx="2">
                  <c:v>bet365</c:v>
                </c:pt>
                <c:pt idx="3">
                  <c:v>PointsBet</c:v>
                </c:pt>
              </c:strCache>
            </c:strRef>
          </c:cat>
          <c:val>
            <c:numRef>
              <c:f>'Media Spend'!$K$9:$K$12</c:f>
              <c:numCache>
                <c:formatCode>#,##0.0</c:formatCode>
                <c:ptCount val="4"/>
                <c:pt idx="0">
                  <c:v>201.911</c:v>
                </c:pt>
                <c:pt idx="1">
                  <c:v>173.696</c:v>
                </c:pt>
                <c:pt idx="2">
                  <c:v>0</c:v>
                </c:pt>
                <c:pt idx="3">
                  <c:v>40.299999999999997</c:v>
                </c:pt>
              </c:numCache>
            </c:numRef>
          </c:val>
          <c:extLst>
            <c:ext xmlns:c16="http://schemas.microsoft.com/office/drawing/2014/chart" uri="{C3380CC4-5D6E-409C-BE32-E72D297353CC}">
              <c16:uniqueId val="{00000006-EB8B-46C0-8B8F-79E4B6098679}"/>
            </c:ext>
          </c:extLst>
        </c:ser>
        <c:dLbls>
          <c:showLegendKey val="0"/>
          <c:showVal val="0"/>
          <c:showCatName val="0"/>
          <c:showSerName val="0"/>
          <c:showPercent val="0"/>
          <c:showBubbleSize val="0"/>
        </c:dLbls>
        <c:gapWidth val="219"/>
        <c:axId val="60413008"/>
        <c:axId val="60409648"/>
      </c:barChart>
      <c:catAx>
        <c:axId val="6041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0409648"/>
        <c:crosses val="autoZero"/>
        <c:auto val="1"/>
        <c:lblAlgn val="ctr"/>
        <c:lblOffset val="100"/>
        <c:noMultiLvlLbl val="0"/>
      </c:catAx>
      <c:valAx>
        <c:axId val="60409648"/>
        <c:scaling>
          <c:orientation val="minMax"/>
          <c:max val="2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0413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'Social Media'!$B$4</c:f>
              <c:strCache>
                <c:ptCount val="1"/>
                <c:pt idx="0">
                  <c:v>SportsBet</c:v>
                </c:pt>
              </c:strCache>
            </c:strRef>
          </c:tx>
          <c:spPr>
            <a:solidFill>
              <a:schemeClr val="accent1"/>
            </a:solidFill>
            <a:ln>
              <a:noFill/>
            </a:ln>
            <a:effectLst/>
          </c:spPr>
          <c:invertIfNegative val="0"/>
          <c:cat>
            <c:strRef>
              <c:f>'Social Media'!$C$3:$G$3</c:f>
              <c:strCache>
                <c:ptCount val="5"/>
                <c:pt idx="0">
                  <c:v>Facebook</c:v>
                </c:pt>
                <c:pt idx="1">
                  <c:v>Instagram</c:v>
                </c:pt>
                <c:pt idx="2">
                  <c:v>TikTok</c:v>
                </c:pt>
                <c:pt idx="3">
                  <c:v>X</c:v>
                </c:pt>
                <c:pt idx="4">
                  <c:v>Youtube</c:v>
                </c:pt>
              </c:strCache>
            </c:strRef>
          </c:cat>
          <c:val>
            <c:numRef>
              <c:f>'Social Media'!$C$4:$G$4</c:f>
              <c:numCache>
                <c:formatCode>#,##0</c:formatCode>
                <c:ptCount val="5"/>
                <c:pt idx="0">
                  <c:v>981000</c:v>
                </c:pt>
                <c:pt idx="1">
                  <c:v>120000</c:v>
                </c:pt>
                <c:pt idx="2">
                  <c:v>37000</c:v>
                </c:pt>
                <c:pt idx="3">
                  <c:v>122100</c:v>
                </c:pt>
                <c:pt idx="4">
                  <c:v>194000</c:v>
                </c:pt>
              </c:numCache>
            </c:numRef>
          </c:val>
          <c:extLst>
            <c:ext xmlns:c16="http://schemas.microsoft.com/office/drawing/2014/chart" uri="{C3380CC4-5D6E-409C-BE32-E72D297353CC}">
              <c16:uniqueId val="{00000000-665E-4CE2-B3B8-7A924CEC3F31}"/>
            </c:ext>
          </c:extLst>
        </c:ser>
        <c:ser>
          <c:idx val="1"/>
          <c:order val="1"/>
          <c:tx>
            <c:strRef>
              <c:f>'Social Media'!$B$5</c:f>
              <c:strCache>
                <c:ptCount val="1"/>
                <c:pt idx="0">
                  <c:v>Tabcorp</c:v>
                </c:pt>
              </c:strCache>
            </c:strRef>
          </c:tx>
          <c:spPr>
            <a:solidFill>
              <a:schemeClr val="accent2"/>
            </a:solidFill>
            <a:ln>
              <a:noFill/>
            </a:ln>
            <a:effectLst/>
          </c:spPr>
          <c:invertIfNegative val="0"/>
          <c:cat>
            <c:strRef>
              <c:f>'Social Media'!$C$3:$G$3</c:f>
              <c:strCache>
                <c:ptCount val="5"/>
                <c:pt idx="0">
                  <c:v>Facebook</c:v>
                </c:pt>
                <c:pt idx="1">
                  <c:v>Instagram</c:v>
                </c:pt>
                <c:pt idx="2">
                  <c:v>TikTok</c:v>
                </c:pt>
                <c:pt idx="3">
                  <c:v>X</c:v>
                </c:pt>
                <c:pt idx="4">
                  <c:v>Youtube</c:v>
                </c:pt>
              </c:strCache>
            </c:strRef>
          </c:cat>
          <c:val>
            <c:numRef>
              <c:f>'Social Media'!$C$5:$G$5</c:f>
              <c:numCache>
                <c:formatCode>#,##0</c:formatCode>
                <c:ptCount val="5"/>
                <c:pt idx="0">
                  <c:v>581000</c:v>
                </c:pt>
                <c:pt idx="1">
                  <c:v>44500</c:v>
                </c:pt>
                <c:pt idx="2">
                  <c:v>6062</c:v>
                </c:pt>
                <c:pt idx="3">
                  <c:v>55500</c:v>
                </c:pt>
                <c:pt idx="4">
                  <c:v>9080</c:v>
                </c:pt>
              </c:numCache>
            </c:numRef>
          </c:val>
          <c:extLst>
            <c:ext xmlns:c16="http://schemas.microsoft.com/office/drawing/2014/chart" uri="{C3380CC4-5D6E-409C-BE32-E72D297353CC}">
              <c16:uniqueId val="{00000001-665E-4CE2-B3B8-7A924CEC3F31}"/>
            </c:ext>
          </c:extLst>
        </c:ser>
        <c:ser>
          <c:idx val="2"/>
          <c:order val="2"/>
          <c:tx>
            <c:strRef>
              <c:f>'Social Media'!$B$6</c:f>
              <c:strCache>
                <c:ptCount val="1"/>
                <c:pt idx="0">
                  <c:v>Ladbrokes Australia</c:v>
                </c:pt>
              </c:strCache>
            </c:strRef>
          </c:tx>
          <c:spPr>
            <a:solidFill>
              <a:schemeClr val="accent3"/>
            </a:solidFill>
            <a:ln>
              <a:noFill/>
            </a:ln>
            <a:effectLst/>
          </c:spPr>
          <c:invertIfNegative val="0"/>
          <c:cat>
            <c:strRef>
              <c:f>'Social Media'!$C$3:$G$3</c:f>
              <c:strCache>
                <c:ptCount val="5"/>
                <c:pt idx="0">
                  <c:v>Facebook</c:v>
                </c:pt>
                <c:pt idx="1">
                  <c:v>Instagram</c:v>
                </c:pt>
                <c:pt idx="2">
                  <c:v>TikTok</c:v>
                </c:pt>
                <c:pt idx="3">
                  <c:v>X</c:v>
                </c:pt>
                <c:pt idx="4">
                  <c:v>Youtube</c:v>
                </c:pt>
              </c:strCache>
            </c:strRef>
          </c:cat>
          <c:val>
            <c:numRef>
              <c:f>'Social Media'!$C$6:$G$6</c:f>
              <c:numCache>
                <c:formatCode>#,##0</c:formatCode>
                <c:ptCount val="5"/>
                <c:pt idx="0">
                  <c:v>343000</c:v>
                </c:pt>
                <c:pt idx="1">
                  <c:v>22100</c:v>
                </c:pt>
                <c:pt idx="2">
                  <c:v>7745</c:v>
                </c:pt>
                <c:pt idx="3">
                  <c:v>24400</c:v>
                </c:pt>
                <c:pt idx="4">
                  <c:v>1090000</c:v>
                </c:pt>
              </c:numCache>
            </c:numRef>
          </c:val>
          <c:extLst>
            <c:ext xmlns:c16="http://schemas.microsoft.com/office/drawing/2014/chart" uri="{C3380CC4-5D6E-409C-BE32-E72D297353CC}">
              <c16:uniqueId val="{00000002-665E-4CE2-B3B8-7A924CEC3F31}"/>
            </c:ext>
          </c:extLst>
        </c:ser>
        <c:ser>
          <c:idx val="3"/>
          <c:order val="3"/>
          <c:tx>
            <c:strRef>
              <c:f>'Social Media'!$B$7</c:f>
              <c:strCache>
                <c:ptCount val="1"/>
                <c:pt idx="0">
                  <c:v>PointsBet</c:v>
                </c:pt>
              </c:strCache>
            </c:strRef>
          </c:tx>
          <c:spPr>
            <a:solidFill>
              <a:schemeClr val="accent4"/>
            </a:solidFill>
            <a:ln>
              <a:noFill/>
            </a:ln>
            <a:effectLst/>
          </c:spPr>
          <c:invertIfNegative val="0"/>
          <c:cat>
            <c:strRef>
              <c:f>'Social Media'!$C$3:$G$3</c:f>
              <c:strCache>
                <c:ptCount val="5"/>
                <c:pt idx="0">
                  <c:v>Facebook</c:v>
                </c:pt>
                <c:pt idx="1">
                  <c:v>Instagram</c:v>
                </c:pt>
                <c:pt idx="2">
                  <c:v>TikTok</c:v>
                </c:pt>
                <c:pt idx="3">
                  <c:v>X</c:v>
                </c:pt>
                <c:pt idx="4">
                  <c:v>Youtube</c:v>
                </c:pt>
              </c:strCache>
            </c:strRef>
          </c:cat>
          <c:val>
            <c:numRef>
              <c:f>'Social Media'!$C$7:$G$7</c:f>
              <c:numCache>
                <c:formatCode>#,##0</c:formatCode>
                <c:ptCount val="5"/>
                <c:pt idx="0">
                  <c:v>152000</c:v>
                </c:pt>
                <c:pt idx="1">
                  <c:v>38400</c:v>
                </c:pt>
                <c:pt idx="2">
                  <c:v>3856</c:v>
                </c:pt>
                <c:pt idx="3">
                  <c:v>17800</c:v>
                </c:pt>
                <c:pt idx="4">
                  <c:v>825</c:v>
                </c:pt>
              </c:numCache>
            </c:numRef>
          </c:val>
          <c:extLst>
            <c:ext xmlns:c16="http://schemas.microsoft.com/office/drawing/2014/chart" uri="{C3380CC4-5D6E-409C-BE32-E72D297353CC}">
              <c16:uniqueId val="{00000003-665E-4CE2-B3B8-7A924CEC3F31}"/>
            </c:ext>
          </c:extLst>
        </c:ser>
        <c:ser>
          <c:idx val="4"/>
          <c:order val="4"/>
          <c:tx>
            <c:strRef>
              <c:f>'Social Media'!$B$8</c:f>
              <c:strCache>
                <c:ptCount val="1"/>
                <c:pt idx="0">
                  <c:v>BetR Australia</c:v>
                </c:pt>
              </c:strCache>
            </c:strRef>
          </c:tx>
          <c:spPr>
            <a:solidFill>
              <a:schemeClr val="accent5"/>
            </a:solidFill>
            <a:ln>
              <a:noFill/>
            </a:ln>
            <a:effectLst/>
          </c:spPr>
          <c:invertIfNegative val="0"/>
          <c:cat>
            <c:strRef>
              <c:f>'Social Media'!$C$3:$G$3</c:f>
              <c:strCache>
                <c:ptCount val="5"/>
                <c:pt idx="0">
                  <c:v>Facebook</c:v>
                </c:pt>
                <c:pt idx="1">
                  <c:v>Instagram</c:v>
                </c:pt>
                <c:pt idx="2">
                  <c:v>TikTok</c:v>
                </c:pt>
                <c:pt idx="3">
                  <c:v>X</c:v>
                </c:pt>
                <c:pt idx="4">
                  <c:v>Youtube</c:v>
                </c:pt>
              </c:strCache>
            </c:strRef>
          </c:cat>
          <c:val>
            <c:numRef>
              <c:f>'Social Media'!$C$8:$G$8</c:f>
              <c:numCache>
                <c:formatCode>#,##0</c:formatCode>
                <c:ptCount val="5"/>
                <c:pt idx="0">
                  <c:v>14000</c:v>
                </c:pt>
                <c:pt idx="1">
                  <c:v>17100</c:v>
                </c:pt>
                <c:pt idx="2">
                  <c:v>4247</c:v>
                </c:pt>
                <c:pt idx="3">
                  <c:v>3625</c:v>
                </c:pt>
                <c:pt idx="4">
                  <c:v>3020</c:v>
                </c:pt>
              </c:numCache>
            </c:numRef>
          </c:val>
          <c:extLst>
            <c:ext xmlns:c16="http://schemas.microsoft.com/office/drawing/2014/chart" uri="{C3380CC4-5D6E-409C-BE32-E72D297353CC}">
              <c16:uniqueId val="{00000004-665E-4CE2-B3B8-7A924CEC3F31}"/>
            </c:ext>
          </c:extLst>
        </c:ser>
        <c:ser>
          <c:idx val="5"/>
          <c:order val="5"/>
          <c:tx>
            <c:strRef>
              <c:f>'Social Media'!$B$9</c:f>
              <c:strCache>
                <c:ptCount val="1"/>
                <c:pt idx="0">
                  <c:v>Dabble Australia</c:v>
                </c:pt>
              </c:strCache>
            </c:strRef>
          </c:tx>
          <c:spPr>
            <a:solidFill>
              <a:schemeClr val="accent6"/>
            </a:solidFill>
            <a:ln>
              <a:noFill/>
            </a:ln>
            <a:effectLst/>
          </c:spPr>
          <c:invertIfNegative val="0"/>
          <c:cat>
            <c:strRef>
              <c:f>'Social Media'!$C$3:$G$3</c:f>
              <c:strCache>
                <c:ptCount val="5"/>
                <c:pt idx="0">
                  <c:v>Facebook</c:v>
                </c:pt>
                <c:pt idx="1">
                  <c:v>Instagram</c:v>
                </c:pt>
                <c:pt idx="2">
                  <c:v>TikTok</c:v>
                </c:pt>
                <c:pt idx="3">
                  <c:v>X</c:v>
                </c:pt>
                <c:pt idx="4">
                  <c:v>Youtube</c:v>
                </c:pt>
              </c:strCache>
            </c:strRef>
          </c:cat>
          <c:val>
            <c:numRef>
              <c:f>'Social Media'!$C$9:$G$9</c:f>
              <c:numCache>
                <c:formatCode>#,##0</c:formatCode>
                <c:ptCount val="5"/>
                <c:pt idx="0">
                  <c:v>35000</c:v>
                </c:pt>
                <c:pt idx="1">
                  <c:v>12800</c:v>
                </c:pt>
                <c:pt idx="2">
                  <c:v>8355</c:v>
                </c:pt>
                <c:pt idx="3">
                  <c:v>5173</c:v>
                </c:pt>
                <c:pt idx="4">
                  <c:v>3100</c:v>
                </c:pt>
              </c:numCache>
            </c:numRef>
          </c:val>
          <c:extLst>
            <c:ext xmlns:c16="http://schemas.microsoft.com/office/drawing/2014/chart" uri="{C3380CC4-5D6E-409C-BE32-E72D297353CC}">
              <c16:uniqueId val="{00000006-665E-4CE2-B3B8-7A924CEC3F31}"/>
            </c:ext>
          </c:extLst>
        </c:ser>
        <c:dLbls>
          <c:showLegendKey val="0"/>
          <c:showVal val="0"/>
          <c:showCatName val="0"/>
          <c:showSerName val="0"/>
          <c:showPercent val="0"/>
          <c:showBubbleSize val="0"/>
        </c:dLbls>
        <c:gapWidth val="219"/>
        <c:overlap val="-27"/>
        <c:axId val="105300032"/>
        <c:axId val="105304832"/>
      </c:barChart>
      <c:catAx>
        <c:axId val="1053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4832"/>
        <c:crosses val="autoZero"/>
        <c:auto val="1"/>
        <c:lblAlgn val="ctr"/>
        <c:lblOffset val="100"/>
        <c:noMultiLvlLbl val="0"/>
      </c:catAx>
      <c:valAx>
        <c:axId val="105304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0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'Black Market'!$A$6</c:f>
              <c:strCache>
                <c:ptCount val="1"/>
                <c:pt idx="0">
                  <c:v>Onshore Betting</c:v>
                </c:pt>
              </c:strCache>
            </c:strRef>
          </c:tx>
          <c:spPr>
            <a:solidFill>
              <a:schemeClr val="tx2"/>
            </a:solidFill>
            <a:ln>
              <a:noFill/>
            </a:ln>
            <a:effectLst/>
          </c:spPr>
          <c:invertIfNegative val="0"/>
          <c:cat>
            <c:strRef>
              <c:f>'Black Market'!$B$5:$L$5</c:f>
              <c:strCache>
                <c:ptCount val="11"/>
                <c:pt idx="0">
                  <c:v>CY19</c:v>
                </c:pt>
                <c:pt idx="1">
                  <c:v>CY20</c:v>
                </c:pt>
                <c:pt idx="2">
                  <c:v>CY21</c:v>
                </c:pt>
                <c:pt idx="3">
                  <c:v>CY22</c:v>
                </c:pt>
                <c:pt idx="4">
                  <c:v>CY23</c:v>
                </c:pt>
                <c:pt idx="5">
                  <c:v>CY24</c:v>
                </c:pt>
                <c:pt idx="6">
                  <c:v>CY25E</c:v>
                </c:pt>
                <c:pt idx="7">
                  <c:v>CY26E</c:v>
                </c:pt>
                <c:pt idx="8">
                  <c:v>CY27E</c:v>
                </c:pt>
                <c:pt idx="9">
                  <c:v>CY28E</c:v>
                </c:pt>
                <c:pt idx="10">
                  <c:v>CY29E</c:v>
                </c:pt>
              </c:strCache>
            </c:strRef>
          </c:cat>
          <c:val>
            <c:numRef>
              <c:f>'Black Market'!$B$6:$L$6</c:f>
              <c:numCache>
                <c:formatCode>#,##0</c:formatCode>
                <c:ptCount val="11"/>
                <c:pt idx="0">
                  <c:v>3818</c:v>
                </c:pt>
                <c:pt idx="1">
                  <c:v>5161</c:v>
                </c:pt>
                <c:pt idx="2">
                  <c:v>6970</c:v>
                </c:pt>
                <c:pt idx="3">
                  <c:v>7430</c:v>
                </c:pt>
                <c:pt idx="4">
                  <c:v>7066</c:v>
                </c:pt>
                <c:pt idx="5">
                  <c:v>7037</c:v>
                </c:pt>
                <c:pt idx="6">
                  <c:v>6982</c:v>
                </c:pt>
                <c:pt idx="7">
                  <c:v>7204</c:v>
                </c:pt>
                <c:pt idx="8">
                  <c:v>7375</c:v>
                </c:pt>
                <c:pt idx="9">
                  <c:v>7544</c:v>
                </c:pt>
                <c:pt idx="10">
                  <c:v>7714</c:v>
                </c:pt>
              </c:numCache>
            </c:numRef>
          </c:val>
          <c:extLst>
            <c:ext xmlns:c16="http://schemas.microsoft.com/office/drawing/2014/chart" uri="{C3380CC4-5D6E-409C-BE32-E72D297353CC}">
              <c16:uniqueId val="{00000000-2A6B-44B2-AC63-A294F96E4398}"/>
            </c:ext>
          </c:extLst>
        </c:ser>
        <c:ser>
          <c:idx val="1"/>
          <c:order val="1"/>
          <c:tx>
            <c:strRef>
              <c:f>'Black Market'!$A$7</c:f>
              <c:strCache>
                <c:ptCount val="1"/>
                <c:pt idx="0">
                  <c:v>Offshore Betting</c:v>
                </c:pt>
              </c:strCache>
            </c:strRef>
          </c:tx>
          <c:spPr>
            <a:solidFill>
              <a:schemeClr val="bg2"/>
            </a:solidFill>
            <a:ln>
              <a:noFill/>
            </a:ln>
            <a:effectLst/>
          </c:spPr>
          <c:invertIfNegative val="0"/>
          <c:cat>
            <c:strRef>
              <c:f>'Black Market'!$B$5:$L$5</c:f>
              <c:strCache>
                <c:ptCount val="11"/>
                <c:pt idx="0">
                  <c:v>CY19</c:v>
                </c:pt>
                <c:pt idx="1">
                  <c:v>CY20</c:v>
                </c:pt>
                <c:pt idx="2">
                  <c:v>CY21</c:v>
                </c:pt>
                <c:pt idx="3">
                  <c:v>CY22</c:v>
                </c:pt>
                <c:pt idx="4">
                  <c:v>CY23</c:v>
                </c:pt>
                <c:pt idx="5">
                  <c:v>CY24</c:v>
                </c:pt>
                <c:pt idx="6">
                  <c:v>CY25E</c:v>
                </c:pt>
                <c:pt idx="7">
                  <c:v>CY26E</c:v>
                </c:pt>
                <c:pt idx="8">
                  <c:v>CY27E</c:v>
                </c:pt>
                <c:pt idx="9">
                  <c:v>CY28E</c:v>
                </c:pt>
                <c:pt idx="10">
                  <c:v>CY29E</c:v>
                </c:pt>
              </c:strCache>
            </c:strRef>
          </c:cat>
          <c:val>
            <c:numRef>
              <c:f>'Black Market'!$B$7:$L$7</c:f>
              <c:numCache>
                <c:formatCode>#,##0</c:formatCode>
                <c:ptCount val="11"/>
                <c:pt idx="0">
                  <c:v>693</c:v>
                </c:pt>
                <c:pt idx="1">
                  <c:v>911</c:v>
                </c:pt>
                <c:pt idx="2">
                  <c:v>1090</c:v>
                </c:pt>
                <c:pt idx="3">
                  <c:v>1086</c:v>
                </c:pt>
                <c:pt idx="4">
                  <c:v>1359</c:v>
                </c:pt>
                <c:pt idx="5">
                  <c:v>1237</c:v>
                </c:pt>
                <c:pt idx="6">
                  <c:v>1228</c:v>
                </c:pt>
                <c:pt idx="7">
                  <c:v>1294</c:v>
                </c:pt>
                <c:pt idx="8">
                  <c:v>1351</c:v>
                </c:pt>
                <c:pt idx="9">
                  <c:v>1407</c:v>
                </c:pt>
                <c:pt idx="10">
                  <c:v>1463</c:v>
                </c:pt>
              </c:numCache>
            </c:numRef>
          </c:val>
          <c:extLst>
            <c:ext xmlns:c16="http://schemas.microsoft.com/office/drawing/2014/chart" uri="{C3380CC4-5D6E-409C-BE32-E72D297353CC}">
              <c16:uniqueId val="{00000002-2A6B-44B2-AC63-A294F96E4398}"/>
            </c:ext>
          </c:extLst>
        </c:ser>
        <c:dLbls>
          <c:showLegendKey val="0"/>
          <c:showVal val="0"/>
          <c:showCatName val="0"/>
          <c:showSerName val="0"/>
          <c:showPercent val="0"/>
          <c:showBubbleSize val="0"/>
        </c:dLbls>
        <c:gapWidth val="150"/>
        <c:axId val="306636719"/>
        <c:axId val="306639599"/>
      </c:barChart>
      <c:lineChart>
        <c:grouping val="standard"/>
        <c:varyColors val="0"/>
        <c:ser>
          <c:idx val="2"/>
          <c:order val="2"/>
          <c:tx>
            <c:strRef>
              <c:f>'Black Market'!$A$9</c:f>
              <c:strCache>
                <c:ptCount val="1"/>
                <c:pt idx="0">
                  <c:v>Channelling Rate</c:v>
                </c:pt>
              </c:strCache>
            </c:strRef>
          </c:tx>
          <c:spPr>
            <a:ln w="28575" cap="rnd">
              <a:solidFill>
                <a:schemeClr val="accent3"/>
              </a:solidFill>
              <a:round/>
            </a:ln>
            <a:effectLst/>
          </c:spPr>
          <c:marker>
            <c:symbol val="none"/>
          </c:marker>
          <c:cat>
            <c:strRef>
              <c:f>'Black Market'!$B$5:$L$5</c:f>
              <c:strCache>
                <c:ptCount val="11"/>
                <c:pt idx="0">
                  <c:v>CY19</c:v>
                </c:pt>
                <c:pt idx="1">
                  <c:v>CY20</c:v>
                </c:pt>
                <c:pt idx="2">
                  <c:v>CY21</c:v>
                </c:pt>
                <c:pt idx="3">
                  <c:v>CY22</c:v>
                </c:pt>
                <c:pt idx="4">
                  <c:v>CY23</c:v>
                </c:pt>
                <c:pt idx="5">
                  <c:v>CY24</c:v>
                </c:pt>
                <c:pt idx="6">
                  <c:v>CY25E</c:v>
                </c:pt>
                <c:pt idx="7">
                  <c:v>CY26E</c:v>
                </c:pt>
                <c:pt idx="8">
                  <c:v>CY27E</c:v>
                </c:pt>
                <c:pt idx="9">
                  <c:v>CY28E</c:v>
                </c:pt>
                <c:pt idx="10">
                  <c:v>CY29E</c:v>
                </c:pt>
              </c:strCache>
            </c:strRef>
          </c:cat>
          <c:val>
            <c:numRef>
              <c:f>'Black Market'!$B$9:$L$9</c:f>
              <c:numCache>
                <c:formatCode>0%</c:formatCode>
                <c:ptCount val="11"/>
                <c:pt idx="0">
                  <c:v>0.85</c:v>
                </c:pt>
                <c:pt idx="1">
                  <c:v>0.85</c:v>
                </c:pt>
                <c:pt idx="2">
                  <c:v>0.86</c:v>
                </c:pt>
                <c:pt idx="3">
                  <c:v>0.87</c:v>
                </c:pt>
                <c:pt idx="4">
                  <c:v>0.84</c:v>
                </c:pt>
                <c:pt idx="5">
                  <c:v>0.85</c:v>
                </c:pt>
                <c:pt idx="6">
                  <c:v>0.85</c:v>
                </c:pt>
                <c:pt idx="7">
                  <c:v>0.85</c:v>
                </c:pt>
                <c:pt idx="8">
                  <c:v>0.85</c:v>
                </c:pt>
                <c:pt idx="9">
                  <c:v>0.84</c:v>
                </c:pt>
                <c:pt idx="10">
                  <c:v>0.84</c:v>
                </c:pt>
              </c:numCache>
            </c:numRef>
          </c:val>
          <c:smooth val="0"/>
          <c:extLst>
            <c:ext xmlns:c16="http://schemas.microsoft.com/office/drawing/2014/chart" uri="{C3380CC4-5D6E-409C-BE32-E72D297353CC}">
              <c16:uniqueId val="{00000003-2A6B-44B2-AC63-A294F96E4398}"/>
            </c:ext>
          </c:extLst>
        </c:ser>
        <c:dLbls>
          <c:showLegendKey val="0"/>
          <c:showVal val="0"/>
          <c:showCatName val="0"/>
          <c:showSerName val="0"/>
          <c:showPercent val="0"/>
          <c:showBubbleSize val="0"/>
        </c:dLbls>
        <c:marker val="1"/>
        <c:smooth val="0"/>
        <c:axId val="446155184"/>
        <c:axId val="446154224"/>
      </c:lineChart>
      <c:catAx>
        <c:axId val="30663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39599"/>
        <c:crosses val="autoZero"/>
        <c:auto val="1"/>
        <c:lblAlgn val="ctr"/>
        <c:lblOffset val="100"/>
        <c:noMultiLvlLbl val="0"/>
      </c:catAx>
      <c:valAx>
        <c:axId val="306639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36719"/>
        <c:crosses val="autoZero"/>
        <c:crossBetween val="between"/>
      </c:valAx>
      <c:valAx>
        <c:axId val="446154224"/>
        <c:scaling>
          <c:orientation val="minMax"/>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55184"/>
        <c:crosses val="max"/>
        <c:crossBetween val="between"/>
      </c:valAx>
      <c:catAx>
        <c:axId val="446155184"/>
        <c:scaling>
          <c:orientation val="minMax"/>
        </c:scaling>
        <c:delete val="1"/>
        <c:axPos val="b"/>
        <c:numFmt formatCode="General" sourceLinked="1"/>
        <c:majorTickMark val="out"/>
        <c:minorTickMark val="none"/>
        <c:tickLblPos val="nextTo"/>
        <c:crossAx val="4461542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'Black Market'!$A$19</c:f>
              <c:strCache>
                <c:ptCount val="1"/>
                <c:pt idx="0">
                  <c:v>Onshore Betting</c:v>
                </c:pt>
              </c:strCache>
            </c:strRef>
          </c:tx>
          <c:spPr>
            <a:solidFill>
              <a:schemeClr val="tx2"/>
            </a:solidFill>
            <a:ln>
              <a:noFill/>
            </a:ln>
            <a:effectLst/>
          </c:spPr>
          <c:invertIfNegative val="0"/>
          <c:cat>
            <c:strRef>
              <c:f>'Black Market'!$B$5:$H$5</c:f>
              <c:strCache>
                <c:ptCount val="7"/>
                <c:pt idx="0">
                  <c:v>CY19</c:v>
                </c:pt>
                <c:pt idx="1">
                  <c:v>CY20</c:v>
                </c:pt>
                <c:pt idx="2">
                  <c:v>CY21</c:v>
                </c:pt>
                <c:pt idx="3">
                  <c:v>CY22</c:v>
                </c:pt>
                <c:pt idx="4">
                  <c:v>CY23</c:v>
                </c:pt>
                <c:pt idx="5">
                  <c:v>CY24</c:v>
                </c:pt>
                <c:pt idx="6">
                  <c:v>CY25E</c:v>
                </c:pt>
              </c:strCache>
            </c:strRef>
          </c:cat>
          <c:val>
            <c:numRef>
              <c:f>'Black Market'!$B$19:$H$19</c:f>
              <c:numCache>
                <c:formatCode>#,##0</c:formatCode>
                <c:ptCount val="7"/>
                <c:pt idx="0">
                  <c:v>3818</c:v>
                </c:pt>
                <c:pt idx="1">
                  <c:v>5161</c:v>
                </c:pt>
                <c:pt idx="2">
                  <c:v>6970</c:v>
                </c:pt>
                <c:pt idx="3">
                  <c:v>7430</c:v>
                </c:pt>
                <c:pt idx="4">
                  <c:v>7066</c:v>
                </c:pt>
                <c:pt idx="5">
                  <c:v>7037</c:v>
                </c:pt>
                <c:pt idx="6">
                  <c:v>6982</c:v>
                </c:pt>
              </c:numCache>
            </c:numRef>
          </c:val>
          <c:extLst>
            <c:ext xmlns:c16="http://schemas.microsoft.com/office/drawing/2014/chart" uri="{C3380CC4-5D6E-409C-BE32-E72D297353CC}">
              <c16:uniqueId val="{00000000-023D-4ACD-8C62-32CB9A26A7CA}"/>
            </c:ext>
          </c:extLst>
        </c:ser>
        <c:ser>
          <c:idx val="1"/>
          <c:order val="1"/>
          <c:tx>
            <c:strRef>
              <c:f>'Black Market'!$A$20</c:f>
              <c:strCache>
                <c:ptCount val="1"/>
                <c:pt idx="0">
                  <c:v>Offshore Betting</c:v>
                </c:pt>
              </c:strCache>
            </c:strRef>
          </c:tx>
          <c:spPr>
            <a:solidFill>
              <a:schemeClr val="bg2"/>
            </a:solidFill>
            <a:ln>
              <a:noFill/>
            </a:ln>
            <a:effectLst/>
          </c:spPr>
          <c:invertIfNegative val="0"/>
          <c:cat>
            <c:strRef>
              <c:f>'Black Market'!$B$5:$H$5</c:f>
              <c:strCache>
                <c:ptCount val="7"/>
                <c:pt idx="0">
                  <c:v>CY19</c:v>
                </c:pt>
                <c:pt idx="1">
                  <c:v>CY20</c:v>
                </c:pt>
                <c:pt idx="2">
                  <c:v>CY21</c:v>
                </c:pt>
                <c:pt idx="3">
                  <c:v>CY22</c:v>
                </c:pt>
                <c:pt idx="4">
                  <c:v>CY23</c:v>
                </c:pt>
                <c:pt idx="5">
                  <c:v>CY24</c:v>
                </c:pt>
                <c:pt idx="6">
                  <c:v>CY25E</c:v>
                </c:pt>
              </c:strCache>
            </c:strRef>
          </c:cat>
          <c:val>
            <c:numRef>
              <c:f>'Black Market'!$B$20:$H$20</c:f>
              <c:numCache>
                <c:formatCode>#,##0</c:formatCode>
                <c:ptCount val="7"/>
                <c:pt idx="0">
                  <c:v>693</c:v>
                </c:pt>
                <c:pt idx="1">
                  <c:v>911</c:v>
                </c:pt>
                <c:pt idx="2">
                  <c:v>1090</c:v>
                </c:pt>
                <c:pt idx="3">
                  <c:v>1086</c:v>
                </c:pt>
                <c:pt idx="4">
                  <c:v>1359</c:v>
                </c:pt>
                <c:pt idx="5">
                  <c:v>1237</c:v>
                </c:pt>
                <c:pt idx="6">
                  <c:v>1228</c:v>
                </c:pt>
              </c:numCache>
            </c:numRef>
          </c:val>
          <c:extLst>
            <c:ext xmlns:c16="http://schemas.microsoft.com/office/drawing/2014/chart" uri="{C3380CC4-5D6E-409C-BE32-E72D297353CC}">
              <c16:uniqueId val="{00000001-023D-4ACD-8C62-32CB9A26A7CA}"/>
            </c:ext>
          </c:extLst>
        </c:ser>
        <c:ser>
          <c:idx val="2"/>
          <c:order val="2"/>
          <c:tx>
            <c:strRef>
              <c:f>'Black Market'!$A$21</c:f>
              <c:strCache>
                <c:ptCount val="1"/>
                <c:pt idx="0">
                  <c:v>Offshore Gaming</c:v>
                </c:pt>
              </c:strCache>
            </c:strRef>
          </c:tx>
          <c:spPr>
            <a:solidFill>
              <a:schemeClr val="tx1"/>
            </a:solidFill>
            <a:ln>
              <a:noFill/>
            </a:ln>
            <a:effectLst/>
          </c:spPr>
          <c:invertIfNegative val="0"/>
          <c:cat>
            <c:strRef>
              <c:f>'Black Market'!$B$5:$H$5</c:f>
              <c:strCache>
                <c:ptCount val="7"/>
                <c:pt idx="0">
                  <c:v>CY19</c:v>
                </c:pt>
                <c:pt idx="1">
                  <c:v>CY20</c:v>
                </c:pt>
                <c:pt idx="2">
                  <c:v>CY21</c:v>
                </c:pt>
                <c:pt idx="3">
                  <c:v>CY22</c:v>
                </c:pt>
                <c:pt idx="4">
                  <c:v>CY23</c:v>
                </c:pt>
                <c:pt idx="5">
                  <c:v>CY24</c:v>
                </c:pt>
                <c:pt idx="6">
                  <c:v>CY25E</c:v>
                </c:pt>
              </c:strCache>
            </c:strRef>
          </c:cat>
          <c:val>
            <c:numRef>
              <c:f>'Black Market'!$B$21:$H$21</c:f>
              <c:numCache>
                <c:formatCode>#,##0</c:formatCode>
                <c:ptCount val="7"/>
                <c:pt idx="0">
                  <c:v>772</c:v>
                </c:pt>
                <c:pt idx="1">
                  <c:v>1171</c:v>
                </c:pt>
                <c:pt idx="2">
                  <c:v>1323</c:v>
                </c:pt>
                <c:pt idx="3">
                  <c:v>1596</c:v>
                </c:pt>
                <c:pt idx="4">
                  <c:v>2693</c:v>
                </c:pt>
                <c:pt idx="5">
                  <c:v>2656</c:v>
                </c:pt>
                <c:pt idx="6">
                  <c:v>2701</c:v>
                </c:pt>
              </c:numCache>
            </c:numRef>
          </c:val>
          <c:extLst>
            <c:ext xmlns:c16="http://schemas.microsoft.com/office/drawing/2014/chart" uri="{C3380CC4-5D6E-409C-BE32-E72D297353CC}">
              <c16:uniqueId val="{00000003-023D-4ACD-8C62-32CB9A26A7CA}"/>
            </c:ext>
          </c:extLst>
        </c:ser>
        <c:dLbls>
          <c:showLegendKey val="0"/>
          <c:showVal val="0"/>
          <c:showCatName val="0"/>
          <c:showSerName val="0"/>
          <c:showPercent val="0"/>
          <c:showBubbleSize val="0"/>
        </c:dLbls>
        <c:gapWidth val="150"/>
        <c:overlap val="-10"/>
        <c:axId val="306636719"/>
        <c:axId val="306639599"/>
      </c:barChart>
      <c:catAx>
        <c:axId val="30663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06639599"/>
        <c:crosses val="autoZero"/>
        <c:auto val="1"/>
        <c:lblAlgn val="ctr"/>
        <c:lblOffset val="100"/>
        <c:noMultiLvlLbl val="0"/>
      </c:catAx>
      <c:valAx>
        <c:axId val="306639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06636719"/>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Betting</c:v>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cat>
            <c:strRef>
              <c:f>'Black Market'!$B$5:$H$5</c:f>
              <c:strCache>
                <c:ptCount val="7"/>
                <c:pt idx="0">
                  <c:v>CY19</c:v>
                </c:pt>
                <c:pt idx="1">
                  <c:v>CY20</c:v>
                </c:pt>
                <c:pt idx="2">
                  <c:v>CY21</c:v>
                </c:pt>
                <c:pt idx="3">
                  <c:v>CY22</c:v>
                </c:pt>
                <c:pt idx="4">
                  <c:v>CY23</c:v>
                </c:pt>
                <c:pt idx="5">
                  <c:v>CY24</c:v>
                </c:pt>
                <c:pt idx="6">
                  <c:v>CY25E</c:v>
                </c:pt>
              </c:strCache>
            </c:strRef>
          </c:cat>
          <c:val>
            <c:numRef>
              <c:f>'Black Market'!$B$15:$H$15</c:f>
              <c:numCache>
                <c:formatCode>0%</c:formatCode>
                <c:ptCount val="7"/>
                <c:pt idx="0">
                  <c:v>0.72</c:v>
                </c:pt>
                <c:pt idx="1">
                  <c:v>0.71</c:v>
                </c:pt>
                <c:pt idx="2">
                  <c:v>0.74</c:v>
                </c:pt>
                <c:pt idx="3">
                  <c:v>0.73</c:v>
                </c:pt>
                <c:pt idx="4">
                  <c:v>0.64</c:v>
                </c:pt>
                <c:pt idx="5">
                  <c:v>0.64</c:v>
                </c:pt>
                <c:pt idx="6">
                  <c:v>0.64</c:v>
                </c:pt>
              </c:numCache>
            </c:numRef>
          </c:val>
          <c:smooth val="0"/>
          <c:extLst>
            <c:ext xmlns:c16="http://schemas.microsoft.com/office/drawing/2014/chart" uri="{C3380CC4-5D6E-409C-BE32-E72D297353CC}">
              <c16:uniqueId val="{00000000-8EE5-472E-8E28-AEDBF0B7AF21}"/>
            </c:ext>
          </c:extLst>
        </c:ser>
        <c:ser>
          <c:idx val="1"/>
          <c:order val="1"/>
          <c:tx>
            <c:v>Betting &amp; Gaming</c:v>
          </c:tx>
          <c:spPr>
            <a:ln w="19050" cap="rnd">
              <a:solidFill>
                <a:schemeClr val="accent4">
                  <a:lumMod val="40000"/>
                  <a:lumOff val="60000"/>
                </a:schemeClr>
              </a:solidFill>
              <a:round/>
            </a:ln>
            <a:effectLst/>
          </c:spPr>
          <c:marker>
            <c:symbol val="diamond"/>
            <c:size val="8"/>
            <c:spPr>
              <a:solidFill>
                <a:schemeClr val="accent4"/>
              </a:solidFill>
              <a:ln w="9525">
                <a:noFill/>
              </a:ln>
              <a:effectLst/>
            </c:spPr>
          </c:marker>
          <c:val>
            <c:numRef>
              <c:f>'Black Market'!$B$9:$H$9</c:f>
              <c:numCache>
                <c:formatCode>0%</c:formatCode>
                <c:ptCount val="7"/>
                <c:pt idx="0">
                  <c:v>0.85</c:v>
                </c:pt>
                <c:pt idx="1">
                  <c:v>0.85</c:v>
                </c:pt>
                <c:pt idx="2">
                  <c:v>0.86</c:v>
                </c:pt>
                <c:pt idx="3">
                  <c:v>0.87</c:v>
                </c:pt>
                <c:pt idx="4">
                  <c:v>0.84</c:v>
                </c:pt>
                <c:pt idx="5">
                  <c:v>0.85</c:v>
                </c:pt>
                <c:pt idx="6">
                  <c:v>0.85</c:v>
                </c:pt>
              </c:numCache>
            </c:numRef>
          </c:val>
          <c:smooth val="0"/>
          <c:extLst>
            <c:ext xmlns:c16="http://schemas.microsoft.com/office/drawing/2014/chart" uri="{C3380CC4-5D6E-409C-BE32-E72D297353CC}">
              <c16:uniqueId val="{00000001-8EE5-472E-8E28-AEDBF0B7AF21}"/>
            </c:ext>
          </c:extLst>
        </c:ser>
        <c:dLbls>
          <c:showLegendKey val="0"/>
          <c:showVal val="0"/>
          <c:showCatName val="0"/>
          <c:showSerName val="0"/>
          <c:showPercent val="0"/>
          <c:showBubbleSize val="0"/>
        </c:dLbls>
        <c:marker val="1"/>
        <c:smooth val="0"/>
        <c:axId val="1972715504"/>
        <c:axId val="1972714544"/>
      </c:lineChart>
      <c:catAx>
        <c:axId val="197271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72714544"/>
        <c:crosses val="autoZero"/>
        <c:auto val="1"/>
        <c:lblAlgn val="ctr"/>
        <c:lblOffset val="100"/>
        <c:noMultiLvlLbl val="0"/>
      </c:catAx>
      <c:valAx>
        <c:axId val="1972714544"/>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72715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8178263342082239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'AGS Stats'!$L$3:$L$28</c:f>
              <c:numCache>
                <c:formatCode>General</c:formatCode>
                <c:ptCount val="26"/>
                <c:pt idx="0">
                  <c:v>0.47399999999999998</c:v>
                </c:pt>
                <c:pt idx="1">
                  <c:v>0.45500000000000002</c:v>
                </c:pt>
                <c:pt idx="2">
                  <c:v>0.436</c:v>
                </c:pt>
                <c:pt idx="3" formatCode="#,##0.000">
                  <c:v>0.444304785855892</c:v>
                </c:pt>
                <c:pt idx="4" formatCode="#,##0.000">
                  <c:v>0.423159108801198</c:v>
                </c:pt>
                <c:pt idx="5" formatCode="#,##0.000">
                  <c:v>0.40145703695776103</c:v>
                </c:pt>
                <c:pt idx="6" formatCode="#,##0.000">
                  <c:v>0.40002842647687098</c:v>
                </c:pt>
                <c:pt idx="7" formatCode="#,##0.000">
                  <c:v>0.40900547075175803</c:v>
                </c:pt>
                <c:pt idx="8" formatCode="#,##0.000">
                  <c:v>0.399689011114089</c:v>
                </c:pt>
                <c:pt idx="9" formatCode="#,##0.000">
                  <c:v>0.39396394443695398</c:v>
                </c:pt>
                <c:pt idx="10" formatCode="#,##0.000">
                  <c:v>0.38380253125484798</c:v>
                </c:pt>
                <c:pt idx="11" formatCode="#,##0.000">
                  <c:v>0.37934889341328498</c:v>
                </c:pt>
                <c:pt idx="12" formatCode="#,##0.000">
                  <c:v>0.35024346829831299</c:v>
                </c:pt>
                <c:pt idx="13" formatCode="#,##0.000">
                  <c:v>0.347049024999386</c:v>
                </c:pt>
                <c:pt idx="14" formatCode="#,##0.000">
                  <c:v>0.34731387457490998</c:v>
                </c:pt>
                <c:pt idx="15" formatCode="#,##0.000">
                  <c:v>0.33102972242721801</c:v>
                </c:pt>
                <c:pt idx="16" formatCode="#,##0.000">
                  <c:v>0.338439901110275</c:v>
                </c:pt>
                <c:pt idx="17" formatCode="#,##0.000">
                  <c:v>0.33823770701795203</c:v>
                </c:pt>
                <c:pt idx="18" formatCode="#,##0.000">
                  <c:v>0.33863011157959999</c:v>
                </c:pt>
                <c:pt idx="19" formatCode="#,##0.000">
                  <c:v>0.34861772744194403</c:v>
                </c:pt>
                <c:pt idx="20" formatCode="#,##0.000">
                  <c:v>0.36002455485096002</c:v>
                </c:pt>
                <c:pt idx="21" formatCode="#,##0.000">
                  <c:v>0.38152399836300799</c:v>
                </c:pt>
                <c:pt idx="22" formatCode="#,##0.000">
                  <c:v>0.41592754089395501</c:v>
                </c:pt>
                <c:pt idx="23" formatCode="#,##0.000">
                  <c:v>0.406291463669463</c:v>
                </c:pt>
                <c:pt idx="24" formatCode="#,##0.000">
                  <c:v>0.35139577541707101</c:v>
                </c:pt>
                <c:pt idx="25" formatCode="#,##0.000">
                  <c:v>0.41871960072822301</c:v>
                </c:pt>
              </c:numCache>
            </c:numRef>
          </c:val>
          <c:smooth val="0"/>
          <c:extLst>
            <c:ext xmlns:c16="http://schemas.microsoft.com/office/drawing/2014/chart" uri="{C3380CC4-5D6E-409C-BE32-E72D297353CC}">
              <c16:uniqueId val="{00000000-E0C9-4251-9E0F-3A688B1471C0}"/>
            </c:ext>
          </c:extLst>
        </c:ser>
        <c:dLbls>
          <c:showLegendKey val="0"/>
          <c:showVal val="0"/>
          <c:showCatName val="0"/>
          <c:showSerName val="0"/>
          <c:showPercent val="0"/>
          <c:showBubbleSize val="0"/>
        </c:dLbls>
        <c:smooth val="0"/>
        <c:axId val="224622592"/>
        <c:axId val="224623552"/>
      </c:lineChart>
      <c:catAx>
        <c:axId val="224622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23552"/>
        <c:crosses val="autoZero"/>
        <c:auto val="1"/>
        <c:lblAlgn val="ctr"/>
        <c:lblOffset val="100"/>
        <c:noMultiLvlLbl val="0"/>
      </c:catAx>
      <c:valAx>
        <c:axId val="22462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2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marker>
            <c:symbol val="none"/>
          </c:marker>
          <c:val>
            <c:numRef>
              <c:f>'AGS Stats'!$W$77:$W$105</c:f>
              <c:numCache>
                <c:formatCode>0.00</c:formatCode>
                <c:ptCount val="29"/>
                <c:pt idx="0">
                  <c:v>1</c:v>
                </c:pt>
                <c:pt idx="1">
                  <c:v>1.0026962987172154</c:v>
                </c:pt>
                <c:pt idx="2">
                  <c:v>0.98463926791404532</c:v>
                </c:pt>
                <c:pt idx="3">
                  <c:v>1.0223533035240135</c:v>
                </c:pt>
                <c:pt idx="4">
                  <c:v>1.0179165216914863</c:v>
                </c:pt>
                <c:pt idx="5">
                  <c:v>1.042828667390465</c:v>
                </c:pt>
                <c:pt idx="6">
                  <c:v>1.0940215231165373</c:v>
                </c:pt>
                <c:pt idx="7">
                  <c:v>1.1388711940089795</c:v>
                </c:pt>
                <c:pt idx="8">
                  <c:v>1.182530332947749</c:v>
                </c:pt>
                <c:pt idx="9">
                  <c:v>1.2361746357780947</c:v>
                </c:pt>
                <c:pt idx="10">
                  <c:v>1.2529383064516464</c:v>
                </c:pt>
                <c:pt idx="11">
                  <c:v>1.3311173395097311</c:v>
                </c:pt>
                <c:pt idx="12">
                  <c:v>1.3157974340088734</c:v>
                </c:pt>
                <c:pt idx="13">
                  <c:v>1.4015833406350109</c:v>
                </c:pt>
                <c:pt idx="14">
                  <c:v>1.4283931257047144</c:v>
                </c:pt>
                <c:pt idx="15">
                  <c:v>1.4416677244472342</c:v>
                </c:pt>
                <c:pt idx="16">
                  <c:v>1.5287773486098619</c:v>
                </c:pt>
                <c:pt idx="17">
                  <c:v>1.5430485108663861</c:v>
                </c:pt>
                <c:pt idx="18">
                  <c:v>1.6008344021923195</c:v>
                </c:pt>
                <c:pt idx="19">
                  <c:v>1.6959985074912411</c:v>
                </c:pt>
                <c:pt idx="20">
                  <c:v>1.765392630057897</c:v>
                </c:pt>
                <c:pt idx="21">
                  <c:v>1.8901121770334994</c:v>
                </c:pt>
                <c:pt idx="22">
                  <c:v>2.0995073192090938</c:v>
                </c:pt>
                <c:pt idx="23">
                  <c:v>2.0996185503867149</c:v>
                </c:pt>
                <c:pt idx="24">
                  <c:v>1.8841665352254759</c:v>
                </c:pt>
                <c:pt idx="25">
                  <c:v>2.3616597534737394</c:v>
                </c:pt>
                <c:pt idx="26">
                  <c:v>3.3470230800155485</c:v>
                </c:pt>
                <c:pt idx="27">
                  <c:v>3.3312097993520222</c:v>
                </c:pt>
                <c:pt idx="28">
                  <c:v>3.2552910417556746</c:v>
                </c:pt>
              </c:numCache>
            </c:numRef>
          </c:val>
          <c:smooth val="0"/>
          <c:extLst>
            <c:ext xmlns:c16="http://schemas.microsoft.com/office/drawing/2014/chart" uri="{C3380CC4-5D6E-409C-BE32-E72D297353CC}">
              <c16:uniqueId val="{0000000E-EF9B-44A9-B9E6-6AEEA8C6A076}"/>
            </c:ext>
          </c:extLst>
        </c:ser>
        <c:ser>
          <c:idx val="6"/>
          <c:order val="1"/>
          <c:marker>
            <c:symbol val="none"/>
          </c:marker>
          <c:val>
            <c:numRef>
              <c:f>'AGS Stats'!$X$77:$X$105</c:f>
              <c:numCache>
                <c:formatCode>0.00</c:formatCode>
                <c:ptCount val="29"/>
                <c:pt idx="0">
                  <c:v>1</c:v>
                </c:pt>
                <c:pt idx="1">
                  <c:v>1.0498268234971362</c:v>
                </c:pt>
                <c:pt idx="2">
                  <c:v>1.1962209800761292</c:v>
                </c:pt>
                <c:pt idx="3">
                  <c:v>1.3081151406523372</c:v>
                </c:pt>
                <c:pt idx="4">
                  <c:v>1.3945659606730969</c:v>
                </c:pt>
                <c:pt idx="5">
                  <c:v>1.4895720634946907</c:v>
                </c:pt>
                <c:pt idx="6">
                  <c:v>1.5303568662162472</c:v>
                </c:pt>
                <c:pt idx="7">
                  <c:v>1.5463600570571823</c:v>
                </c:pt>
                <c:pt idx="8">
                  <c:v>1.6036832024578891</c:v>
                </c:pt>
                <c:pt idx="9">
                  <c:v>1.641418802962517</c:v>
                </c:pt>
                <c:pt idx="10">
                  <c:v>1.6871934933159491</c:v>
                </c:pt>
                <c:pt idx="11">
                  <c:v>1.7009337763761476</c:v>
                </c:pt>
                <c:pt idx="12">
                  <c:v>1.6502126924962983</c:v>
                </c:pt>
                <c:pt idx="13">
                  <c:v>1.6861601418929246</c:v>
                </c:pt>
                <c:pt idx="14">
                  <c:v>1.5811104064689054</c:v>
                </c:pt>
                <c:pt idx="15">
                  <c:v>1.6438338665233938</c:v>
                </c:pt>
                <c:pt idx="16">
                  <c:v>1.7034069955582172</c:v>
                </c:pt>
                <c:pt idx="17">
                  <c:v>1.687384273434209</c:v>
                </c:pt>
                <c:pt idx="18">
                  <c:v>1.6873894224895003</c:v>
                </c:pt>
                <c:pt idx="19">
                  <c:v>1.7885705184946428</c:v>
                </c:pt>
                <c:pt idx="20">
                  <c:v>1.8235130964159925</c:v>
                </c:pt>
                <c:pt idx="21">
                  <c:v>1.7508527958967453</c:v>
                </c:pt>
                <c:pt idx="22">
                  <c:v>1.7907277561119841</c:v>
                </c:pt>
                <c:pt idx="23">
                  <c:v>1.800244717760777</c:v>
                </c:pt>
                <c:pt idx="24">
                  <c:v>1.4386456679248572</c:v>
                </c:pt>
                <c:pt idx="25">
                  <c:v>1.5603120350006219</c:v>
                </c:pt>
                <c:pt idx="26">
                  <c:v>1.6389741200108234</c:v>
                </c:pt>
                <c:pt idx="27">
                  <c:v>1.9187840885201393</c:v>
                </c:pt>
                <c:pt idx="28">
                  <c:v>1.9252779991004121</c:v>
                </c:pt>
              </c:numCache>
            </c:numRef>
          </c:val>
          <c:smooth val="0"/>
          <c:extLst>
            <c:ext xmlns:c16="http://schemas.microsoft.com/office/drawing/2014/chart" uri="{C3380CC4-5D6E-409C-BE32-E72D297353CC}">
              <c16:uniqueId val="{0000000F-EF9B-44A9-B9E6-6AEEA8C6A076}"/>
            </c:ext>
          </c:extLst>
        </c:ser>
        <c:ser>
          <c:idx val="3"/>
          <c:order val="2"/>
          <c:tx>
            <c:strRef>
              <c:f>'AGS Stats'!$W$75</c:f>
              <c:strCache>
                <c:ptCount val="1"/>
                <c:pt idx="0">
                  <c:v>Wagering</c:v>
                </c:pt>
              </c:strCache>
            </c:strRef>
          </c:tx>
          <c:spPr>
            <a:ln w="19050" cap="rnd">
              <a:solidFill>
                <a:schemeClr val="tx2"/>
              </a:solidFill>
              <a:round/>
            </a:ln>
            <a:effectLst/>
          </c:spPr>
          <c:marker>
            <c:symbol val="none"/>
          </c:marker>
          <c:dLbls>
            <c:dLbl>
              <c:idx val="23"/>
              <c:tx>
                <c:rich>
                  <a:bodyPr/>
                  <a:lstStyle/>
                  <a:p>
                    <a:r>
                      <a:rPr lang="en-US"/>
                      <a:t>$257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F9B-44A9-B9E6-6AEEA8C6A07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extLst/>
            </c:strRef>
          </c:cat>
          <c:val>
            <c:numRef>
              <c:f>('AGS Stats'!$W$77:$W$100,'AGS Stats'!$W$103:$W$105)</c:f>
              <c:numCache>
                <c:formatCode>0.00</c:formatCode>
                <c:ptCount val="27"/>
                <c:pt idx="0">
                  <c:v>1</c:v>
                </c:pt>
                <c:pt idx="1">
                  <c:v>1.0026962987172154</c:v>
                </c:pt>
                <c:pt idx="2">
                  <c:v>0.98463926791404532</c:v>
                </c:pt>
                <c:pt idx="3">
                  <c:v>1.0223533035240135</c:v>
                </c:pt>
                <c:pt idx="4">
                  <c:v>1.0179165216914863</c:v>
                </c:pt>
                <c:pt idx="5">
                  <c:v>1.042828667390465</c:v>
                </c:pt>
                <c:pt idx="6">
                  <c:v>1.0940215231165373</c:v>
                </c:pt>
                <c:pt idx="7">
                  <c:v>1.1388711940089795</c:v>
                </c:pt>
                <c:pt idx="8">
                  <c:v>1.182530332947749</c:v>
                </c:pt>
                <c:pt idx="9">
                  <c:v>1.2361746357780947</c:v>
                </c:pt>
                <c:pt idx="10">
                  <c:v>1.2529383064516464</c:v>
                </c:pt>
                <c:pt idx="11">
                  <c:v>1.3311173395097311</c:v>
                </c:pt>
                <c:pt idx="12">
                  <c:v>1.3157974340088734</c:v>
                </c:pt>
                <c:pt idx="13">
                  <c:v>1.4015833406350109</c:v>
                </c:pt>
                <c:pt idx="14">
                  <c:v>1.4283931257047144</c:v>
                </c:pt>
                <c:pt idx="15">
                  <c:v>1.4416677244472342</c:v>
                </c:pt>
                <c:pt idx="16">
                  <c:v>1.5287773486098619</c:v>
                </c:pt>
                <c:pt idx="17">
                  <c:v>1.5430485108663861</c:v>
                </c:pt>
                <c:pt idx="18">
                  <c:v>1.6008344021923195</c:v>
                </c:pt>
                <c:pt idx="19">
                  <c:v>1.6959985074912411</c:v>
                </c:pt>
                <c:pt idx="20">
                  <c:v>1.765392630057897</c:v>
                </c:pt>
                <c:pt idx="21">
                  <c:v>1.8901121770334994</c:v>
                </c:pt>
                <c:pt idx="22">
                  <c:v>2.0995073192090938</c:v>
                </c:pt>
                <c:pt idx="23">
                  <c:v>2.0996185503867149</c:v>
                </c:pt>
                <c:pt idx="24">
                  <c:v>3.3470230800155485</c:v>
                </c:pt>
                <c:pt idx="25">
                  <c:v>3.3312097993520222</c:v>
                </c:pt>
                <c:pt idx="26">
                  <c:v>3.2552910417556746</c:v>
                </c:pt>
              </c:numCache>
              <c:extLst/>
            </c:numRef>
          </c:val>
          <c:smooth val="0"/>
          <c:extLst>
            <c:ext xmlns:c16="http://schemas.microsoft.com/office/drawing/2014/chart" uri="{C3380CC4-5D6E-409C-BE32-E72D297353CC}">
              <c16:uniqueId val="{00000002-EF9B-44A9-B9E6-6AEEA8C6A076}"/>
            </c:ext>
          </c:extLst>
        </c:ser>
        <c:ser>
          <c:idx val="0"/>
          <c:order val="3"/>
          <c:tx>
            <c:strRef>
              <c:f>'AGS Stats'!$T$75</c:f>
              <c:strCache>
                <c:ptCount val="1"/>
                <c:pt idx="0">
                  <c:v>Casino</c:v>
                </c:pt>
              </c:strCache>
            </c:strRef>
          </c:tx>
          <c:spPr>
            <a:ln w="19050" cap="rnd">
              <a:solidFill>
                <a:schemeClr val="bg2"/>
              </a:solidFill>
              <a:round/>
            </a:ln>
            <a:effectLst/>
          </c:spPr>
          <c:marker>
            <c:symbol val="none"/>
          </c:marker>
          <c:dLbls>
            <c:dLbl>
              <c:idx val="23"/>
              <c:tx>
                <c:rich>
                  <a:bodyPr rot="0" spcFirstLastPara="1" vertOverflow="ellipsis" vert="horz" wrap="square" lIns="38100" tIns="19050" rIns="38100" bIns="19050" anchor="ctr" anchorCtr="1">
                    <a:spAutoFit/>
                  </a:bodyPr>
                  <a:lstStyle/>
                  <a:p>
                    <a:pPr>
                      <a:defRPr sz="1000" b="1" i="0" u="none" strike="noStrike" kern="1200" baseline="0">
                        <a:solidFill>
                          <a:schemeClr val="bg2">
                            <a:lumMod val="75000"/>
                          </a:schemeClr>
                        </a:solidFill>
                        <a:latin typeface="+mn-lt"/>
                        <a:ea typeface="+mn-ea"/>
                        <a:cs typeface="+mn-cs"/>
                      </a:defRPr>
                    </a:pPr>
                    <a:r>
                      <a:rPr lang="en-US" b="1">
                        <a:solidFill>
                          <a:schemeClr val="bg2">
                            <a:lumMod val="75000"/>
                          </a:schemeClr>
                        </a:solidFill>
                      </a:rPr>
                      <a:t>$248</a:t>
                    </a: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F9B-44A9-B9E6-6AEEA8C6A07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extLst/>
            </c:strRef>
          </c:cat>
          <c:val>
            <c:numRef>
              <c:f>('AGS Stats'!$T$77:$T$100,'AGS Stats'!$T$103:$T$105)</c:f>
              <c:numCache>
                <c:formatCode>0.00</c:formatCode>
                <c:ptCount val="27"/>
                <c:pt idx="0">
                  <c:v>1</c:v>
                </c:pt>
                <c:pt idx="1">
                  <c:v>1.0731146080760094</c:v>
                </c:pt>
                <c:pt idx="2">
                  <c:v>1.1978176959619953</c:v>
                </c:pt>
                <c:pt idx="3">
                  <c:v>1.1624480796350061</c:v>
                </c:pt>
                <c:pt idx="4">
                  <c:v>1.235421572899243</c:v>
                </c:pt>
                <c:pt idx="5">
                  <c:v>1.3108964301439803</c:v>
                </c:pt>
                <c:pt idx="6">
                  <c:v>1.291645153270977</c:v>
                </c:pt>
                <c:pt idx="7">
                  <c:v>1.2791423819024792</c:v>
                </c:pt>
                <c:pt idx="8">
                  <c:v>1.3306145159242873</c:v>
                </c:pt>
                <c:pt idx="9">
                  <c:v>1.2837173104655433</c:v>
                </c:pt>
                <c:pt idx="10">
                  <c:v>1.4047959791228102</c:v>
                </c:pt>
                <c:pt idx="11">
                  <c:v>1.4522546775094864</c:v>
                </c:pt>
                <c:pt idx="12">
                  <c:v>1.4793884408848279</c:v>
                </c:pt>
                <c:pt idx="13">
                  <c:v>1.5592894850516552</c:v>
                </c:pt>
                <c:pt idx="14">
                  <c:v>1.5529571075537485</c:v>
                </c:pt>
                <c:pt idx="15">
                  <c:v>1.6026338162885911</c:v>
                </c:pt>
                <c:pt idx="16">
                  <c:v>1.7404022084582615</c:v>
                </c:pt>
                <c:pt idx="17">
                  <c:v>1.7247135413083208</c:v>
                </c:pt>
                <c:pt idx="18">
                  <c:v>1.8063509901613792</c:v>
                </c:pt>
                <c:pt idx="19">
                  <c:v>2.0969041135385909</c:v>
                </c:pt>
                <c:pt idx="20">
                  <c:v>2.0727473938548768</c:v>
                </c:pt>
                <c:pt idx="21">
                  <c:v>1.8791762508868839</c:v>
                </c:pt>
                <c:pt idx="22">
                  <c:v>1.9666727453677775</c:v>
                </c:pt>
                <c:pt idx="23">
                  <c:v>1.8428887032860599</c:v>
                </c:pt>
                <c:pt idx="24">
                  <c:v>1.04129381662932</c:v>
                </c:pt>
                <c:pt idx="25">
                  <c:v>1.3008060386183491</c:v>
                </c:pt>
                <c:pt idx="26">
                  <c:v>1.2157715643297433</c:v>
                </c:pt>
              </c:numCache>
              <c:extLst/>
            </c:numRef>
          </c:val>
          <c:smooth val="0"/>
          <c:extLst>
            <c:ext xmlns:c16="http://schemas.microsoft.com/office/drawing/2014/chart" uri="{C3380CC4-5D6E-409C-BE32-E72D297353CC}">
              <c16:uniqueId val="{00000005-EF9B-44A9-B9E6-6AEEA8C6A076}"/>
            </c:ext>
          </c:extLst>
        </c:ser>
        <c:ser>
          <c:idx val="1"/>
          <c:order val="4"/>
          <c:tx>
            <c:strRef>
              <c:f>'AGS Stats'!$G$76</c:f>
              <c:strCache>
                <c:ptCount val="1"/>
                <c:pt idx="0">
                  <c:v>Gaming Machines</c:v>
                </c:pt>
              </c:strCache>
            </c:strRef>
          </c:tx>
          <c:spPr>
            <a:ln w="19050" cap="rnd">
              <a:solidFill>
                <a:schemeClr val="accent1"/>
              </a:solidFill>
              <a:round/>
            </a:ln>
            <a:effectLst/>
          </c:spPr>
          <c:marker>
            <c:symbol val="none"/>
          </c:marker>
          <c:dLbls>
            <c:dLbl>
              <c:idx val="23"/>
              <c:tx>
                <c:rich>
                  <a:bodyPr/>
                  <a:lstStyle/>
                  <a:p>
                    <a:r>
                      <a:rPr lang="en-US"/>
                      <a:t>$650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F9B-44A9-B9E6-6AEEA8C6A07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extLst/>
            </c:strRef>
          </c:cat>
          <c:val>
            <c:numRef>
              <c:f>('AGS Stats'!$U$77:$U$100,'AGS Stats'!$U$103:$U$105)</c:f>
              <c:numCache>
                <c:formatCode>0.00</c:formatCode>
                <c:ptCount val="27"/>
                <c:pt idx="0">
                  <c:v>1</c:v>
                </c:pt>
                <c:pt idx="1">
                  <c:v>1.079017698063903</c:v>
                </c:pt>
                <c:pt idx="2">
                  <c:v>1.2597398740943107</c:v>
                </c:pt>
                <c:pt idx="3">
                  <c:v>1.452739671490483</c:v>
                </c:pt>
                <c:pt idx="4">
                  <c:v>1.6012091762044482</c:v>
                </c:pt>
                <c:pt idx="5">
                  <c:v>1.7154608838551462</c:v>
                </c:pt>
                <c:pt idx="6">
                  <c:v>1.8114608556656491</c:v>
                </c:pt>
                <c:pt idx="7">
                  <c:v>1.8174126842672556</c:v>
                </c:pt>
                <c:pt idx="8">
                  <c:v>1.8846422026330176</c:v>
                </c:pt>
                <c:pt idx="9">
                  <c:v>1.964867066945712</c:v>
                </c:pt>
                <c:pt idx="10">
                  <c:v>1.9900780009827741</c:v>
                </c:pt>
                <c:pt idx="11">
                  <c:v>1.9920893707507514</c:v>
                </c:pt>
                <c:pt idx="12">
                  <c:v>1.8771076644557252</c:v>
                </c:pt>
                <c:pt idx="13">
                  <c:v>1.8856894754133151</c:v>
                </c:pt>
                <c:pt idx="14">
                  <c:v>1.8043496678397106</c:v>
                </c:pt>
                <c:pt idx="15">
                  <c:v>1.8438467059368808</c:v>
                </c:pt>
                <c:pt idx="16">
                  <c:v>1.8614732166387962</c:v>
                </c:pt>
                <c:pt idx="17">
                  <c:v>1.8135998520978442</c:v>
                </c:pt>
                <c:pt idx="18">
                  <c:v>1.819823794840759</c:v>
                </c:pt>
                <c:pt idx="19">
                  <c:v>1.8788149243102419</c:v>
                </c:pt>
                <c:pt idx="20">
                  <c:v>1.927276938918574</c:v>
                </c:pt>
                <c:pt idx="21">
                  <c:v>1.9046877498094639</c:v>
                </c:pt>
                <c:pt idx="22">
                  <c:v>1.9312693150480789</c:v>
                </c:pt>
                <c:pt idx="23">
                  <c:v>1.9292135031968256</c:v>
                </c:pt>
                <c:pt idx="24">
                  <c:v>1.8885706193822691</c:v>
                </c:pt>
                <c:pt idx="25">
                  <c:v>2.2714208758200587</c:v>
                </c:pt>
                <c:pt idx="26">
                  <c:v>2.2868798250901179</c:v>
                </c:pt>
              </c:numCache>
              <c:extLst/>
            </c:numRef>
          </c:val>
          <c:smooth val="0"/>
          <c:extLst>
            <c:ext xmlns:c16="http://schemas.microsoft.com/office/drawing/2014/chart" uri="{C3380CC4-5D6E-409C-BE32-E72D297353CC}">
              <c16:uniqueId val="{00000008-EF9B-44A9-B9E6-6AEEA8C6A076}"/>
            </c:ext>
          </c:extLst>
        </c:ser>
        <c:ser>
          <c:idx val="2"/>
          <c:order val="5"/>
          <c:tx>
            <c:strRef>
              <c:f>'AGS Stats'!$V$75</c:f>
              <c:strCache>
                <c:ptCount val="1"/>
                <c:pt idx="0">
                  <c:v>Lotteries</c:v>
                </c:pt>
              </c:strCache>
            </c:strRef>
          </c:tx>
          <c:spPr>
            <a:ln w="19050" cap="rnd">
              <a:solidFill>
                <a:schemeClr val="accent2"/>
              </a:solidFill>
              <a:round/>
            </a:ln>
            <a:effectLst/>
          </c:spPr>
          <c:marker>
            <c:symbol val="none"/>
          </c:marker>
          <c:dLbls>
            <c:dLbl>
              <c:idx val="23"/>
              <c:tx>
                <c:rich>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r>
                      <a:rPr lang="en-US" b="1"/>
                      <a:t>$132</a:t>
                    </a: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F9B-44A9-B9E6-6AEEA8C6A07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extLst/>
            </c:strRef>
          </c:cat>
          <c:val>
            <c:numRef>
              <c:f>('AGS Stats'!$V$77:$V$100,'AGS Stats'!$V$103:$V$105)</c:f>
              <c:numCache>
                <c:formatCode>0.00</c:formatCode>
                <c:ptCount val="27"/>
                <c:pt idx="0">
                  <c:v>1</c:v>
                </c:pt>
                <c:pt idx="1">
                  <c:v>0.96326297775242442</c:v>
                </c:pt>
                <c:pt idx="2">
                  <c:v>1.0004563605248145</c:v>
                </c:pt>
                <c:pt idx="3">
                  <c:v>1.056485968711677</c:v>
                </c:pt>
                <c:pt idx="4">
                  <c:v>1.0501688918505443</c:v>
                </c:pt>
                <c:pt idx="5">
                  <c:v>1.1306544696768202</c:v>
                </c:pt>
                <c:pt idx="6">
                  <c:v>1.1238983601859829</c:v>
                </c:pt>
                <c:pt idx="7">
                  <c:v>1.2001582814419964</c:v>
                </c:pt>
                <c:pt idx="8">
                  <c:v>1.2141995611421676</c:v>
                </c:pt>
                <c:pt idx="9">
                  <c:v>1.2165569117201596</c:v>
                </c:pt>
                <c:pt idx="10">
                  <c:v>1.2394668189339075</c:v>
                </c:pt>
                <c:pt idx="11">
                  <c:v>1.2658042631706674</c:v>
                </c:pt>
                <c:pt idx="12">
                  <c:v>1.3143253534774444</c:v>
                </c:pt>
                <c:pt idx="13">
                  <c:v>1.3813987997112149</c:v>
                </c:pt>
                <c:pt idx="14">
                  <c:v>1.0101591145291227</c:v>
                </c:pt>
                <c:pt idx="15">
                  <c:v>1.183765430320924</c:v>
                </c:pt>
                <c:pt idx="16">
                  <c:v>1.2901431642778549</c:v>
                </c:pt>
                <c:pt idx="17">
                  <c:v>1.3859321121574102</c:v>
                </c:pt>
                <c:pt idx="18">
                  <c:v>1.2355602851682259</c:v>
                </c:pt>
                <c:pt idx="19">
                  <c:v>1.2415645582262749</c:v>
                </c:pt>
                <c:pt idx="20">
                  <c:v>1.3113588598381745</c:v>
                </c:pt>
                <c:pt idx="21">
                  <c:v>1.2079223827276098</c:v>
                </c:pt>
                <c:pt idx="22">
                  <c:v>1.241786589635425</c:v>
                </c:pt>
                <c:pt idx="23">
                  <c:v>1.505938484834866</c:v>
                </c:pt>
                <c:pt idx="24">
                  <c:v>1.7769054285873587</c:v>
                </c:pt>
                <c:pt idx="25">
                  <c:v>1.7208326604218711</c:v>
                </c:pt>
                <c:pt idx="26">
                  <c:v>1.874987794329823</c:v>
                </c:pt>
              </c:numCache>
              <c:extLst/>
            </c:numRef>
          </c:val>
          <c:smooth val="0"/>
          <c:extLst>
            <c:ext xmlns:c16="http://schemas.microsoft.com/office/drawing/2014/chart" uri="{C3380CC4-5D6E-409C-BE32-E72D297353CC}">
              <c16:uniqueId val="{0000000B-EF9B-44A9-B9E6-6AEEA8C6A076}"/>
            </c:ext>
          </c:extLst>
        </c:ser>
        <c:ser>
          <c:idx val="4"/>
          <c:order val="6"/>
          <c:tx>
            <c:strRef>
              <c:f>'AGS Stats'!$Y$75</c:f>
              <c:strCache>
                <c:ptCount val="1"/>
                <c:pt idx="0">
                  <c:v>CPI</c:v>
                </c:pt>
              </c:strCache>
            </c:strRef>
          </c:tx>
          <c:spPr>
            <a:ln w="19050" cap="rnd">
              <a:solidFill>
                <a:srgbClr val="FF0000"/>
              </a:solidFill>
              <a:prstDash val="sysDash"/>
              <a:round/>
            </a:ln>
            <a:effectLst/>
          </c:spPr>
          <c:marker>
            <c:symbol val="none"/>
          </c:marker>
          <c:cat>
            <c:strRef>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extLst/>
            </c:strRef>
          </c:cat>
          <c:val>
            <c:numRef>
              <c:f>'AGS Stats'!$Y$77:$Y$100</c:f>
              <c:numCache>
                <c:formatCode>0.00</c:formatCode>
                <c:ptCount val="24"/>
                <c:pt idx="0">
                  <c:v>1</c:v>
                </c:pt>
                <c:pt idx="1">
                  <c:v>1.0034549773267112</c:v>
                </c:pt>
                <c:pt idx="2">
                  <c:v>1.0101489958972143</c:v>
                </c:pt>
                <c:pt idx="3">
                  <c:v>1.0211617361261065</c:v>
                </c:pt>
                <c:pt idx="4">
                  <c:v>1.0531202763981862</c:v>
                </c:pt>
                <c:pt idx="5">
                  <c:v>1.1170373569423449</c:v>
                </c:pt>
                <c:pt idx="6">
                  <c:v>1.148779961131505</c:v>
                </c:pt>
                <c:pt idx="7">
                  <c:v>1.1794428849060676</c:v>
                </c:pt>
                <c:pt idx="8">
                  <c:v>1.2085942561001943</c:v>
                </c:pt>
                <c:pt idx="9">
                  <c:v>1.2383934355430792</c:v>
                </c:pt>
                <c:pt idx="10">
                  <c:v>1.288058734614554</c:v>
                </c:pt>
                <c:pt idx="11">
                  <c:v>1.3150507449794859</c:v>
                </c:pt>
                <c:pt idx="12">
                  <c:v>1.3740012956164975</c:v>
                </c:pt>
                <c:pt idx="13">
                  <c:v>1.3938674152450874</c:v>
                </c:pt>
                <c:pt idx="14">
                  <c:v>1.4364068235802201</c:v>
                </c:pt>
                <c:pt idx="15">
                  <c:v>1.4884474195638091</c:v>
                </c:pt>
                <c:pt idx="16">
                  <c:v>1.5059382422802849</c:v>
                </c:pt>
                <c:pt idx="17">
                  <c:v>1.5413517598790756</c:v>
                </c:pt>
                <c:pt idx="18">
                  <c:v>1.5886417620384363</c:v>
                </c:pt>
                <c:pt idx="19">
                  <c:v>1.6128266033254155</c:v>
                </c:pt>
                <c:pt idx="20">
                  <c:v>1.6292377456272944</c:v>
                </c:pt>
                <c:pt idx="21">
                  <c:v>1.6601166054847762</c:v>
                </c:pt>
                <c:pt idx="22">
                  <c:v>1.6948823148348087</c:v>
                </c:pt>
                <c:pt idx="23">
                  <c:v>1.7210105808680631</c:v>
                </c:pt>
              </c:numCache>
              <c:extLst/>
            </c:numRef>
          </c:val>
          <c:smooth val="0"/>
          <c:extLst>
            <c:ext xmlns:c16="http://schemas.microsoft.com/office/drawing/2014/chart" uri="{C3380CC4-5D6E-409C-BE32-E72D297353CC}">
              <c16:uniqueId val="{0000000D-EF9B-44A9-B9E6-6AEEA8C6A076}"/>
            </c:ext>
          </c:extLst>
        </c:ser>
        <c:dLbls>
          <c:showLegendKey val="0"/>
          <c:showVal val="0"/>
          <c:showCatName val="0"/>
          <c:showSerName val="0"/>
          <c:showPercent val="0"/>
          <c:showBubbleSize val="0"/>
        </c:dLbls>
        <c:smooth val="0"/>
        <c:axId val="376400096"/>
        <c:axId val="376399616"/>
      </c:lineChart>
      <c:catAx>
        <c:axId val="376400096"/>
        <c:scaling>
          <c:orientation val="minMax"/>
          <c:min val="1"/>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6399616"/>
        <c:crossesAt val="1"/>
        <c:auto val="1"/>
        <c:lblAlgn val="ctr"/>
        <c:lblOffset val="100"/>
        <c:tickLblSkip val="1"/>
        <c:noMultiLvlLbl val="0"/>
      </c:catAx>
      <c:valAx>
        <c:axId val="376399616"/>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6400096"/>
        <c:crosses val="autoZero"/>
        <c:crossBetween val="between"/>
      </c:valAx>
    </c:plotArea>
    <c:legend>
      <c:legendPos val="b"/>
      <c:layout>
        <c:manualLayout>
          <c:xMode val="edge"/>
          <c:yMode val="edge"/>
          <c:x val="0.14844893162393163"/>
          <c:y val="0.82067500000000004"/>
          <c:w val="0.8496403846153846"/>
          <c:h val="0.1528666666666666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extLst>
                <c:ext xmlns:c15="http://schemas.microsoft.com/office/drawing/2012/chart" uri="{02D57815-91ED-43cb-92C2-25804820EDAC}">
                  <c15:fullRef>
                    <c15:sqref>'AGS Stats'!$C$3:$C$28</c15:sqref>
                  </c15:fullRef>
                </c:ext>
              </c:extLst>
              <c:f>'AGS Stats'!$C$17:$C$26</c:f>
              <c:strCache>
                <c:ptCount val="10"/>
                <c:pt idx="0">
                  <c:v>FY10</c:v>
                </c:pt>
                <c:pt idx="1">
                  <c:v>FY11</c:v>
                </c:pt>
                <c:pt idx="2">
                  <c:v>FY12</c:v>
                </c:pt>
                <c:pt idx="3">
                  <c:v>FY13</c:v>
                </c:pt>
                <c:pt idx="4">
                  <c:v>FY14</c:v>
                </c:pt>
                <c:pt idx="5">
                  <c:v>FY15</c:v>
                </c:pt>
                <c:pt idx="6">
                  <c:v>FY16</c:v>
                </c:pt>
                <c:pt idx="7">
                  <c:v>FY17</c:v>
                </c:pt>
                <c:pt idx="8">
                  <c:v>FY18</c:v>
                </c:pt>
                <c:pt idx="9">
                  <c:v>FY19</c:v>
                </c:pt>
              </c:strCache>
            </c:strRef>
          </c:cat>
          <c:val>
            <c:numRef>
              <c:extLst>
                <c:ext xmlns:c15="http://schemas.microsoft.com/office/drawing/2012/chart" uri="{02D57815-91ED-43cb-92C2-25804820EDAC}">
                  <c15:fullRef>
                    <c15:sqref>'AGS Stats'!$F$3:$F$28</c15:sqref>
                  </c15:fullRef>
                </c:ext>
              </c:extLst>
              <c:f>'AGS Stats'!$F$17:$F$26</c:f>
              <c:numCache>
                <c:formatCode>General</c:formatCode>
                <c:ptCount val="10"/>
                <c:pt idx="0" formatCode="#,##0.000">
                  <c:v>0.41564253185693401</c:v>
                </c:pt>
                <c:pt idx="1" formatCode="#,##0.000">
                  <c:v>0.40506270241166897</c:v>
                </c:pt>
                <c:pt idx="2" formatCode="#,##0.000">
                  <c:v>0.424104699859917</c:v>
                </c:pt>
                <c:pt idx="3" formatCode="#,##0.000">
                  <c:v>0.41614583681015099</c:v>
                </c:pt>
                <c:pt idx="4" formatCode="#,##0.000">
                  <c:v>0.42059823490062798</c:v>
                </c:pt>
                <c:pt idx="5" formatCode="#,##0.000">
                  <c:v>0.47444810111261299</c:v>
                </c:pt>
                <c:pt idx="6" formatCode="#,##0.000">
                  <c:v>0.46528958346051902</c:v>
                </c:pt>
                <c:pt idx="7" formatCode="#,##0.000">
                  <c:v>0.41753024019901802</c:v>
                </c:pt>
                <c:pt idx="8" formatCode="#,##0.000">
                  <c:v>0.42886294546579701</c:v>
                </c:pt>
                <c:pt idx="9" formatCode="#,##0.000">
                  <c:v>0.39253875781587</c:v>
                </c:pt>
              </c:numCache>
            </c:numRef>
          </c:val>
          <c:smooth val="0"/>
          <c:extLst>
            <c:ext xmlns:c16="http://schemas.microsoft.com/office/drawing/2014/chart" uri="{C3380CC4-5D6E-409C-BE32-E72D297353CC}">
              <c16:uniqueId val="{00000000-F7A4-412E-AF86-9875DCDE1AE4}"/>
            </c:ext>
          </c:extLst>
        </c:ser>
        <c:ser>
          <c:idx val="1"/>
          <c:order val="1"/>
          <c:spPr>
            <a:ln w="28575" cap="rnd">
              <a:solidFill>
                <a:schemeClr val="accent2"/>
              </a:solidFill>
              <a:round/>
            </a:ln>
            <a:effectLst/>
          </c:spPr>
          <c:marker>
            <c:symbol val="none"/>
          </c:marker>
          <c:cat>
            <c:strRef>
              <c:extLst>
                <c:ext xmlns:c15="http://schemas.microsoft.com/office/drawing/2012/chart" uri="{02D57815-91ED-43cb-92C2-25804820EDAC}">
                  <c15:fullRef>
                    <c15:sqref>'AGS Stats'!$C$3:$C$28</c15:sqref>
                  </c15:fullRef>
                </c:ext>
              </c:extLst>
              <c:f>'AGS Stats'!$C$17:$C$26</c:f>
              <c:strCache>
                <c:ptCount val="10"/>
                <c:pt idx="0">
                  <c:v>FY10</c:v>
                </c:pt>
                <c:pt idx="1">
                  <c:v>FY11</c:v>
                </c:pt>
                <c:pt idx="2">
                  <c:v>FY12</c:v>
                </c:pt>
                <c:pt idx="3">
                  <c:v>FY13</c:v>
                </c:pt>
                <c:pt idx="4">
                  <c:v>FY14</c:v>
                </c:pt>
                <c:pt idx="5">
                  <c:v>FY15</c:v>
                </c:pt>
                <c:pt idx="6">
                  <c:v>FY16</c:v>
                </c:pt>
                <c:pt idx="7">
                  <c:v>FY17</c:v>
                </c:pt>
                <c:pt idx="8">
                  <c:v>FY18</c:v>
                </c:pt>
                <c:pt idx="9">
                  <c:v>FY19</c:v>
                </c:pt>
              </c:strCache>
            </c:strRef>
          </c:cat>
          <c:val>
            <c:numRef>
              <c:extLst>
                <c:ext xmlns:c15="http://schemas.microsoft.com/office/drawing/2012/chart" uri="{02D57815-91ED-43cb-92C2-25804820EDAC}">
                  <c15:fullRef>
                    <c15:sqref>'AGS Stats'!$G$3:$G$28</c15:sqref>
                  </c15:fullRef>
                </c:ext>
              </c:extLst>
              <c:f>'AGS Stats'!$G$17:$G$26</c:f>
              <c:numCache>
                <c:formatCode>General</c:formatCode>
                <c:ptCount val="10"/>
                <c:pt idx="0" formatCode="#,##0.000">
                  <c:v>1.2071733843047401</c:v>
                </c:pt>
                <c:pt idx="1" formatCode="#,##0.000">
                  <c:v>1.16493365426053</c:v>
                </c:pt>
                <c:pt idx="2" formatCode="#,##0.000">
                  <c:v>1.1338841331665099</c:v>
                </c:pt>
                <c:pt idx="3" formatCode="#,##0.000">
                  <c:v>1.09385178403661</c:v>
                </c:pt>
                <c:pt idx="4" formatCode="#,##0.000">
                  <c:v>1.0592124340076301</c:v>
                </c:pt>
                <c:pt idx="5" formatCode="#,##0.000">
                  <c:v>1.0626312147781101</c:v>
                </c:pt>
                <c:pt idx="6" formatCode="#,##0.000">
                  <c:v>1.08145761679564</c:v>
                </c:pt>
                <c:pt idx="7" formatCode="#,##0.000">
                  <c:v>1.0578708141579001</c:v>
                </c:pt>
                <c:pt idx="8" formatCode="#,##0.000">
                  <c:v>1.05273167831891</c:v>
                </c:pt>
                <c:pt idx="9" formatCode="#,##0.000">
                  <c:v>1.02719324720893</c:v>
                </c:pt>
              </c:numCache>
            </c:numRef>
          </c:val>
          <c:smooth val="0"/>
          <c:extLst>
            <c:ext xmlns:c16="http://schemas.microsoft.com/office/drawing/2014/chart" uri="{C3380CC4-5D6E-409C-BE32-E72D297353CC}">
              <c16:uniqueId val="{00000001-F7A4-412E-AF86-9875DCDE1AE4}"/>
            </c:ext>
          </c:extLst>
        </c:ser>
        <c:ser>
          <c:idx val="2"/>
          <c:order val="2"/>
          <c:spPr>
            <a:ln w="28575" cap="rnd">
              <a:solidFill>
                <a:schemeClr val="accent3"/>
              </a:solidFill>
              <a:round/>
            </a:ln>
            <a:effectLst/>
          </c:spPr>
          <c:marker>
            <c:symbol val="none"/>
          </c:marker>
          <c:cat>
            <c:strRef>
              <c:extLst>
                <c:ext xmlns:c15="http://schemas.microsoft.com/office/drawing/2012/chart" uri="{02D57815-91ED-43cb-92C2-25804820EDAC}">
                  <c15:fullRef>
                    <c15:sqref>'AGS Stats'!$C$3:$C$28</c15:sqref>
                  </c15:fullRef>
                </c:ext>
              </c:extLst>
              <c:f>'AGS Stats'!$C$17:$C$26</c:f>
              <c:strCache>
                <c:ptCount val="10"/>
                <c:pt idx="0">
                  <c:v>FY10</c:v>
                </c:pt>
                <c:pt idx="1">
                  <c:v>FY11</c:v>
                </c:pt>
                <c:pt idx="2">
                  <c:v>FY12</c:v>
                </c:pt>
                <c:pt idx="3">
                  <c:v>FY13</c:v>
                </c:pt>
                <c:pt idx="4">
                  <c:v>FY14</c:v>
                </c:pt>
                <c:pt idx="5">
                  <c:v>FY15</c:v>
                </c:pt>
                <c:pt idx="6">
                  <c:v>FY16</c:v>
                </c:pt>
                <c:pt idx="7">
                  <c:v>FY17</c:v>
                </c:pt>
                <c:pt idx="8">
                  <c:v>FY18</c:v>
                </c:pt>
                <c:pt idx="9">
                  <c:v>FY19</c:v>
                </c:pt>
              </c:strCache>
            </c:strRef>
          </c:cat>
          <c:val>
            <c:numRef>
              <c:extLst>
                <c:ext xmlns:c15="http://schemas.microsoft.com/office/drawing/2012/chart" uri="{02D57815-91ED-43cb-92C2-25804820EDAC}">
                  <c15:fullRef>
                    <c15:sqref>'AGS Stats'!$J$3:$J$28</c15:sqref>
                  </c15:fullRef>
                </c:ext>
              </c:extLst>
              <c:f>'AGS Stats'!$J$17:$J$26</c:f>
              <c:numCache>
                <c:formatCode>General</c:formatCode>
                <c:ptCount val="10"/>
                <c:pt idx="0" formatCode="#,##0.000">
                  <c:v>0.175901747478273</c:v>
                </c:pt>
                <c:pt idx="1" formatCode="#,##0.000">
                  <c:v>0.194658536023712</c:v>
                </c:pt>
                <c:pt idx="2" formatCode="#,##0.000">
                  <c:v>0.20454139401673499</c:v>
                </c:pt>
                <c:pt idx="3" formatCode="#,##0.000">
                  <c:v>0.217565678206669</c:v>
                </c:pt>
                <c:pt idx="4" formatCode="#,##0.000">
                  <c:v>0.18717553831103201</c:v>
                </c:pt>
                <c:pt idx="5" formatCode="#,##0.000">
                  <c:v>0.182767635828811</c:v>
                </c:pt>
                <c:pt idx="6" formatCode="#,##0.000">
                  <c:v>0.19152186109468999</c:v>
                </c:pt>
                <c:pt idx="7" formatCode="#,##0.000">
                  <c:v>0.1746140941222</c:v>
                </c:pt>
                <c:pt idx="8" formatCode="#,##0.000">
                  <c:v>0.176178633252072</c:v>
                </c:pt>
                <c:pt idx="9" formatCode="#,##0.000">
                  <c:v>0.208694264795275</c:v>
                </c:pt>
              </c:numCache>
            </c:numRef>
          </c:val>
          <c:smooth val="0"/>
          <c:extLst>
            <c:ext xmlns:c16="http://schemas.microsoft.com/office/drawing/2014/chart" uri="{C3380CC4-5D6E-409C-BE32-E72D297353CC}">
              <c16:uniqueId val="{00000002-F7A4-412E-AF86-9875DCDE1AE4}"/>
            </c:ext>
          </c:extLst>
        </c:ser>
        <c:ser>
          <c:idx val="3"/>
          <c:order val="3"/>
          <c:spPr>
            <a:ln w="28575" cap="rnd">
              <a:solidFill>
                <a:schemeClr val="accent4"/>
              </a:solidFill>
              <a:round/>
            </a:ln>
            <a:effectLst/>
          </c:spPr>
          <c:marker>
            <c:symbol val="none"/>
          </c:marker>
          <c:cat>
            <c:strRef>
              <c:extLst>
                <c:ext xmlns:c15="http://schemas.microsoft.com/office/drawing/2012/chart" uri="{02D57815-91ED-43cb-92C2-25804820EDAC}">
                  <c15:fullRef>
                    <c15:sqref>'AGS Stats'!$C$3:$C$28</c15:sqref>
                  </c15:fullRef>
                </c:ext>
              </c:extLst>
              <c:f>'AGS Stats'!$C$17:$C$26</c:f>
              <c:strCache>
                <c:ptCount val="10"/>
                <c:pt idx="0">
                  <c:v>FY10</c:v>
                </c:pt>
                <c:pt idx="1">
                  <c:v>FY11</c:v>
                </c:pt>
                <c:pt idx="2">
                  <c:v>FY12</c:v>
                </c:pt>
                <c:pt idx="3">
                  <c:v>FY13</c:v>
                </c:pt>
                <c:pt idx="4">
                  <c:v>FY14</c:v>
                </c:pt>
                <c:pt idx="5">
                  <c:v>FY15</c:v>
                </c:pt>
                <c:pt idx="6">
                  <c:v>FY16</c:v>
                </c:pt>
                <c:pt idx="7">
                  <c:v>FY17</c:v>
                </c:pt>
                <c:pt idx="8">
                  <c:v>FY18</c:v>
                </c:pt>
                <c:pt idx="9">
                  <c:v>FY19</c:v>
                </c:pt>
              </c:strCache>
            </c:strRef>
          </c:cat>
          <c:val>
            <c:numRef>
              <c:extLst>
                <c:ext xmlns:c15="http://schemas.microsoft.com/office/drawing/2012/chart" uri="{02D57815-91ED-43cb-92C2-25804820EDAC}">
                  <c15:fullRef>
                    <c15:sqref>'AGS Stats'!$L$3:$L$28</c15:sqref>
                  </c15:fullRef>
                </c:ext>
              </c:extLst>
              <c:f>'AGS Stats'!$L$17:$L$26</c:f>
              <c:numCache>
                <c:formatCode>General</c:formatCode>
                <c:ptCount val="10"/>
                <c:pt idx="0" formatCode="#,##0.000">
                  <c:v>0.34731387457490998</c:v>
                </c:pt>
                <c:pt idx="1" formatCode="#,##0.000">
                  <c:v>0.33102972242721801</c:v>
                </c:pt>
                <c:pt idx="2" formatCode="#,##0.000">
                  <c:v>0.338439901110275</c:v>
                </c:pt>
                <c:pt idx="3" formatCode="#,##0.000">
                  <c:v>0.33823770701795203</c:v>
                </c:pt>
                <c:pt idx="4" formatCode="#,##0.000">
                  <c:v>0.33863011157959999</c:v>
                </c:pt>
                <c:pt idx="5" formatCode="#,##0.000">
                  <c:v>0.34861772744194403</c:v>
                </c:pt>
                <c:pt idx="6" formatCode="#,##0.000">
                  <c:v>0.36002455485096002</c:v>
                </c:pt>
                <c:pt idx="7" formatCode="#,##0.000">
                  <c:v>0.38152399836300799</c:v>
                </c:pt>
                <c:pt idx="8" formatCode="#,##0.000">
                  <c:v>0.41592754089395501</c:v>
                </c:pt>
                <c:pt idx="9" formatCode="#,##0.000">
                  <c:v>0.406291463669463</c:v>
                </c:pt>
              </c:numCache>
            </c:numRef>
          </c:val>
          <c:smooth val="0"/>
          <c:extLst>
            <c:ext xmlns:c16="http://schemas.microsoft.com/office/drawing/2014/chart" uri="{C3380CC4-5D6E-409C-BE32-E72D297353CC}">
              <c16:uniqueId val="{00000003-F7A4-412E-AF86-9875DCDE1AE4}"/>
            </c:ext>
          </c:extLst>
        </c:ser>
        <c:dLbls>
          <c:showLegendKey val="0"/>
          <c:showVal val="0"/>
          <c:showCatName val="0"/>
          <c:showSerName val="0"/>
          <c:showPercent val="0"/>
          <c:showBubbleSize val="0"/>
        </c:dLbls>
        <c:smooth val="0"/>
        <c:axId val="376069648"/>
        <c:axId val="376054288"/>
      </c:lineChart>
      <c:catAx>
        <c:axId val="37606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54288"/>
        <c:crosses val="autoZero"/>
        <c:auto val="1"/>
        <c:lblAlgn val="ctr"/>
        <c:lblOffset val="100"/>
        <c:noMultiLvlLbl val="0"/>
      </c:catAx>
      <c:valAx>
        <c:axId val="37605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69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'AGS Stats'!$W$75</c:f>
              <c:strCache>
                <c:ptCount val="1"/>
                <c:pt idx="0">
                  <c:v>Wagering</c:v>
                </c:pt>
              </c:strCache>
            </c:strRef>
          </c:tx>
          <c:spPr>
            <a:ln w="19050" cap="rnd">
              <a:solidFill>
                <a:schemeClr val="tx2"/>
              </a:solidFill>
              <a:round/>
            </a:ln>
            <a:effectLst/>
          </c:spPr>
          <c:marker>
            <c:symbol val="none"/>
          </c:marker>
          <c:dLbls>
            <c:dLbl>
              <c:idx val="23"/>
              <c:tx>
                <c:rich>
                  <a:bodyPr/>
                  <a:lstStyle/>
                  <a:p>
                    <a:r>
                      <a:rPr lang="en-US"/>
                      <a:t>$257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3A6-4470-9F6B-7791B2E67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'AGS Stats'!$C$77:$C$105</c15:sqref>
                  </c15:fullRef>
                </c:ext>
              </c:extLst>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Stats'!$W$77:$W$105</c15:sqref>
                  </c15:fullRef>
                </c:ext>
              </c:extLst>
              <c:f>('AGS Stats'!$W$77:$W$100,'AGS Stats'!$W$103:$W$105)</c:f>
              <c:numCache>
                <c:formatCode>0.00</c:formatCode>
                <c:ptCount val="27"/>
                <c:pt idx="0">
                  <c:v>1</c:v>
                </c:pt>
                <c:pt idx="1">
                  <c:v>1.0026962987172154</c:v>
                </c:pt>
                <c:pt idx="2">
                  <c:v>0.98463926791404532</c:v>
                </c:pt>
                <c:pt idx="3">
                  <c:v>1.0223533035240135</c:v>
                </c:pt>
                <c:pt idx="4">
                  <c:v>1.0179165216914863</c:v>
                </c:pt>
                <c:pt idx="5">
                  <c:v>1.042828667390465</c:v>
                </c:pt>
                <c:pt idx="6">
                  <c:v>1.0940215231165373</c:v>
                </c:pt>
                <c:pt idx="7">
                  <c:v>1.1388711940089795</c:v>
                </c:pt>
                <c:pt idx="8">
                  <c:v>1.182530332947749</c:v>
                </c:pt>
                <c:pt idx="9">
                  <c:v>1.2361746357780947</c:v>
                </c:pt>
                <c:pt idx="10">
                  <c:v>1.2529383064516464</c:v>
                </c:pt>
                <c:pt idx="11">
                  <c:v>1.3311173395097311</c:v>
                </c:pt>
                <c:pt idx="12">
                  <c:v>1.3157974340088734</c:v>
                </c:pt>
                <c:pt idx="13">
                  <c:v>1.4015833406350109</c:v>
                </c:pt>
                <c:pt idx="14">
                  <c:v>1.4283931257047144</c:v>
                </c:pt>
                <c:pt idx="15">
                  <c:v>1.4416677244472342</c:v>
                </c:pt>
                <c:pt idx="16">
                  <c:v>1.5287773486098619</c:v>
                </c:pt>
                <c:pt idx="17">
                  <c:v>1.5430485108663861</c:v>
                </c:pt>
                <c:pt idx="18">
                  <c:v>1.6008344021923195</c:v>
                </c:pt>
                <c:pt idx="19">
                  <c:v>1.6959985074912411</c:v>
                </c:pt>
                <c:pt idx="20">
                  <c:v>1.765392630057897</c:v>
                </c:pt>
                <c:pt idx="21">
                  <c:v>1.8901121770334994</c:v>
                </c:pt>
                <c:pt idx="22">
                  <c:v>2.0995073192090938</c:v>
                </c:pt>
                <c:pt idx="23">
                  <c:v>2.0996185503867149</c:v>
                </c:pt>
                <c:pt idx="24">
                  <c:v>3.3470230800155485</c:v>
                </c:pt>
                <c:pt idx="25">
                  <c:v>3.3312097993520222</c:v>
                </c:pt>
                <c:pt idx="26">
                  <c:v>3.2552910417556746</c:v>
                </c:pt>
              </c:numCache>
            </c:numRef>
          </c:val>
          <c:smooth val="0"/>
          <c:extLst>
            <c:ext xmlns:c16="http://schemas.microsoft.com/office/drawing/2014/chart" uri="{C3380CC4-5D6E-409C-BE32-E72D297353CC}">
              <c16:uniqueId val="{00000003-A3A6-4470-9F6B-7791B2E67FAA}"/>
            </c:ext>
          </c:extLst>
        </c:ser>
        <c:ser>
          <c:idx val="0"/>
          <c:order val="1"/>
          <c:tx>
            <c:strRef>
              <c:f>'AGS Stats'!$T$75</c:f>
              <c:strCache>
                <c:ptCount val="1"/>
                <c:pt idx="0">
                  <c:v>Casino</c:v>
                </c:pt>
              </c:strCache>
            </c:strRef>
          </c:tx>
          <c:spPr>
            <a:ln w="19050" cap="rnd">
              <a:solidFill>
                <a:schemeClr val="bg2"/>
              </a:solidFill>
              <a:round/>
            </a:ln>
            <a:effectLst/>
          </c:spPr>
          <c:marker>
            <c:symbol val="none"/>
          </c:marker>
          <c:dLbls>
            <c:dLbl>
              <c:idx val="23"/>
              <c:tx>
                <c:rich>
                  <a:bodyPr rot="0" spcFirstLastPara="1" vertOverflow="ellipsis" vert="horz" wrap="square" lIns="38100" tIns="19050" rIns="38100" bIns="19050" anchor="ctr" anchorCtr="1">
                    <a:spAutoFit/>
                  </a:bodyPr>
                  <a:lstStyle/>
                  <a:p>
                    <a:pPr>
                      <a:defRPr sz="1000" b="1" i="0" u="none" strike="noStrike" kern="1200" baseline="0">
                        <a:solidFill>
                          <a:schemeClr val="bg2">
                            <a:lumMod val="75000"/>
                          </a:schemeClr>
                        </a:solidFill>
                        <a:latin typeface="+mn-lt"/>
                        <a:ea typeface="+mn-ea"/>
                        <a:cs typeface="+mn-cs"/>
                      </a:defRPr>
                    </a:pPr>
                    <a:r>
                      <a:rPr lang="en-US" b="1">
                        <a:solidFill>
                          <a:schemeClr val="bg2">
                            <a:lumMod val="75000"/>
                          </a:schemeClr>
                        </a:solidFill>
                      </a:rPr>
                      <a:t>$248</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3A6-4470-9F6B-7791B2E67FA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'AGS Stats'!$C$77:$C$105</c15:sqref>
                  </c15:fullRef>
                </c:ext>
              </c:extLst>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Stats'!$T$77:$T$105</c15:sqref>
                  </c15:fullRef>
                </c:ext>
              </c:extLst>
              <c:f>('AGS Stats'!$T$77:$T$100,'AGS Stats'!$T$103:$T$105)</c:f>
              <c:numCache>
                <c:formatCode>0.00</c:formatCode>
                <c:ptCount val="27"/>
                <c:pt idx="0">
                  <c:v>1</c:v>
                </c:pt>
                <c:pt idx="1">
                  <c:v>1.0731146080760094</c:v>
                </c:pt>
                <c:pt idx="2">
                  <c:v>1.1978176959619953</c:v>
                </c:pt>
                <c:pt idx="3">
                  <c:v>1.1624480796350061</c:v>
                </c:pt>
                <c:pt idx="4">
                  <c:v>1.235421572899243</c:v>
                </c:pt>
                <c:pt idx="5">
                  <c:v>1.3108964301439803</c:v>
                </c:pt>
                <c:pt idx="6">
                  <c:v>1.291645153270977</c:v>
                </c:pt>
                <c:pt idx="7">
                  <c:v>1.2791423819024792</c:v>
                </c:pt>
                <c:pt idx="8">
                  <c:v>1.3306145159242873</c:v>
                </c:pt>
                <c:pt idx="9">
                  <c:v>1.2837173104655433</c:v>
                </c:pt>
                <c:pt idx="10">
                  <c:v>1.4047959791228102</c:v>
                </c:pt>
                <c:pt idx="11">
                  <c:v>1.4522546775094864</c:v>
                </c:pt>
                <c:pt idx="12">
                  <c:v>1.4793884408848279</c:v>
                </c:pt>
                <c:pt idx="13">
                  <c:v>1.5592894850516552</c:v>
                </c:pt>
                <c:pt idx="14">
                  <c:v>1.5529571075537485</c:v>
                </c:pt>
                <c:pt idx="15">
                  <c:v>1.6026338162885911</c:v>
                </c:pt>
                <c:pt idx="16">
                  <c:v>1.7404022084582615</c:v>
                </c:pt>
                <c:pt idx="17">
                  <c:v>1.7247135413083208</c:v>
                </c:pt>
                <c:pt idx="18">
                  <c:v>1.8063509901613792</c:v>
                </c:pt>
                <c:pt idx="19">
                  <c:v>2.0969041135385909</c:v>
                </c:pt>
                <c:pt idx="20">
                  <c:v>2.0727473938548768</c:v>
                </c:pt>
                <c:pt idx="21">
                  <c:v>1.8791762508868839</c:v>
                </c:pt>
                <c:pt idx="22">
                  <c:v>1.9666727453677775</c:v>
                </c:pt>
                <c:pt idx="23">
                  <c:v>1.8428887032860599</c:v>
                </c:pt>
                <c:pt idx="24">
                  <c:v>1.04129381662932</c:v>
                </c:pt>
                <c:pt idx="25">
                  <c:v>1.3008060386183491</c:v>
                </c:pt>
                <c:pt idx="26">
                  <c:v>1.2157715643297433</c:v>
                </c:pt>
              </c:numCache>
            </c:numRef>
          </c:val>
          <c:smooth val="0"/>
          <c:extLst>
            <c:ext xmlns:c16="http://schemas.microsoft.com/office/drawing/2014/chart" uri="{C3380CC4-5D6E-409C-BE32-E72D297353CC}">
              <c16:uniqueId val="{00000000-A3A6-4470-9F6B-7791B2E67FAA}"/>
            </c:ext>
          </c:extLst>
        </c:ser>
        <c:ser>
          <c:idx val="1"/>
          <c:order val="2"/>
          <c:tx>
            <c:strRef>
              <c:f>'AGS Stats'!$G$76</c:f>
              <c:strCache>
                <c:ptCount val="1"/>
                <c:pt idx="0">
                  <c:v>Gaming Machines</c:v>
                </c:pt>
              </c:strCache>
            </c:strRef>
          </c:tx>
          <c:spPr>
            <a:ln w="19050" cap="rnd">
              <a:solidFill>
                <a:schemeClr val="accent1"/>
              </a:solidFill>
              <a:round/>
            </a:ln>
            <a:effectLst/>
          </c:spPr>
          <c:marker>
            <c:symbol val="none"/>
          </c:marker>
          <c:dLbls>
            <c:dLbl>
              <c:idx val="23"/>
              <c:tx>
                <c:rich>
                  <a:bodyPr/>
                  <a:lstStyle/>
                  <a:p>
                    <a:r>
                      <a:rPr lang="en-US"/>
                      <a:t>$650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3A6-4470-9F6B-7791B2E67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'AGS Stats'!$C$77:$C$105</c15:sqref>
                  </c15:fullRef>
                </c:ext>
              </c:extLst>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Stats'!$U$77:$U$105</c15:sqref>
                  </c15:fullRef>
                </c:ext>
              </c:extLst>
              <c:f>('AGS Stats'!$U$77:$U$100,'AGS Stats'!$U$103:$U$105)</c:f>
              <c:numCache>
                <c:formatCode>0.00</c:formatCode>
                <c:ptCount val="27"/>
                <c:pt idx="0">
                  <c:v>1</c:v>
                </c:pt>
                <c:pt idx="1">
                  <c:v>1.079017698063903</c:v>
                </c:pt>
                <c:pt idx="2">
                  <c:v>1.2597398740943107</c:v>
                </c:pt>
                <c:pt idx="3">
                  <c:v>1.452739671490483</c:v>
                </c:pt>
                <c:pt idx="4">
                  <c:v>1.6012091762044482</c:v>
                </c:pt>
                <c:pt idx="5">
                  <c:v>1.7154608838551462</c:v>
                </c:pt>
                <c:pt idx="6">
                  <c:v>1.8114608556656491</c:v>
                </c:pt>
                <c:pt idx="7">
                  <c:v>1.8174126842672556</c:v>
                </c:pt>
                <c:pt idx="8">
                  <c:v>1.8846422026330176</c:v>
                </c:pt>
                <c:pt idx="9">
                  <c:v>1.964867066945712</c:v>
                </c:pt>
                <c:pt idx="10">
                  <c:v>1.9900780009827741</c:v>
                </c:pt>
                <c:pt idx="11">
                  <c:v>1.9920893707507514</c:v>
                </c:pt>
                <c:pt idx="12">
                  <c:v>1.8771076644557252</c:v>
                </c:pt>
                <c:pt idx="13">
                  <c:v>1.8856894754133151</c:v>
                </c:pt>
                <c:pt idx="14">
                  <c:v>1.8043496678397106</c:v>
                </c:pt>
                <c:pt idx="15">
                  <c:v>1.8438467059368808</c:v>
                </c:pt>
                <c:pt idx="16">
                  <c:v>1.8614732166387962</c:v>
                </c:pt>
                <c:pt idx="17">
                  <c:v>1.8135998520978442</c:v>
                </c:pt>
                <c:pt idx="18">
                  <c:v>1.819823794840759</c:v>
                </c:pt>
                <c:pt idx="19">
                  <c:v>1.8788149243102419</c:v>
                </c:pt>
                <c:pt idx="20">
                  <c:v>1.927276938918574</c:v>
                </c:pt>
                <c:pt idx="21">
                  <c:v>1.9046877498094639</c:v>
                </c:pt>
                <c:pt idx="22">
                  <c:v>1.9312693150480789</c:v>
                </c:pt>
                <c:pt idx="23">
                  <c:v>1.9292135031968256</c:v>
                </c:pt>
                <c:pt idx="24">
                  <c:v>1.8885706193822691</c:v>
                </c:pt>
                <c:pt idx="25">
                  <c:v>2.2714208758200587</c:v>
                </c:pt>
                <c:pt idx="26">
                  <c:v>2.2868798250901179</c:v>
                </c:pt>
              </c:numCache>
            </c:numRef>
          </c:val>
          <c:smooth val="0"/>
          <c:extLst>
            <c:ext xmlns:c16="http://schemas.microsoft.com/office/drawing/2014/chart" uri="{C3380CC4-5D6E-409C-BE32-E72D297353CC}">
              <c16:uniqueId val="{00000001-A3A6-4470-9F6B-7791B2E67FAA}"/>
            </c:ext>
          </c:extLst>
        </c:ser>
        <c:ser>
          <c:idx val="2"/>
          <c:order val="3"/>
          <c:tx>
            <c:strRef>
              <c:f>'AGS Stats'!$V$75</c:f>
              <c:strCache>
                <c:ptCount val="1"/>
                <c:pt idx="0">
                  <c:v>Lotteries</c:v>
                </c:pt>
              </c:strCache>
            </c:strRef>
          </c:tx>
          <c:spPr>
            <a:ln w="19050" cap="rnd">
              <a:solidFill>
                <a:schemeClr val="accent2"/>
              </a:solidFill>
              <a:round/>
            </a:ln>
            <a:effectLst/>
          </c:spPr>
          <c:marker>
            <c:symbol val="none"/>
          </c:marker>
          <c:dLbls>
            <c:dLbl>
              <c:idx val="23"/>
              <c:tx>
                <c:rich>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r>
                      <a:rPr lang="en-US" b="1"/>
                      <a:t>$132</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3A6-4470-9F6B-7791B2E67FA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'AGS Stats'!$C$77:$C$105</c15:sqref>
                  </c15:fullRef>
                </c:ext>
              </c:extLst>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Stats'!$V$77:$V$105</c15:sqref>
                  </c15:fullRef>
                </c:ext>
              </c:extLst>
              <c:f>('AGS Stats'!$V$77:$V$100,'AGS Stats'!$V$103:$V$105)</c:f>
              <c:numCache>
                <c:formatCode>0.00</c:formatCode>
                <c:ptCount val="27"/>
                <c:pt idx="0">
                  <c:v>1</c:v>
                </c:pt>
                <c:pt idx="1">
                  <c:v>0.96326297775242442</c:v>
                </c:pt>
                <c:pt idx="2">
                  <c:v>1.0004563605248145</c:v>
                </c:pt>
                <c:pt idx="3">
                  <c:v>1.056485968711677</c:v>
                </c:pt>
                <c:pt idx="4">
                  <c:v>1.0501688918505443</c:v>
                </c:pt>
                <c:pt idx="5">
                  <c:v>1.1306544696768202</c:v>
                </c:pt>
                <c:pt idx="6">
                  <c:v>1.1238983601859829</c:v>
                </c:pt>
                <c:pt idx="7">
                  <c:v>1.2001582814419964</c:v>
                </c:pt>
                <c:pt idx="8">
                  <c:v>1.2141995611421676</c:v>
                </c:pt>
                <c:pt idx="9">
                  <c:v>1.2165569117201596</c:v>
                </c:pt>
                <c:pt idx="10">
                  <c:v>1.2394668189339075</c:v>
                </c:pt>
                <c:pt idx="11">
                  <c:v>1.2658042631706674</c:v>
                </c:pt>
                <c:pt idx="12">
                  <c:v>1.3143253534774444</c:v>
                </c:pt>
                <c:pt idx="13">
                  <c:v>1.3813987997112149</c:v>
                </c:pt>
                <c:pt idx="14">
                  <c:v>1.0101591145291227</c:v>
                </c:pt>
                <c:pt idx="15">
                  <c:v>1.183765430320924</c:v>
                </c:pt>
                <c:pt idx="16">
                  <c:v>1.2901431642778549</c:v>
                </c:pt>
                <c:pt idx="17">
                  <c:v>1.3859321121574102</c:v>
                </c:pt>
                <c:pt idx="18">
                  <c:v>1.2355602851682259</c:v>
                </c:pt>
                <c:pt idx="19">
                  <c:v>1.2415645582262749</c:v>
                </c:pt>
                <c:pt idx="20">
                  <c:v>1.3113588598381745</c:v>
                </c:pt>
                <c:pt idx="21">
                  <c:v>1.2079223827276098</c:v>
                </c:pt>
                <c:pt idx="22">
                  <c:v>1.241786589635425</c:v>
                </c:pt>
                <c:pt idx="23">
                  <c:v>1.505938484834866</c:v>
                </c:pt>
                <c:pt idx="24">
                  <c:v>1.7769054285873587</c:v>
                </c:pt>
                <c:pt idx="25">
                  <c:v>1.7208326604218711</c:v>
                </c:pt>
                <c:pt idx="26">
                  <c:v>1.874987794329823</c:v>
                </c:pt>
              </c:numCache>
            </c:numRef>
          </c:val>
          <c:smooth val="0"/>
          <c:extLst>
            <c:ext xmlns:c16="http://schemas.microsoft.com/office/drawing/2014/chart" uri="{C3380CC4-5D6E-409C-BE32-E72D297353CC}">
              <c16:uniqueId val="{00000002-A3A6-4470-9F6B-7791B2E67FAA}"/>
            </c:ext>
          </c:extLst>
        </c:ser>
        <c:dLbls>
          <c:showLegendKey val="0"/>
          <c:showVal val="0"/>
          <c:showCatName val="0"/>
          <c:showSerName val="0"/>
          <c:showPercent val="0"/>
          <c:showBubbleSize val="0"/>
        </c:dLbls>
        <c:smooth val="0"/>
        <c:axId val="376400096"/>
        <c:axId val="376399616"/>
      </c:lineChart>
      <c:catAx>
        <c:axId val="376400096"/>
        <c:scaling>
          <c:orientation val="minMax"/>
          <c:min val="1"/>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6399616"/>
        <c:crossesAt val="1"/>
        <c:auto val="1"/>
        <c:lblAlgn val="ctr"/>
        <c:lblOffset val="100"/>
        <c:tickLblSkip val="1"/>
        <c:noMultiLvlLbl val="0"/>
      </c:catAx>
      <c:valAx>
        <c:axId val="376399616"/>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640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'AGS Stats'!$L$77:$L$102</c:f>
              <c:numCache>
                <c:formatCode>#,##0.00</c:formatCode>
                <c:ptCount val="26"/>
                <c:pt idx="0">
                  <c:v>122.39</c:v>
                </c:pt>
                <c:pt idx="1">
                  <c:v>122.72</c:v>
                </c:pt>
                <c:pt idx="2">
                  <c:v>120.51</c:v>
                </c:pt>
                <c:pt idx="3">
                  <c:v>125.12582081830401</c:v>
                </c:pt>
                <c:pt idx="4">
                  <c:v>124.582803089821</c:v>
                </c:pt>
                <c:pt idx="5">
                  <c:v>127.631800601919</c:v>
                </c:pt>
                <c:pt idx="6">
                  <c:v>133.897294214233</c:v>
                </c:pt>
                <c:pt idx="7">
                  <c:v>139.386445434759</c:v>
                </c:pt>
                <c:pt idx="8">
                  <c:v>144.729887449475</c:v>
                </c:pt>
                <c:pt idx="9">
                  <c:v>151.29541367288101</c:v>
                </c:pt>
                <c:pt idx="10">
                  <c:v>153.34711932661699</c:v>
                </c:pt>
                <c:pt idx="11">
                  <c:v>162.915451182596</c:v>
                </c:pt>
                <c:pt idx="12">
                  <c:v>161.04044794834601</c:v>
                </c:pt>
                <c:pt idx="13">
                  <c:v>171.53978506031899</c:v>
                </c:pt>
                <c:pt idx="14">
                  <c:v>174.82103465500001</c:v>
                </c:pt>
                <c:pt idx="15">
                  <c:v>176.44571279509699</c:v>
                </c:pt>
                <c:pt idx="16">
                  <c:v>187.10705969636101</c:v>
                </c:pt>
                <c:pt idx="17">
                  <c:v>188.853707244937</c:v>
                </c:pt>
                <c:pt idx="18">
                  <c:v>195.926122484318</c:v>
                </c:pt>
                <c:pt idx="19">
                  <c:v>207.573257331853</c:v>
                </c:pt>
                <c:pt idx="20">
                  <c:v>216.06640399278601</c:v>
                </c:pt>
                <c:pt idx="21">
                  <c:v>231.33082934712999</c:v>
                </c:pt>
                <c:pt idx="22">
                  <c:v>256.95870079800102</c:v>
                </c:pt>
                <c:pt idx="23">
                  <c:v>256.97231438183002</c:v>
                </c:pt>
                <c:pt idx="24">
                  <c:v>230.60314224624599</c:v>
                </c:pt>
                <c:pt idx="25">
                  <c:v>289.04353722765097</c:v>
                </c:pt>
              </c:numCache>
            </c:numRef>
          </c:val>
          <c:smooth val="0"/>
          <c:extLst>
            <c:ext xmlns:c16="http://schemas.microsoft.com/office/drawing/2014/chart" uri="{C3380CC4-5D6E-409C-BE32-E72D297353CC}">
              <c16:uniqueId val="{00000000-71FB-4D1E-9EDE-F18E21EFD189}"/>
            </c:ext>
          </c:extLst>
        </c:ser>
        <c:dLbls>
          <c:showLegendKey val="0"/>
          <c:showVal val="0"/>
          <c:showCatName val="0"/>
          <c:showSerName val="0"/>
          <c:showPercent val="0"/>
          <c:showBubbleSize val="0"/>
        </c:dLbls>
        <c:smooth val="0"/>
        <c:axId val="376412576"/>
        <c:axId val="376409216"/>
      </c:lineChart>
      <c:catAx>
        <c:axId val="3764125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09216"/>
        <c:crosses val="autoZero"/>
        <c:auto val="1"/>
        <c:lblAlgn val="ctr"/>
        <c:lblOffset val="100"/>
        <c:noMultiLvlLbl val="0"/>
      </c:catAx>
      <c:valAx>
        <c:axId val="376409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1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'AGS Stats'!$M$3:$M$28</c:f>
              <c:numCache>
                <c:formatCode>General</c:formatCode>
                <c:ptCount val="26"/>
                <c:pt idx="0">
                  <c:v>2.7330000000000001</c:v>
                </c:pt>
                <c:pt idx="1">
                  <c:v>2.7269999999999999</c:v>
                </c:pt>
                <c:pt idx="2">
                  <c:v>2.96</c:v>
                </c:pt>
                <c:pt idx="3" formatCode="#,##0.000">
                  <c:v>3.1533261673097499</c:v>
                </c:pt>
                <c:pt idx="4" formatCode="#,##0.000">
                  <c:v>3.1857531115288298</c:v>
                </c:pt>
                <c:pt idx="5" formatCode="#,##0.000">
                  <c:v>3.1340447162479999</c:v>
                </c:pt>
                <c:pt idx="6" formatCode="#,##0.000">
                  <c:v>3.0665443282284102</c:v>
                </c:pt>
                <c:pt idx="7" formatCode="#,##0.000">
                  <c:v>3.0553818149441501</c:v>
                </c:pt>
                <c:pt idx="8" formatCode="#,##0.000">
                  <c:v>2.9826329046068198</c:v>
                </c:pt>
                <c:pt idx="9" formatCode="#,##0.000">
                  <c:v>2.8867357649134999</c:v>
                </c:pt>
                <c:pt idx="10" formatCode="#,##0.000">
                  <c:v>2.84660461889704</c:v>
                </c:pt>
                <c:pt idx="11" formatCode="#,##0.000">
                  <c:v>2.68926581232853</c:v>
                </c:pt>
                <c:pt idx="12" formatCode="#,##0.000">
                  <c:v>2.4434274694957199</c:v>
                </c:pt>
                <c:pt idx="13" formatCode="#,##0.000">
                  <c:v>2.3366097295807702</c:v>
                </c:pt>
                <c:pt idx="14" formatCode="#,##0.000">
                  <c:v>2.1793036791025902</c:v>
                </c:pt>
                <c:pt idx="15" formatCode="#,##0.000">
                  <c:v>2.1296778565718602</c:v>
                </c:pt>
                <c:pt idx="16" formatCode="#,##0.000">
                  <c:v>2.13541566782779</c:v>
                </c:pt>
                <c:pt idx="17" formatCode="#,##0.000">
                  <c:v>2.1007936594975201</c:v>
                </c:pt>
                <c:pt idx="18" formatCode="#,##0.000">
                  <c:v>2.0395386492054102</c:v>
                </c:pt>
                <c:pt idx="19" formatCode="#,##0.000">
                  <c:v>2.1005468959412599</c:v>
                </c:pt>
                <c:pt idx="20" formatCode="#,##0.000">
                  <c:v>2.1321161810825102</c:v>
                </c:pt>
                <c:pt idx="21" formatCode="#,##0.000">
                  <c:v>2.06563374219991</c:v>
                </c:pt>
                <c:pt idx="22" formatCode="#,##0.000">
                  <c:v>2.1064320143800401</c:v>
                </c:pt>
                <c:pt idx="23" formatCode="#,##0.000">
                  <c:v>2.0663190899225201</c:v>
                </c:pt>
                <c:pt idx="24" formatCode="#,##0.000">
                  <c:v>1.6299453322802799</c:v>
                </c:pt>
                <c:pt idx="25" formatCode="#,##0.000">
                  <c:v>1.7369881612389699</c:v>
                </c:pt>
              </c:numCache>
            </c:numRef>
          </c:val>
          <c:smooth val="0"/>
          <c:extLst>
            <c:ext xmlns:c16="http://schemas.microsoft.com/office/drawing/2014/chart" uri="{C3380CC4-5D6E-409C-BE32-E72D297353CC}">
              <c16:uniqueId val="{00000000-9B4D-4876-9617-10FFCAA24460}"/>
            </c:ext>
          </c:extLst>
        </c:ser>
        <c:dLbls>
          <c:showLegendKey val="0"/>
          <c:showVal val="0"/>
          <c:showCatName val="0"/>
          <c:showSerName val="0"/>
          <c:showPercent val="0"/>
          <c:showBubbleSize val="0"/>
        </c:dLbls>
        <c:smooth val="0"/>
        <c:axId val="376428416"/>
        <c:axId val="376431776"/>
      </c:lineChart>
      <c:catAx>
        <c:axId val="37642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31776"/>
        <c:crosses val="autoZero"/>
        <c:auto val="1"/>
        <c:lblAlgn val="ctr"/>
        <c:lblOffset val="100"/>
        <c:noMultiLvlLbl val="0"/>
      </c:catAx>
      <c:valAx>
        <c:axId val="37643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2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'AGS Stats'!$L$2</c:f>
              <c:strCache>
                <c:ptCount val="1"/>
                <c:pt idx="0">
                  <c:v>Wagering</c:v>
                </c:pt>
              </c:strCache>
            </c:strRef>
          </c:tx>
          <c:spPr>
            <a:solidFill>
              <a:schemeClr val="tx2"/>
            </a:solidFill>
            <a:ln>
              <a:noFill/>
            </a:ln>
            <a:effectLst/>
          </c:spPr>
          <c:invertIfNegative val="0"/>
          <c:cat>
            <c:strRef>
              <c:extLst>
                <c:ext xmlns:c15="http://schemas.microsoft.com/office/drawing/2012/chart" uri="{02D57815-91ED-43cb-92C2-25804820EDAC}">
                  <c15:fullRef>
                    <c15:sqref>'AGS Stats'!$C$3:$C$31</c15:sqref>
                  </c15:fullRef>
                </c:ext>
              </c:extLst>
              <c:f>('AGS Stats'!$C$3:$C$26,'AGS Stats'!$C$29:$C$31)</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Stats'!$L$3:$L$31</c15:sqref>
                  </c15:fullRef>
                </c:ext>
              </c:extLst>
              <c:f>('AGS Stats'!$L$3:$L$26,'AGS Stats'!$L$29:$L$31)</c:f>
              <c:numCache>
                <c:formatCode>General</c:formatCode>
                <c:ptCount val="27"/>
                <c:pt idx="0">
                  <c:v>0.47399999999999998</c:v>
                </c:pt>
                <c:pt idx="1">
                  <c:v>0.45500000000000002</c:v>
                </c:pt>
                <c:pt idx="2">
                  <c:v>0.436</c:v>
                </c:pt>
                <c:pt idx="3" formatCode="#,##0.000">
                  <c:v>0.444304785855892</c:v>
                </c:pt>
                <c:pt idx="4" formatCode="#,##0.000">
                  <c:v>0.423159108801198</c:v>
                </c:pt>
                <c:pt idx="5" formatCode="#,##0.000">
                  <c:v>0.40145703695776103</c:v>
                </c:pt>
                <c:pt idx="6" formatCode="#,##0.000">
                  <c:v>0.40002842647687098</c:v>
                </c:pt>
                <c:pt idx="7" formatCode="#,##0.000">
                  <c:v>0.40900547075175803</c:v>
                </c:pt>
                <c:pt idx="8" formatCode="#,##0.000">
                  <c:v>0.399689011114089</c:v>
                </c:pt>
                <c:pt idx="9" formatCode="#,##0.000">
                  <c:v>0.39396394443695398</c:v>
                </c:pt>
                <c:pt idx="10" formatCode="#,##0.000">
                  <c:v>0.38380253125484798</c:v>
                </c:pt>
                <c:pt idx="11" formatCode="#,##0.000">
                  <c:v>0.37934889341328498</c:v>
                </c:pt>
                <c:pt idx="12" formatCode="#,##0.000">
                  <c:v>0.35024346829831299</c:v>
                </c:pt>
                <c:pt idx="13" formatCode="#,##0.000">
                  <c:v>0.347049024999386</c:v>
                </c:pt>
                <c:pt idx="14" formatCode="#,##0.000">
                  <c:v>0.34731387457490998</c:v>
                </c:pt>
                <c:pt idx="15" formatCode="#,##0.000">
                  <c:v>0.33102972242721801</c:v>
                </c:pt>
                <c:pt idx="16" formatCode="#,##0.000">
                  <c:v>0.338439901110275</c:v>
                </c:pt>
                <c:pt idx="17" formatCode="#,##0.000">
                  <c:v>0.33823770701795203</c:v>
                </c:pt>
                <c:pt idx="18" formatCode="#,##0.000">
                  <c:v>0.33863011157959999</c:v>
                </c:pt>
                <c:pt idx="19" formatCode="#,##0.000">
                  <c:v>0.34861772744194403</c:v>
                </c:pt>
                <c:pt idx="20" formatCode="#,##0.000">
                  <c:v>0.36002455485096002</c:v>
                </c:pt>
                <c:pt idx="21" formatCode="#,##0.000">
                  <c:v>0.38152399836300799</c:v>
                </c:pt>
                <c:pt idx="22" formatCode="#,##0.000">
                  <c:v>0.41592754089395501</c:v>
                </c:pt>
                <c:pt idx="23" formatCode="#,##0.000">
                  <c:v>0.406291463669463</c:v>
                </c:pt>
                <c:pt idx="24" formatCode="#,##0.000">
                  <c:v>0.56143199845614</c:v>
                </c:pt>
                <c:pt idx="25" formatCode="#,##0.000">
                  <c:v>0.55687898834565996</c:v>
                </c:pt>
                <c:pt idx="26" formatCode="#,##0.000">
                  <c:v>0.53386769310340199</c:v>
                </c:pt>
              </c:numCache>
            </c:numRef>
          </c:val>
          <c:extLst>
            <c:ext xmlns:c16="http://schemas.microsoft.com/office/drawing/2014/chart" uri="{C3380CC4-5D6E-409C-BE32-E72D297353CC}">
              <c16:uniqueId val="{00000003-856E-4280-A0C0-3E82D588D2A0}"/>
            </c:ext>
          </c:extLst>
        </c:ser>
        <c:ser>
          <c:idx val="0"/>
          <c:order val="1"/>
          <c:tx>
            <c:strRef>
              <c:f>'AGS Stats'!$F$2</c:f>
              <c:strCache>
                <c:ptCount val="1"/>
                <c:pt idx="0">
                  <c:v>Casino</c:v>
                </c:pt>
              </c:strCache>
            </c:strRef>
          </c:tx>
          <c:spPr>
            <a:solidFill>
              <a:schemeClr val="bg2"/>
            </a:solidFill>
            <a:ln>
              <a:noFill/>
            </a:ln>
            <a:effectLst/>
          </c:spPr>
          <c:invertIfNegative val="0"/>
          <c:cat>
            <c:strRef>
              <c:extLst>
                <c:ext xmlns:c15="http://schemas.microsoft.com/office/drawing/2012/chart" uri="{02D57815-91ED-43cb-92C2-25804820EDAC}">
                  <c15:fullRef>
                    <c15:sqref>'AGS Stats'!$C$3:$C$31</c15:sqref>
                  </c15:fullRef>
                </c:ext>
              </c:extLst>
              <c:f>('AGS Stats'!$C$3:$C$26,'AGS Stats'!$C$29:$C$31)</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Stats'!$F$3:$F$31</c15:sqref>
                  </c15:fullRef>
                </c:ext>
              </c:extLst>
              <c:f>('AGS Stats'!$F$3:$F$26,'AGS Stats'!$F$29:$F$31)</c:f>
              <c:numCache>
                <c:formatCode>General</c:formatCode>
                <c:ptCount val="27"/>
                <c:pt idx="0">
                  <c:v>0.52200000000000002</c:v>
                </c:pt>
                <c:pt idx="1">
                  <c:v>0.53600000000000003</c:v>
                </c:pt>
                <c:pt idx="2">
                  <c:v>0.58399999999999996</c:v>
                </c:pt>
                <c:pt idx="3" formatCode="#,##0.000">
                  <c:v>0.55608309207157203</c:v>
                </c:pt>
                <c:pt idx="4" formatCode="#,##0.000">
                  <c:v>0.565318047708951</c:v>
                </c:pt>
                <c:pt idx="5" formatCode="#,##0.000">
                  <c:v>0.55549561316334894</c:v>
                </c:pt>
                <c:pt idx="6" formatCode="#,##0.000">
                  <c:v>0.51986950842860302</c:v>
                </c:pt>
                <c:pt idx="7" formatCode="#,##0.000">
                  <c:v>0.50566109039106499</c:v>
                </c:pt>
                <c:pt idx="8" formatCode="#,##0.000">
                  <c:v>0.495049145055938</c:v>
                </c:pt>
                <c:pt idx="9" formatCode="#,##0.000">
                  <c:v>0.450331354140177</c:v>
                </c:pt>
                <c:pt idx="10" formatCode="#,##0.000">
                  <c:v>0.47367181359875898</c:v>
                </c:pt>
                <c:pt idx="11" formatCode="#,##0.000">
                  <c:v>0.455566104878315</c:v>
                </c:pt>
                <c:pt idx="12" formatCode="#,##0.000">
                  <c:v>0.433460342836122</c:v>
                </c:pt>
                <c:pt idx="13" formatCode="#,##0.000">
                  <c:v>0.42499595002577301</c:v>
                </c:pt>
                <c:pt idx="14" formatCode="#,##0.000">
                  <c:v>0.41564253185693401</c:v>
                </c:pt>
                <c:pt idx="15" formatCode="#,##0.000">
                  <c:v>0.40506270241166897</c:v>
                </c:pt>
                <c:pt idx="16" formatCode="#,##0.000">
                  <c:v>0.424104699859917</c:v>
                </c:pt>
                <c:pt idx="17" formatCode="#,##0.000">
                  <c:v>0.41614583681015099</c:v>
                </c:pt>
                <c:pt idx="18" formatCode="#,##0.000">
                  <c:v>0.42059823490062798</c:v>
                </c:pt>
                <c:pt idx="19" formatCode="#,##0.000">
                  <c:v>0.47444810111261299</c:v>
                </c:pt>
                <c:pt idx="20" formatCode="#,##0.000">
                  <c:v>0.46528958346051902</c:v>
                </c:pt>
                <c:pt idx="21" formatCode="#,##0.000">
                  <c:v>0.41753024019901802</c:v>
                </c:pt>
                <c:pt idx="22" formatCode="#,##0.000">
                  <c:v>0.42886294546579701</c:v>
                </c:pt>
                <c:pt idx="23" formatCode="#,##0.000">
                  <c:v>0.39253875781587</c:v>
                </c:pt>
                <c:pt idx="24" formatCode="#,##0.000">
                  <c:v>0.19226395999005599</c:v>
                </c:pt>
                <c:pt idx="25" formatCode="#,##0.000">
                  <c:v>0.23936328151355701</c:v>
                </c:pt>
                <c:pt idx="26" formatCode="#,##0.000">
                  <c:v>0.219473423522549</c:v>
                </c:pt>
              </c:numCache>
            </c:numRef>
          </c:val>
          <c:extLst>
            <c:ext xmlns:c16="http://schemas.microsoft.com/office/drawing/2014/chart" uri="{C3380CC4-5D6E-409C-BE32-E72D297353CC}">
              <c16:uniqueId val="{00000000-856E-4280-A0C0-3E82D588D2A0}"/>
            </c:ext>
          </c:extLst>
        </c:ser>
        <c:ser>
          <c:idx val="1"/>
          <c:order val="2"/>
          <c:tx>
            <c:strRef>
              <c:f>'AGS Stats'!$G$2</c:f>
              <c:strCache>
                <c:ptCount val="1"/>
                <c:pt idx="0">
                  <c:v>Gaming Machines</c:v>
                </c:pt>
              </c:strCache>
            </c:strRef>
          </c:tx>
          <c:spPr>
            <a:solidFill>
              <a:schemeClr val="accent1"/>
            </a:solidFill>
            <a:ln>
              <a:noFill/>
            </a:ln>
            <a:effectLst/>
          </c:spPr>
          <c:invertIfNegative val="0"/>
          <c:cat>
            <c:strRef>
              <c:extLst>
                <c:ext xmlns:c15="http://schemas.microsoft.com/office/drawing/2012/chart" uri="{02D57815-91ED-43cb-92C2-25804820EDAC}">
                  <c15:fullRef>
                    <c15:sqref>'AGS Stats'!$C$3:$C$31</c15:sqref>
                  </c15:fullRef>
                </c:ext>
              </c:extLst>
              <c:f>('AGS Stats'!$C$3:$C$26,'AGS Stats'!$C$29:$C$31)</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Stats'!$G$3:$G$31</c15:sqref>
                  </c15:fullRef>
                </c:ext>
              </c:extLst>
              <c:f>('AGS Stats'!$G$3:$G$26,'AGS Stats'!$G$29:$G$31)</c:f>
              <c:numCache>
                <c:formatCode>General</c:formatCode>
                <c:ptCount val="27"/>
                <c:pt idx="0">
                  <c:v>1.304</c:v>
                </c:pt>
                <c:pt idx="1">
                  <c:v>1.3480000000000001</c:v>
                </c:pt>
                <c:pt idx="2">
                  <c:v>1.5349999999999999</c:v>
                </c:pt>
                <c:pt idx="3" formatCode="#,##0.000">
                  <c:v>1.7371701136254201</c:v>
                </c:pt>
                <c:pt idx="4" formatCode="#,##0.000">
                  <c:v>1.8315305485165401</c:v>
                </c:pt>
                <c:pt idx="5" formatCode="#,##0.000">
                  <c:v>1.8171111746937301</c:v>
                </c:pt>
                <c:pt idx="6" formatCode="#,##0.000">
                  <c:v>1.8225040727515001</c:v>
                </c:pt>
                <c:pt idx="7" formatCode="#,##0.000">
                  <c:v>1.79590198153992</c:v>
                </c:pt>
                <c:pt idx="8" formatCode="#,##0.000">
                  <c:v>1.7527234475339399</c:v>
                </c:pt>
                <c:pt idx="9" formatCode="#,##0.000">
                  <c:v>1.72299647226882</c:v>
                </c:pt>
                <c:pt idx="10" formatCode="#,##0.000">
                  <c:v>1.67734659869442</c:v>
                </c:pt>
                <c:pt idx="11" formatCode="#,##0.000">
                  <c:v>1.5620893270057099</c:v>
                </c:pt>
                <c:pt idx="12" formatCode="#,##0.000">
                  <c:v>1.37481657296579</c:v>
                </c:pt>
                <c:pt idx="13" formatCode="#,##0.000">
                  <c:v>1.2847441388490699</c:v>
                </c:pt>
                <c:pt idx="14" formatCode="#,##0.000">
                  <c:v>1.2071733843047401</c:v>
                </c:pt>
                <c:pt idx="15" formatCode="#,##0.000">
                  <c:v>1.16493365426053</c:v>
                </c:pt>
                <c:pt idx="16" formatCode="#,##0.000">
                  <c:v>1.1338841331665099</c:v>
                </c:pt>
                <c:pt idx="17" formatCode="#,##0.000">
                  <c:v>1.09385178403661</c:v>
                </c:pt>
                <c:pt idx="18" formatCode="#,##0.000">
                  <c:v>1.0592124340076301</c:v>
                </c:pt>
                <c:pt idx="19" formatCode="#,##0.000">
                  <c:v>1.0626312147781101</c:v>
                </c:pt>
                <c:pt idx="20" formatCode="#,##0.000">
                  <c:v>1.08145761679564</c:v>
                </c:pt>
                <c:pt idx="21" formatCode="#,##0.000">
                  <c:v>1.0578708141579001</c:v>
                </c:pt>
                <c:pt idx="22" formatCode="#,##0.000">
                  <c:v>1.05273167831891</c:v>
                </c:pt>
                <c:pt idx="23" formatCode="#,##0.000">
                  <c:v>1.02719324720893</c:v>
                </c:pt>
                <c:pt idx="24" formatCode="#,##0.000">
                  <c:v>0.87165825871367197</c:v>
                </c:pt>
                <c:pt idx="25" formatCode="#,##0.000">
                  <c:v>1.0447948552124799</c:v>
                </c:pt>
                <c:pt idx="26" formatCode="#,##0.000">
                  <c:v>1.0319572976031299</c:v>
                </c:pt>
              </c:numCache>
            </c:numRef>
          </c:val>
          <c:extLst>
            <c:ext xmlns:c16="http://schemas.microsoft.com/office/drawing/2014/chart" uri="{C3380CC4-5D6E-409C-BE32-E72D297353CC}">
              <c16:uniqueId val="{00000001-856E-4280-A0C0-3E82D588D2A0}"/>
            </c:ext>
          </c:extLst>
        </c:ser>
        <c:ser>
          <c:idx val="2"/>
          <c:order val="3"/>
          <c:tx>
            <c:strRef>
              <c:f>'AGS Stats'!$J$2</c:f>
              <c:strCache>
                <c:ptCount val="1"/>
                <c:pt idx="0">
                  <c:v>Lotteries</c:v>
                </c:pt>
              </c:strCache>
            </c:strRef>
          </c:tx>
          <c:spPr>
            <a:solidFill>
              <a:schemeClr val="accent2"/>
            </a:solidFill>
            <a:ln>
              <a:noFill/>
            </a:ln>
            <a:effectLst/>
          </c:spPr>
          <c:invertIfNegative val="0"/>
          <c:cat>
            <c:strRef>
              <c:extLst>
                <c:ext xmlns:c15="http://schemas.microsoft.com/office/drawing/2012/chart" uri="{02D57815-91ED-43cb-92C2-25804820EDAC}">
                  <c15:fullRef>
                    <c15:sqref>'AGS Stats'!$C$3:$C$31</c15:sqref>
                  </c15:fullRef>
                </c:ext>
              </c:extLst>
              <c:f>('AGS Stats'!$C$3:$C$26,'AGS Stats'!$C$29:$C$31)</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Stats'!$J$3:$J$31</c15:sqref>
                  </c15:fullRef>
                </c:ext>
              </c:extLst>
              <c:f>('AGS Stats'!$J$3:$J$26,'AGS Stats'!$J$29:$J$31)</c:f>
              <c:numCache>
                <c:formatCode>General</c:formatCode>
                <c:ptCount val="27"/>
                <c:pt idx="0">
                  <c:v>0.34</c:v>
                </c:pt>
                <c:pt idx="1">
                  <c:v>0.313</c:v>
                </c:pt>
                <c:pt idx="2">
                  <c:v>0.317</c:v>
                </c:pt>
                <c:pt idx="3" formatCode="#,##0.000">
                  <c:v>0.32881354986893302</c:v>
                </c:pt>
                <c:pt idx="4" formatCode="#,##0.000">
                  <c:v>0.31264872756006701</c:v>
                </c:pt>
                <c:pt idx="5" formatCode="#,##0.000">
                  <c:v>0.31171808748337299</c:v>
                </c:pt>
                <c:pt idx="6" formatCode="#,##0.000">
                  <c:v>0.29430525107199701</c:v>
                </c:pt>
                <c:pt idx="7" formatCode="#,##0.000">
                  <c:v>0.30867326850212201</c:v>
                </c:pt>
                <c:pt idx="8" formatCode="#,##0.000">
                  <c:v>0.29390432410402501</c:v>
                </c:pt>
                <c:pt idx="9" formatCode="#,##0.000">
                  <c:v>0.27766111593725501</c:v>
                </c:pt>
                <c:pt idx="10" formatCode="#,##0.000">
                  <c:v>0.27190615466649398</c:v>
                </c:pt>
                <c:pt idx="11" formatCode="#,##0.000">
                  <c:v>0.25834200182504902</c:v>
                </c:pt>
                <c:pt idx="12" formatCode="#,##0.000">
                  <c:v>0.25054738883046601</c:v>
                </c:pt>
                <c:pt idx="13" formatCode="#,##0.000">
                  <c:v>0.24496100876267099</c:v>
                </c:pt>
                <c:pt idx="14" formatCode="#,##0.000">
                  <c:v>0.175901747478273</c:v>
                </c:pt>
                <c:pt idx="15" formatCode="#,##0.000">
                  <c:v>0.194658536023712</c:v>
                </c:pt>
                <c:pt idx="16" formatCode="#,##0.000">
                  <c:v>0.20454139401673499</c:v>
                </c:pt>
                <c:pt idx="17" formatCode="#,##0.000">
                  <c:v>0.217565678206669</c:v>
                </c:pt>
                <c:pt idx="18" formatCode="#,##0.000">
                  <c:v>0.18717553831103201</c:v>
                </c:pt>
                <c:pt idx="19" formatCode="#,##0.000">
                  <c:v>0.182767635828811</c:v>
                </c:pt>
                <c:pt idx="20" formatCode="#,##0.000">
                  <c:v>0.19152186109468999</c:v>
                </c:pt>
                <c:pt idx="21" formatCode="#,##0.000">
                  <c:v>0.1746140941222</c:v>
                </c:pt>
                <c:pt idx="22" formatCode="#,##0.000">
                  <c:v>0.176178633252072</c:v>
                </c:pt>
                <c:pt idx="23" formatCode="#,##0.000">
                  <c:v>0.208694264795275</c:v>
                </c:pt>
                <c:pt idx="24" formatCode="#,##0.000">
                  <c:v>0.21345619030929</c:v>
                </c:pt>
                <c:pt idx="25" formatCode="#,##0.000">
                  <c:v>0.20601719612553701</c:v>
                </c:pt>
                <c:pt idx="26" formatCode="#,##0.000">
                  <c:v>0.22021568463803401</c:v>
                </c:pt>
              </c:numCache>
            </c:numRef>
          </c:val>
          <c:extLst>
            <c:ext xmlns:c16="http://schemas.microsoft.com/office/drawing/2014/chart" uri="{C3380CC4-5D6E-409C-BE32-E72D297353CC}">
              <c16:uniqueId val="{00000002-856E-4280-A0C0-3E82D588D2A0}"/>
            </c:ext>
          </c:extLst>
        </c:ser>
        <c:ser>
          <c:idx val="4"/>
          <c:order val="4"/>
          <c:tx>
            <c:strRef>
              <c:f>'AGS Stats'!$P$2</c:f>
              <c:strCache>
                <c:ptCount val="1"/>
                <c:pt idx="0">
                  <c:v>Other</c:v>
                </c:pt>
              </c:strCache>
            </c:strRef>
          </c:tx>
          <c:spPr>
            <a:solidFill>
              <a:schemeClr val="accent4"/>
            </a:solidFill>
            <a:ln>
              <a:noFill/>
            </a:ln>
            <a:effectLst/>
          </c:spPr>
          <c:invertIfNegative val="0"/>
          <c:cat>
            <c:strRef>
              <c:extLst>
                <c:ext xmlns:c15="http://schemas.microsoft.com/office/drawing/2012/chart" uri="{02D57815-91ED-43cb-92C2-25804820EDAC}">
                  <c15:fullRef>
                    <c15:sqref>'AGS Stats'!$C$3:$C$31</c15:sqref>
                  </c15:fullRef>
                </c:ext>
              </c:extLst>
              <c:f>('AGS Stats'!$C$3:$C$26,'AGS Stats'!$C$29:$C$31)</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Stats'!$P$3:$P$31</c15:sqref>
                  </c15:fullRef>
                </c:ext>
              </c:extLst>
              <c:f>('AGS Stats'!$P$3:$P$26,'AGS Stats'!$P$29:$P$31)</c:f>
              <c:numCache>
                <c:formatCode>General</c:formatCode>
                <c:ptCount val="27"/>
                <c:pt idx="0">
                  <c:v>9.2999999999999999E-2</c:v>
                </c:pt>
                <c:pt idx="1">
                  <c:v>7.400000000000001E-2</c:v>
                </c:pt>
                <c:pt idx="2">
                  <c:v>8.7999999999999995E-2</c:v>
                </c:pt>
                <c:pt idx="3">
                  <c:v>8.6954625887936232E-2</c:v>
                </c:pt>
                <c:pt idx="4">
                  <c:v>5.3096678942066371E-2</c:v>
                </c:pt>
                <c:pt idx="5">
                  <c:v>4.8262803949791128E-2</c:v>
                </c:pt>
                <c:pt idx="6">
                  <c:v>2.9837069499434852E-2</c:v>
                </c:pt>
                <c:pt idx="7">
                  <c:v>3.6140003759286915E-2</c:v>
                </c:pt>
                <c:pt idx="8">
                  <c:v>4.1266976798833885E-2</c:v>
                </c:pt>
                <c:pt idx="9">
                  <c:v>4.1782878130285389E-2</c:v>
                </c:pt>
                <c:pt idx="10">
                  <c:v>3.9877520682523274E-2</c:v>
                </c:pt>
                <c:pt idx="11">
                  <c:v>3.3919485206174459E-2</c:v>
                </c:pt>
                <c:pt idx="12">
                  <c:v>3.4359696565037449E-2</c:v>
                </c:pt>
                <c:pt idx="13">
                  <c:v>3.4859606943864863E-2</c:v>
                </c:pt>
                <c:pt idx="14">
                  <c:v>3.3272140887729104E-2</c:v>
                </c:pt>
                <c:pt idx="15">
                  <c:v>3.3993241448734092E-2</c:v>
                </c:pt>
                <c:pt idx="16">
                  <c:v>3.4445539674358115E-2</c:v>
                </c:pt>
                <c:pt idx="17">
                  <c:v>3.4992653426138262E-2</c:v>
                </c:pt>
                <c:pt idx="18">
                  <c:v>3.3922330406515253E-2</c:v>
                </c:pt>
                <c:pt idx="19">
                  <c:v>3.2082216779786246E-2</c:v>
                </c:pt>
                <c:pt idx="20">
                  <c:v>3.3822564880696515E-2</c:v>
                </c:pt>
                <c:pt idx="21">
                  <c:v>3.4094595357782871E-2</c:v>
                </c:pt>
                <c:pt idx="22">
                  <c:v>3.2731216449302873E-2</c:v>
                </c:pt>
                <c:pt idx="23">
                  <c:v>3.1601356432978123E-2</c:v>
                </c:pt>
                <c:pt idx="24">
                  <c:v>3.2699199742033488E-2</c:v>
                </c:pt>
                <c:pt idx="25">
                  <c:v>3.834573342147822E-2</c:v>
                </c:pt>
                <c:pt idx="26">
                  <c:v>3.2962884707930032E-2</c:v>
                </c:pt>
              </c:numCache>
            </c:numRef>
          </c:val>
          <c:extLst>
            <c:ext xmlns:c16="http://schemas.microsoft.com/office/drawing/2014/chart" uri="{C3380CC4-5D6E-409C-BE32-E72D297353CC}">
              <c16:uniqueId val="{00000004-856E-4280-A0C0-3E82D588D2A0}"/>
            </c:ext>
          </c:extLst>
        </c:ser>
        <c:dLbls>
          <c:showLegendKey val="0"/>
          <c:showVal val="0"/>
          <c:showCatName val="0"/>
          <c:showSerName val="0"/>
          <c:showPercent val="0"/>
          <c:showBubbleSize val="0"/>
        </c:dLbls>
        <c:gapWidth val="50"/>
        <c:overlap val="100"/>
        <c:axId val="428825520"/>
        <c:axId val="428829360"/>
      </c:barChart>
      <c:catAx>
        <c:axId val="42882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28829360"/>
        <c:crosses val="autoZero"/>
        <c:auto val="1"/>
        <c:lblAlgn val="ctr"/>
        <c:lblOffset val="100"/>
        <c:noMultiLvlLbl val="0"/>
      </c:catAx>
      <c:valAx>
        <c:axId val="4288293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28825520"/>
        <c:crosses val="autoZero"/>
        <c:crossBetween val="between"/>
        <c:dispUnits>
          <c:builtInUnit val="hundre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'AGS Stats'!$F$76</c:f>
              <c:strCache>
                <c:ptCount val="1"/>
                <c:pt idx="0">
                  <c:v>Casino</c:v>
                </c:pt>
              </c:strCache>
            </c:strRef>
          </c:tx>
          <c:spPr>
            <a:solidFill>
              <a:schemeClr val="accent4"/>
            </a:solidFill>
            <a:ln>
              <a:noFill/>
            </a:ln>
            <a:effectLst/>
          </c:spPr>
          <c:invertIfNegative val="0"/>
          <c:val>
            <c:numRef>
              <c:f>'AGS Stats'!$F$77:$F$102</c:f>
              <c:numCache>
                <c:formatCode>#,##0.00</c:formatCode>
                <c:ptCount val="26"/>
                <c:pt idx="0">
                  <c:v>134.72</c:v>
                </c:pt>
                <c:pt idx="1">
                  <c:v>144.57</c:v>
                </c:pt>
                <c:pt idx="2">
                  <c:v>161.37</c:v>
                </c:pt>
                <c:pt idx="3">
                  <c:v>156.605005288428</c:v>
                </c:pt>
                <c:pt idx="4">
                  <c:v>166.43599430098601</c:v>
                </c:pt>
                <c:pt idx="5">
                  <c:v>176.60396706899701</c:v>
                </c:pt>
                <c:pt idx="6">
                  <c:v>174.01043504866601</c:v>
                </c:pt>
                <c:pt idx="7">
                  <c:v>172.32606168990199</c:v>
                </c:pt>
                <c:pt idx="8">
                  <c:v>179.26038758531999</c:v>
                </c:pt>
                <c:pt idx="9">
                  <c:v>172.94239606591799</c:v>
                </c:pt>
                <c:pt idx="10">
                  <c:v>189.254114307425</c:v>
                </c:pt>
                <c:pt idx="11">
                  <c:v>195.64775015407801</c:v>
                </c:pt>
                <c:pt idx="12">
                  <c:v>199.30321075600401</c:v>
                </c:pt>
                <c:pt idx="13">
                  <c:v>210.067479426159</c:v>
                </c:pt>
                <c:pt idx="14">
                  <c:v>209.214381529641</c:v>
                </c:pt>
                <c:pt idx="15">
                  <c:v>215.90682773039899</c:v>
                </c:pt>
                <c:pt idx="16">
                  <c:v>234.46698552349699</c:v>
                </c:pt>
                <c:pt idx="17">
                  <c:v>232.35340828505699</c:v>
                </c:pt>
                <c:pt idx="18">
                  <c:v>243.351605394541</c:v>
                </c:pt>
                <c:pt idx="19">
                  <c:v>282.49492217591899</c:v>
                </c:pt>
                <c:pt idx="20">
                  <c:v>279.24052890012899</c:v>
                </c:pt>
                <c:pt idx="21">
                  <c:v>253.162624519481</c:v>
                </c:pt>
                <c:pt idx="22">
                  <c:v>264.95015225594699</c:v>
                </c:pt>
                <c:pt idx="23">
                  <c:v>248.273966106698</c:v>
                </c:pt>
                <c:pt idx="24">
                  <c:v>176.819075221079</c:v>
                </c:pt>
                <c:pt idx="25">
                  <c:v>136.25261056625399</c:v>
                </c:pt>
              </c:numCache>
            </c:numRef>
          </c:val>
          <c:extLst>
            <c:ext xmlns:c16="http://schemas.microsoft.com/office/drawing/2014/chart" uri="{C3380CC4-5D6E-409C-BE32-E72D297353CC}">
              <c16:uniqueId val="{00000000-E52A-4FDA-B582-020D2B140539}"/>
            </c:ext>
          </c:extLst>
        </c:ser>
        <c:ser>
          <c:idx val="0"/>
          <c:order val="1"/>
          <c:tx>
            <c:strRef>
              <c:f>'AGS Stats'!$G$76</c:f>
              <c:strCache>
                <c:ptCount val="1"/>
                <c:pt idx="0">
                  <c:v>Gaming Machines</c:v>
                </c:pt>
              </c:strCache>
            </c:strRef>
          </c:tx>
          <c:spPr>
            <a:solidFill>
              <a:schemeClr val="accent1"/>
            </a:solidFill>
            <a:ln>
              <a:noFill/>
            </a:ln>
            <a:effectLst/>
          </c:spPr>
          <c:invertIfNegative val="0"/>
          <c:val>
            <c:numRef>
              <c:f>'AGS Stats'!$G$77:$G$102</c:f>
              <c:numCache>
                <c:formatCode>#,##0.00</c:formatCode>
                <c:ptCount val="26"/>
                <c:pt idx="0">
                  <c:v>336.76</c:v>
                </c:pt>
                <c:pt idx="1">
                  <c:v>363.37</c:v>
                </c:pt>
                <c:pt idx="2">
                  <c:v>424.23</c:v>
                </c:pt>
                <c:pt idx="3">
                  <c:v>489.22461177113502</c:v>
                </c:pt>
                <c:pt idx="4">
                  <c:v>539.22320217860999</c:v>
                </c:pt>
                <c:pt idx="5">
                  <c:v>577.69860724705904</c:v>
                </c:pt>
                <c:pt idx="6">
                  <c:v>610.02755775396395</c:v>
                </c:pt>
                <c:pt idx="7">
                  <c:v>612.03189555384097</c:v>
                </c:pt>
                <c:pt idx="8">
                  <c:v>634.67210815869498</c:v>
                </c:pt>
                <c:pt idx="9">
                  <c:v>661.68863346463797</c:v>
                </c:pt>
                <c:pt idx="10">
                  <c:v>670.178667610959</c:v>
                </c:pt>
                <c:pt idx="11">
                  <c:v>670.85601649402304</c:v>
                </c:pt>
                <c:pt idx="12">
                  <c:v>632.13477708210996</c:v>
                </c:pt>
                <c:pt idx="13">
                  <c:v>635.024787740188</c:v>
                </c:pt>
                <c:pt idx="14">
                  <c:v>607.63279414170097</c:v>
                </c:pt>
                <c:pt idx="15">
                  <c:v>620.93381669130395</c:v>
                </c:pt>
                <c:pt idx="16">
                  <c:v>626.86972043528101</c:v>
                </c:pt>
                <c:pt idx="17">
                  <c:v>610.74788619246999</c:v>
                </c:pt>
                <c:pt idx="18">
                  <c:v>612.84386115057396</c:v>
                </c:pt>
                <c:pt idx="19">
                  <c:v>632.70971391071703</c:v>
                </c:pt>
                <c:pt idx="20">
                  <c:v>649.02978195021899</c:v>
                </c:pt>
                <c:pt idx="21">
                  <c:v>641.422646625835</c:v>
                </c:pt>
                <c:pt idx="22">
                  <c:v>650.37425453559104</c:v>
                </c:pt>
                <c:pt idx="23">
                  <c:v>649.681939336563</c:v>
                </c:pt>
                <c:pt idx="24">
                  <c:v>513.11442427102395</c:v>
                </c:pt>
                <c:pt idx="25">
                  <c:v>608.30480820934804</c:v>
                </c:pt>
              </c:numCache>
            </c:numRef>
          </c:val>
          <c:extLst>
            <c:ext xmlns:c16="http://schemas.microsoft.com/office/drawing/2014/chart" uri="{C3380CC4-5D6E-409C-BE32-E72D297353CC}">
              <c16:uniqueId val="{00000001-E52A-4FDA-B582-020D2B140539}"/>
            </c:ext>
          </c:extLst>
        </c:ser>
        <c:ser>
          <c:idx val="1"/>
          <c:order val="2"/>
          <c:tx>
            <c:strRef>
              <c:f>'AGS Stats'!$J$76</c:f>
              <c:strCache>
                <c:ptCount val="1"/>
                <c:pt idx="0">
                  <c:v>Lotteries</c:v>
                </c:pt>
              </c:strCache>
            </c:strRef>
          </c:tx>
          <c:spPr>
            <a:solidFill>
              <a:schemeClr val="accent2"/>
            </a:solidFill>
            <a:ln>
              <a:noFill/>
            </a:ln>
            <a:effectLst/>
          </c:spPr>
          <c:invertIfNegative val="0"/>
          <c:val>
            <c:numRef>
              <c:f>'AGS Stats'!$J$77:$J$102</c:f>
              <c:numCache>
                <c:formatCode>#,##0.00</c:formatCode>
                <c:ptCount val="26"/>
                <c:pt idx="0">
                  <c:v>87.65</c:v>
                </c:pt>
                <c:pt idx="1">
                  <c:v>84.43</c:v>
                </c:pt>
                <c:pt idx="2">
                  <c:v>87.69</c:v>
                </c:pt>
                <c:pt idx="3">
                  <c:v>92.600995157578495</c:v>
                </c:pt>
                <c:pt idx="4">
                  <c:v>92.047303370700206</c:v>
                </c:pt>
                <c:pt idx="5">
                  <c:v>99.101864267173298</c:v>
                </c:pt>
                <c:pt idx="6">
                  <c:v>98.509691270301403</c:v>
                </c:pt>
                <c:pt idx="7">
                  <c:v>105.193873368391</c:v>
                </c:pt>
                <c:pt idx="8">
                  <c:v>106.424591534111</c:v>
                </c:pt>
                <c:pt idx="9">
                  <c:v>106.631213312272</c:v>
                </c:pt>
                <c:pt idx="10">
                  <c:v>108.639266679557</c:v>
                </c:pt>
                <c:pt idx="11">
                  <c:v>110.94774366690901</c:v>
                </c:pt>
                <c:pt idx="12">
                  <c:v>115.200617232298</c:v>
                </c:pt>
                <c:pt idx="13">
                  <c:v>121.079604794688</c:v>
                </c:pt>
                <c:pt idx="14">
                  <c:v>88.540446388477605</c:v>
                </c:pt>
                <c:pt idx="15">
                  <c:v>103.757039967629</c:v>
                </c:pt>
                <c:pt idx="16">
                  <c:v>113.081048348954</c:v>
                </c:pt>
                <c:pt idx="17">
                  <c:v>121.47694963059701</c:v>
                </c:pt>
                <c:pt idx="18">
                  <c:v>108.29685899499501</c:v>
                </c:pt>
                <c:pt idx="19">
                  <c:v>108.82313352853301</c:v>
                </c:pt>
                <c:pt idx="20">
                  <c:v>114.940604064816</c:v>
                </c:pt>
                <c:pt idx="21">
                  <c:v>105.874396846075</c:v>
                </c:pt>
                <c:pt idx="22">
                  <c:v>108.842594581545</c:v>
                </c:pt>
                <c:pt idx="23">
                  <c:v>131.99550819577601</c:v>
                </c:pt>
                <c:pt idx="24">
                  <c:v>132.030312829156</c:v>
                </c:pt>
                <c:pt idx="25">
                  <c:v>141.71874670618701</c:v>
                </c:pt>
              </c:numCache>
            </c:numRef>
          </c:val>
          <c:extLst>
            <c:ext xmlns:c16="http://schemas.microsoft.com/office/drawing/2014/chart" uri="{C3380CC4-5D6E-409C-BE32-E72D297353CC}">
              <c16:uniqueId val="{00000006-E52A-4FDA-B582-020D2B140539}"/>
            </c:ext>
          </c:extLst>
        </c:ser>
        <c:ser>
          <c:idx val="2"/>
          <c:order val="3"/>
          <c:tx>
            <c:strRef>
              <c:f>'AGS Stats'!$L$76</c:f>
              <c:strCache>
                <c:ptCount val="1"/>
                <c:pt idx="0">
                  <c:v>Wagering</c:v>
                </c:pt>
              </c:strCache>
            </c:strRef>
          </c:tx>
          <c:spPr>
            <a:solidFill>
              <a:schemeClr val="accent3"/>
            </a:solidFill>
            <a:ln>
              <a:noFill/>
            </a:ln>
            <a:effectLst/>
          </c:spPr>
          <c:invertIfNegative val="0"/>
          <c:val>
            <c:numRef>
              <c:f>'AGS Stats'!$L$77:$L$102</c:f>
              <c:numCache>
                <c:formatCode>#,##0.00</c:formatCode>
                <c:ptCount val="26"/>
                <c:pt idx="0">
                  <c:v>122.39</c:v>
                </c:pt>
                <c:pt idx="1">
                  <c:v>122.72</c:v>
                </c:pt>
                <c:pt idx="2">
                  <c:v>120.51</c:v>
                </c:pt>
                <c:pt idx="3">
                  <c:v>125.12582081830401</c:v>
                </c:pt>
                <c:pt idx="4">
                  <c:v>124.582803089821</c:v>
                </c:pt>
                <c:pt idx="5">
                  <c:v>127.631800601919</c:v>
                </c:pt>
                <c:pt idx="6">
                  <c:v>133.897294214233</c:v>
                </c:pt>
                <c:pt idx="7">
                  <c:v>139.386445434759</c:v>
                </c:pt>
                <c:pt idx="8">
                  <c:v>144.729887449475</c:v>
                </c:pt>
                <c:pt idx="9">
                  <c:v>151.29541367288101</c:v>
                </c:pt>
                <c:pt idx="10">
                  <c:v>153.34711932661699</c:v>
                </c:pt>
                <c:pt idx="11">
                  <c:v>162.915451182596</c:v>
                </c:pt>
                <c:pt idx="12">
                  <c:v>161.04044794834601</c:v>
                </c:pt>
                <c:pt idx="13">
                  <c:v>171.53978506031899</c:v>
                </c:pt>
                <c:pt idx="14">
                  <c:v>174.82103465500001</c:v>
                </c:pt>
                <c:pt idx="15">
                  <c:v>176.44571279509699</c:v>
                </c:pt>
                <c:pt idx="16">
                  <c:v>187.10705969636101</c:v>
                </c:pt>
                <c:pt idx="17">
                  <c:v>188.853707244937</c:v>
                </c:pt>
                <c:pt idx="18">
                  <c:v>195.926122484318</c:v>
                </c:pt>
                <c:pt idx="19">
                  <c:v>207.573257331853</c:v>
                </c:pt>
                <c:pt idx="20">
                  <c:v>216.06640399278601</c:v>
                </c:pt>
                <c:pt idx="21">
                  <c:v>231.33082934712999</c:v>
                </c:pt>
                <c:pt idx="22">
                  <c:v>256.95870079800102</c:v>
                </c:pt>
                <c:pt idx="23">
                  <c:v>256.97231438183002</c:v>
                </c:pt>
                <c:pt idx="24">
                  <c:v>230.60314224624599</c:v>
                </c:pt>
                <c:pt idx="25">
                  <c:v>289.04353722765097</c:v>
                </c:pt>
              </c:numCache>
            </c:numRef>
          </c:val>
          <c:extLst>
            <c:ext xmlns:c16="http://schemas.microsoft.com/office/drawing/2014/chart" uri="{C3380CC4-5D6E-409C-BE32-E72D297353CC}">
              <c16:uniqueId val="{00000007-E52A-4FDA-B582-020D2B140539}"/>
            </c:ext>
          </c:extLst>
        </c:ser>
        <c:ser>
          <c:idx val="4"/>
          <c:order val="4"/>
          <c:tx>
            <c:strRef>
              <c:f>'AGS Stats'!$P$76</c:f>
              <c:strCache>
                <c:ptCount val="1"/>
                <c:pt idx="0">
                  <c:v>Other</c:v>
                </c:pt>
              </c:strCache>
            </c:strRef>
          </c:tx>
          <c:spPr>
            <a:solidFill>
              <a:schemeClr val="accent5"/>
            </a:solidFill>
            <a:ln>
              <a:noFill/>
            </a:ln>
            <a:effectLst/>
          </c:spPr>
          <c:invertIfNegative val="0"/>
          <c:val>
            <c:numRef>
              <c:f>'AGS Stats'!$P$77:$P$102</c:f>
              <c:numCache>
                <c:formatCode>#,##0.00</c:formatCode>
                <c:ptCount val="26"/>
                <c:pt idx="0">
                  <c:v>24.09</c:v>
                </c:pt>
                <c:pt idx="1">
                  <c:v>19.91</c:v>
                </c:pt>
                <c:pt idx="2">
                  <c:v>24.369999999999997</c:v>
                </c:pt>
                <c:pt idx="3">
                  <c:v>24.488300114114629</c:v>
                </c:pt>
                <c:pt idx="4">
                  <c:v>15.632259733467411</c:v>
                </c:pt>
                <c:pt idx="5">
                  <c:v>15.343780288144192</c:v>
                </c:pt>
                <c:pt idx="6">
                  <c:v>9.9870474417080999</c:v>
                </c:pt>
                <c:pt idx="7">
                  <c:v>12.316281864755881</c:v>
                </c:pt>
                <c:pt idx="8">
                  <c:v>14.943030059364082</c:v>
                </c:pt>
                <c:pt idx="9">
                  <c:v>16.046031420971211</c:v>
                </c:pt>
                <c:pt idx="10">
                  <c:v>15.93294057378707</c:v>
                </c:pt>
                <c:pt idx="11">
                  <c:v>14.56708674308679</c:v>
                </c:pt>
                <c:pt idx="12">
                  <c:v>15.798441447279167</c:v>
                </c:pt>
                <c:pt idx="13">
                  <c:v>17.230445993756533</c:v>
                </c:pt>
                <c:pt idx="14">
                  <c:v>16.74758920097554</c:v>
                </c:pt>
                <c:pt idx="15">
                  <c:v>18.11910324444192</c:v>
                </c:pt>
                <c:pt idx="16">
                  <c:v>19.043273641731439</c:v>
                </c:pt>
                <c:pt idx="17">
                  <c:v>19.53801184417539</c:v>
                </c:pt>
                <c:pt idx="18">
                  <c:v>19.626933444216441</c:v>
                </c:pt>
                <c:pt idx="19">
                  <c:v>19.102328181276679</c:v>
                </c:pt>
                <c:pt idx="20">
                  <c:v>20.298393176571143</c:v>
                </c:pt>
                <c:pt idx="21">
                  <c:v>20.672699631508774</c:v>
                </c:pt>
                <c:pt idx="22">
                  <c:v>20.221240546548362</c:v>
                </c:pt>
                <c:pt idx="23">
                  <c:v>19.98731065340343</c:v>
                </c:pt>
                <c:pt idx="24">
                  <c:v>17.083114125876129</c:v>
                </c:pt>
                <c:pt idx="25">
                  <c:v>23.729019571273643</c:v>
                </c:pt>
              </c:numCache>
            </c:numRef>
          </c:val>
          <c:extLst>
            <c:ext xmlns:c16="http://schemas.microsoft.com/office/drawing/2014/chart" uri="{C3380CC4-5D6E-409C-BE32-E72D297353CC}">
              <c16:uniqueId val="{00000008-E52A-4FDA-B582-020D2B140539}"/>
            </c:ext>
          </c:extLst>
        </c:ser>
        <c:dLbls>
          <c:showLegendKey val="0"/>
          <c:showVal val="0"/>
          <c:showCatName val="0"/>
          <c:showSerName val="0"/>
          <c:showPercent val="0"/>
          <c:showBubbleSize val="0"/>
        </c:dLbls>
        <c:gapWidth val="80"/>
        <c:overlap val="100"/>
        <c:axId val="428825520"/>
        <c:axId val="428829360"/>
      </c:barChart>
      <c:catAx>
        <c:axId val="42882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29360"/>
        <c:crosses val="autoZero"/>
        <c:auto val="1"/>
        <c:lblAlgn val="ctr"/>
        <c:lblOffset val="100"/>
        <c:noMultiLvlLbl val="0"/>
      </c:catAx>
      <c:valAx>
        <c:axId val="428829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25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'AGS Stats'!$L$3:$L$26</c:f>
              <c:numCache>
                <c:formatCode>General</c:formatCode>
                <c:ptCount val="24"/>
                <c:pt idx="0">
                  <c:v>0.47399999999999998</c:v>
                </c:pt>
                <c:pt idx="1">
                  <c:v>0.45500000000000002</c:v>
                </c:pt>
                <c:pt idx="2">
                  <c:v>0.436</c:v>
                </c:pt>
                <c:pt idx="3" formatCode="#,##0.000">
                  <c:v>0.444304785855892</c:v>
                </c:pt>
                <c:pt idx="4" formatCode="#,##0.000">
                  <c:v>0.423159108801198</c:v>
                </c:pt>
                <c:pt idx="5" formatCode="#,##0.000">
                  <c:v>0.40145703695776103</c:v>
                </c:pt>
                <c:pt idx="6" formatCode="#,##0.000">
                  <c:v>0.40002842647687098</c:v>
                </c:pt>
                <c:pt idx="7" formatCode="#,##0.000">
                  <c:v>0.40900547075175803</c:v>
                </c:pt>
                <c:pt idx="8" formatCode="#,##0.000">
                  <c:v>0.399689011114089</c:v>
                </c:pt>
                <c:pt idx="9" formatCode="#,##0.000">
                  <c:v>0.39396394443695398</c:v>
                </c:pt>
                <c:pt idx="10" formatCode="#,##0.000">
                  <c:v>0.38380253125484798</c:v>
                </c:pt>
                <c:pt idx="11" formatCode="#,##0.000">
                  <c:v>0.37934889341328498</c:v>
                </c:pt>
                <c:pt idx="12" formatCode="#,##0.000">
                  <c:v>0.35024346829831299</c:v>
                </c:pt>
                <c:pt idx="13" formatCode="#,##0.000">
                  <c:v>0.347049024999386</c:v>
                </c:pt>
                <c:pt idx="14" formatCode="#,##0.000">
                  <c:v>0.34731387457490998</c:v>
                </c:pt>
                <c:pt idx="15" formatCode="#,##0.000">
                  <c:v>0.33102972242721801</c:v>
                </c:pt>
                <c:pt idx="16" formatCode="#,##0.000">
                  <c:v>0.338439901110275</c:v>
                </c:pt>
                <c:pt idx="17" formatCode="#,##0.000">
                  <c:v>0.33823770701795203</c:v>
                </c:pt>
                <c:pt idx="18" formatCode="#,##0.000">
                  <c:v>0.33863011157959999</c:v>
                </c:pt>
                <c:pt idx="19" formatCode="#,##0.000">
                  <c:v>0.34861772744194403</c:v>
                </c:pt>
                <c:pt idx="20" formatCode="#,##0.000">
                  <c:v>0.36002455485096002</c:v>
                </c:pt>
                <c:pt idx="21" formatCode="#,##0.000">
                  <c:v>0.38152399836300799</c:v>
                </c:pt>
                <c:pt idx="22" formatCode="#,##0.000">
                  <c:v>0.41592754089395501</c:v>
                </c:pt>
                <c:pt idx="23" formatCode="#,##0.000">
                  <c:v>0.406291463669463</c:v>
                </c:pt>
              </c:numCache>
            </c:numRef>
          </c:val>
          <c:smooth val="0"/>
          <c:extLst>
            <c:ext xmlns:c16="http://schemas.microsoft.com/office/drawing/2014/chart" uri="{C3380CC4-5D6E-409C-BE32-E72D297353CC}">
              <c16:uniqueId val="{00000000-A721-4776-BF65-FFDF83EEA118}"/>
            </c:ext>
          </c:extLst>
        </c:ser>
        <c:dLbls>
          <c:showLegendKey val="0"/>
          <c:showVal val="0"/>
          <c:showCatName val="0"/>
          <c:showSerName val="0"/>
          <c:showPercent val="0"/>
          <c:showBubbleSize val="0"/>
        </c:dLbls>
        <c:smooth val="0"/>
        <c:axId val="1306326224"/>
        <c:axId val="852614336"/>
      </c:lineChart>
      <c:catAx>
        <c:axId val="13063262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614336"/>
        <c:crosses val="autoZero"/>
        <c:auto val="1"/>
        <c:lblAlgn val="ctr"/>
        <c:lblOffset val="100"/>
        <c:noMultiLvlLbl val="0"/>
      </c:catAx>
      <c:valAx>
        <c:axId val="85261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2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Net Losses from Gambling / Household Consumption</c:v>
          </c:tx>
          <c:spPr>
            <a:ln w="19050" cap="rnd">
              <a:solidFill>
                <a:schemeClr val="bg1">
                  <a:lumMod val="75000"/>
                </a:schemeClr>
              </a:solidFill>
              <a:round/>
            </a:ln>
            <a:effectLst/>
          </c:spPr>
          <c:marker>
            <c:symbol val="none"/>
          </c:marker>
          <c:cat>
            <c:numRef>
              <c:f>'[20]HOUSEHOLD SPEND'!$BE$27:$BE$288</c:f>
              <c:numCache>
                <c:formatCode>General</c:formatCode>
                <c:ptCount val="262"/>
                <c:pt idx="0">
                  <c:v>21794</c:v>
                </c:pt>
                <c:pt idx="1">
                  <c:v>21885</c:v>
                </c:pt>
                <c:pt idx="2">
                  <c:v>21976</c:v>
                </c:pt>
                <c:pt idx="3">
                  <c:v>22068</c:v>
                </c:pt>
                <c:pt idx="4">
                  <c:v>22160</c:v>
                </c:pt>
                <c:pt idx="5">
                  <c:v>22251</c:v>
                </c:pt>
                <c:pt idx="6">
                  <c:v>22341</c:v>
                </c:pt>
                <c:pt idx="7">
                  <c:v>22433</c:v>
                </c:pt>
                <c:pt idx="8">
                  <c:v>22525</c:v>
                </c:pt>
                <c:pt idx="9">
                  <c:v>22616</c:v>
                </c:pt>
                <c:pt idx="10">
                  <c:v>22706</c:v>
                </c:pt>
                <c:pt idx="11">
                  <c:v>22798</c:v>
                </c:pt>
                <c:pt idx="12">
                  <c:v>22890</c:v>
                </c:pt>
                <c:pt idx="13">
                  <c:v>22981</c:v>
                </c:pt>
                <c:pt idx="14">
                  <c:v>23071</c:v>
                </c:pt>
                <c:pt idx="15">
                  <c:v>23163</c:v>
                </c:pt>
                <c:pt idx="16">
                  <c:v>23255</c:v>
                </c:pt>
                <c:pt idx="17">
                  <c:v>23346</c:v>
                </c:pt>
                <c:pt idx="18">
                  <c:v>23437</c:v>
                </c:pt>
                <c:pt idx="19">
                  <c:v>23529</c:v>
                </c:pt>
                <c:pt idx="20">
                  <c:v>23621</c:v>
                </c:pt>
                <c:pt idx="21">
                  <c:v>23712</c:v>
                </c:pt>
                <c:pt idx="22">
                  <c:v>23802</c:v>
                </c:pt>
                <c:pt idx="23">
                  <c:v>23894</c:v>
                </c:pt>
                <c:pt idx="24">
                  <c:v>23986</c:v>
                </c:pt>
                <c:pt idx="25">
                  <c:v>24077</c:v>
                </c:pt>
                <c:pt idx="26">
                  <c:v>24167</c:v>
                </c:pt>
                <c:pt idx="27">
                  <c:v>24259</c:v>
                </c:pt>
                <c:pt idx="28">
                  <c:v>24351</c:v>
                </c:pt>
                <c:pt idx="29">
                  <c:v>24442</c:v>
                </c:pt>
                <c:pt idx="30">
                  <c:v>24532</c:v>
                </c:pt>
                <c:pt idx="31">
                  <c:v>24624</c:v>
                </c:pt>
                <c:pt idx="32">
                  <c:v>24716</c:v>
                </c:pt>
                <c:pt idx="33">
                  <c:v>24807</c:v>
                </c:pt>
                <c:pt idx="34">
                  <c:v>24898</c:v>
                </c:pt>
                <c:pt idx="35">
                  <c:v>24990</c:v>
                </c:pt>
                <c:pt idx="36">
                  <c:v>25082</c:v>
                </c:pt>
                <c:pt idx="37">
                  <c:v>25173</c:v>
                </c:pt>
                <c:pt idx="38">
                  <c:v>25263</c:v>
                </c:pt>
                <c:pt idx="39">
                  <c:v>25355</c:v>
                </c:pt>
                <c:pt idx="40">
                  <c:v>25447</c:v>
                </c:pt>
                <c:pt idx="41">
                  <c:v>25538</c:v>
                </c:pt>
                <c:pt idx="42">
                  <c:v>25628</c:v>
                </c:pt>
                <c:pt idx="43">
                  <c:v>25720</c:v>
                </c:pt>
                <c:pt idx="44">
                  <c:v>25812</c:v>
                </c:pt>
                <c:pt idx="45">
                  <c:v>25903</c:v>
                </c:pt>
                <c:pt idx="46">
                  <c:v>25993</c:v>
                </c:pt>
                <c:pt idx="47">
                  <c:v>26085</c:v>
                </c:pt>
                <c:pt idx="48">
                  <c:v>26177</c:v>
                </c:pt>
                <c:pt idx="49">
                  <c:v>26268</c:v>
                </c:pt>
                <c:pt idx="50">
                  <c:v>26359</c:v>
                </c:pt>
                <c:pt idx="51">
                  <c:v>26451</c:v>
                </c:pt>
                <c:pt idx="52">
                  <c:v>26543</c:v>
                </c:pt>
                <c:pt idx="53">
                  <c:v>26634</c:v>
                </c:pt>
                <c:pt idx="54">
                  <c:v>26724</c:v>
                </c:pt>
                <c:pt idx="55">
                  <c:v>26816</c:v>
                </c:pt>
                <c:pt idx="56">
                  <c:v>26908</c:v>
                </c:pt>
                <c:pt idx="57">
                  <c:v>26999</c:v>
                </c:pt>
                <c:pt idx="58">
                  <c:v>27089</c:v>
                </c:pt>
                <c:pt idx="59">
                  <c:v>27181</c:v>
                </c:pt>
                <c:pt idx="60">
                  <c:v>27273</c:v>
                </c:pt>
                <c:pt idx="61">
                  <c:v>27364</c:v>
                </c:pt>
                <c:pt idx="62">
                  <c:v>27454</c:v>
                </c:pt>
                <c:pt idx="63">
                  <c:v>27546</c:v>
                </c:pt>
                <c:pt idx="64">
                  <c:v>27638</c:v>
                </c:pt>
                <c:pt idx="65">
                  <c:v>27729</c:v>
                </c:pt>
                <c:pt idx="66">
                  <c:v>27820</c:v>
                </c:pt>
                <c:pt idx="67">
                  <c:v>27912</c:v>
                </c:pt>
                <c:pt idx="68">
                  <c:v>28004</c:v>
                </c:pt>
                <c:pt idx="69">
                  <c:v>28095</c:v>
                </c:pt>
                <c:pt idx="70">
                  <c:v>28185</c:v>
                </c:pt>
                <c:pt idx="71">
                  <c:v>28277</c:v>
                </c:pt>
                <c:pt idx="72">
                  <c:v>28369</c:v>
                </c:pt>
                <c:pt idx="73">
                  <c:v>28460</c:v>
                </c:pt>
                <c:pt idx="74">
                  <c:v>28550</c:v>
                </c:pt>
                <c:pt idx="75">
                  <c:v>28642</c:v>
                </c:pt>
                <c:pt idx="76">
                  <c:v>28734</c:v>
                </c:pt>
                <c:pt idx="77">
                  <c:v>28825</c:v>
                </c:pt>
                <c:pt idx="78">
                  <c:v>28915</c:v>
                </c:pt>
                <c:pt idx="79">
                  <c:v>29007</c:v>
                </c:pt>
                <c:pt idx="80">
                  <c:v>29099</c:v>
                </c:pt>
                <c:pt idx="81">
                  <c:v>29190</c:v>
                </c:pt>
                <c:pt idx="82">
                  <c:v>29281</c:v>
                </c:pt>
                <c:pt idx="83">
                  <c:v>29373</c:v>
                </c:pt>
                <c:pt idx="84">
                  <c:v>29465</c:v>
                </c:pt>
                <c:pt idx="85">
                  <c:v>29556</c:v>
                </c:pt>
                <c:pt idx="86">
                  <c:v>29646</c:v>
                </c:pt>
                <c:pt idx="87">
                  <c:v>29738</c:v>
                </c:pt>
                <c:pt idx="88">
                  <c:v>29830</c:v>
                </c:pt>
                <c:pt idx="89">
                  <c:v>29921</c:v>
                </c:pt>
                <c:pt idx="90">
                  <c:v>30011</c:v>
                </c:pt>
                <c:pt idx="91">
                  <c:v>30103</c:v>
                </c:pt>
                <c:pt idx="92">
                  <c:v>30195</c:v>
                </c:pt>
                <c:pt idx="93">
                  <c:v>30286</c:v>
                </c:pt>
                <c:pt idx="94">
                  <c:v>30376</c:v>
                </c:pt>
                <c:pt idx="95">
                  <c:v>30468</c:v>
                </c:pt>
                <c:pt idx="96">
                  <c:v>30560</c:v>
                </c:pt>
                <c:pt idx="97">
                  <c:v>30651</c:v>
                </c:pt>
                <c:pt idx="98">
                  <c:v>30742</c:v>
                </c:pt>
                <c:pt idx="99">
                  <c:v>30834</c:v>
                </c:pt>
                <c:pt idx="100">
                  <c:v>30926</c:v>
                </c:pt>
                <c:pt idx="101">
                  <c:v>31017</c:v>
                </c:pt>
                <c:pt idx="102">
                  <c:v>31107</c:v>
                </c:pt>
                <c:pt idx="103">
                  <c:v>31199</c:v>
                </c:pt>
                <c:pt idx="104">
                  <c:v>31291</c:v>
                </c:pt>
                <c:pt idx="105">
                  <c:v>31382</c:v>
                </c:pt>
                <c:pt idx="106">
                  <c:v>31472</c:v>
                </c:pt>
                <c:pt idx="107">
                  <c:v>31564</c:v>
                </c:pt>
                <c:pt idx="108">
                  <c:v>31656</c:v>
                </c:pt>
                <c:pt idx="109">
                  <c:v>31747</c:v>
                </c:pt>
                <c:pt idx="110">
                  <c:v>31837</c:v>
                </c:pt>
                <c:pt idx="111">
                  <c:v>31929</c:v>
                </c:pt>
                <c:pt idx="112">
                  <c:v>32021</c:v>
                </c:pt>
                <c:pt idx="113">
                  <c:v>32112</c:v>
                </c:pt>
                <c:pt idx="114">
                  <c:v>32203</c:v>
                </c:pt>
                <c:pt idx="115">
                  <c:v>32295</c:v>
                </c:pt>
                <c:pt idx="116">
                  <c:v>32387</c:v>
                </c:pt>
                <c:pt idx="117">
                  <c:v>32478</c:v>
                </c:pt>
                <c:pt idx="118">
                  <c:v>32568</c:v>
                </c:pt>
                <c:pt idx="119">
                  <c:v>32660</c:v>
                </c:pt>
                <c:pt idx="120">
                  <c:v>32752</c:v>
                </c:pt>
                <c:pt idx="121">
                  <c:v>32843</c:v>
                </c:pt>
                <c:pt idx="122">
                  <c:v>32933</c:v>
                </c:pt>
                <c:pt idx="123">
                  <c:v>33025</c:v>
                </c:pt>
                <c:pt idx="124">
                  <c:v>33117</c:v>
                </c:pt>
                <c:pt idx="125">
                  <c:v>33208</c:v>
                </c:pt>
                <c:pt idx="126">
                  <c:v>33298</c:v>
                </c:pt>
                <c:pt idx="127">
                  <c:v>33390</c:v>
                </c:pt>
                <c:pt idx="128">
                  <c:v>33482</c:v>
                </c:pt>
                <c:pt idx="129">
                  <c:v>33573</c:v>
                </c:pt>
                <c:pt idx="130">
                  <c:v>33664</c:v>
                </c:pt>
                <c:pt idx="131">
                  <c:v>33756</c:v>
                </c:pt>
                <c:pt idx="132">
                  <c:v>33848</c:v>
                </c:pt>
                <c:pt idx="133">
                  <c:v>33939</c:v>
                </c:pt>
                <c:pt idx="134">
                  <c:v>34029</c:v>
                </c:pt>
                <c:pt idx="135">
                  <c:v>34121</c:v>
                </c:pt>
                <c:pt idx="136">
                  <c:v>34213</c:v>
                </c:pt>
                <c:pt idx="137">
                  <c:v>34304</c:v>
                </c:pt>
                <c:pt idx="138">
                  <c:v>34394</c:v>
                </c:pt>
                <c:pt idx="139">
                  <c:v>34486</c:v>
                </c:pt>
                <c:pt idx="140">
                  <c:v>34578</c:v>
                </c:pt>
                <c:pt idx="141">
                  <c:v>34669</c:v>
                </c:pt>
                <c:pt idx="142">
                  <c:v>34759</c:v>
                </c:pt>
                <c:pt idx="143">
                  <c:v>34851</c:v>
                </c:pt>
                <c:pt idx="144">
                  <c:v>34943</c:v>
                </c:pt>
                <c:pt idx="145">
                  <c:v>35034</c:v>
                </c:pt>
                <c:pt idx="146">
                  <c:v>35125</c:v>
                </c:pt>
                <c:pt idx="147">
                  <c:v>35217</c:v>
                </c:pt>
                <c:pt idx="148">
                  <c:v>35309</c:v>
                </c:pt>
                <c:pt idx="149">
                  <c:v>35400</c:v>
                </c:pt>
                <c:pt idx="150">
                  <c:v>35490</c:v>
                </c:pt>
                <c:pt idx="151">
                  <c:v>35582</c:v>
                </c:pt>
                <c:pt idx="152">
                  <c:v>35674</c:v>
                </c:pt>
                <c:pt idx="153">
                  <c:v>35765</c:v>
                </c:pt>
                <c:pt idx="154">
                  <c:v>35855</c:v>
                </c:pt>
                <c:pt idx="155">
                  <c:v>35947</c:v>
                </c:pt>
                <c:pt idx="156">
                  <c:v>36039</c:v>
                </c:pt>
                <c:pt idx="157">
                  <c:v>36130</c:v>
                </c:pt>
                <c:pt idx="158">
                  <c:v>36220</c:v>
                </c:pt>
                <c:pt idx="159">
                  <c:v>36312</c:v>
                </c:pt>
                <c:pt idx="160">
                  <c:v>36404</c:v>
                </c:pt>
                <c:pt idx="161">
                  <c:v>36495</c:v>
                </c:pt>
                <c:pt idx="162">
                  <c:v>36586</c:v>
                </c:pt>
                <c:pt idx="163">
                  <c:v>36678</c:v>
                </c:pt>
                <c:pt idx="164">
                  <c:v>36770</c:v>
                </c:pt>
                <c:pt idx="165">
                  <c:v>36861</c:v>
                </c:pt>
                <c:pt idx="166">
                  <c:v>36951</c:v>
                </c:pt>
                <c:pt idx="167">
                  <c:v>37043</c:v>
                </c:pt>
                <c:pt idx="168">
                  <c:v>37135</c:v>
                </c:pt>
                <c:pt idx="169">
                  <c:v>37226</c:v>
                </c:pt>
                <c:pt idx="170">
                  <c:v>37316</c:v>
                </c:pt>
                <c:pt idx="171">
                  <c:v>37408</c:v>
                </c:pt>
                <c:pt idx="172">
                  <c:v>37500</c:v>
                </c:pt>
                <c:pt idx="173">
                  <c:v>37591</c:v>
                </c:pt>
                <c:pt idx="174">
                  <c:v>37681</c:v>
                </c:pt>
                <c:pt idx="175">
                  <c:v>37773</c:v>
                </c:pt>
                <c:pt idx="176">
                  <c:v>37865</c:v>
                </c:pt>
                <c:pt idx="177">
                  <c:v>37956</c:v>
                </c:pt>
                <c:pt idx="178">
                  <c:v>38047</c:v>
                </c:pt>
                <c:pt idx="179">
                  <c:v>38139</c:v>
                </c:pt>
                <c:pt idx="180">
                  <c:v>38231</c:v>
                </c:pt>
                <c:pt idx="181">
                  <c:v>38322</c:v>
                </c:pt>
                <c:pt idx="182">
                  <c:v>38412</c:v>
                </c:pt>
                <c:pt idx="183">
                  <c:v>38504</c:v>
                </c:pt>
                <c:pt idx="184">
                  <c:v>38596</c:v>
                </c:pt>
                <c:pt idx="185">
                  <c:v>38687</c:v>
                </c:pt>
                <c:pt idx="186">
                  <c:v>38777</c:v>
                </c:pt>
                <c:pt idx="187">
                  <c:v>38869</c:v>
                </c:pt>
                <c:pt idx="188">
                  <c:v>38961</c:v>
                </c:pt>
                <c:pt idx="189">
                  <c:v>39052</c:v>
                </c:pt>
                <c:pt idx="190">
                  <c:v>39142</c:v>
                </c:pt>
                <c:pt idx="191">
                  <c:v>39234</c:v>
                </c:pt>
                <c:pt idx="192">
                  <c:v>39326</c:v>
                </c:pt>
                <c:pt idx="193">
                  <c:v>39417</c:v>
                </c:pt>
                <c:pt idx="194">
                  <c:v>39508</c:v>
                </c:pt>
                <c:pt idx="195">
                  <c:v>39600</c:v>
                </c:pt>
                <c:pt idx="196">
                  <c:v>39692</c:v>
                </c:pt>
                <c:pt idx="197">
                  <c:v>39783</c:v>
                </c:pt>
                <c:pt idx="198">
                  <c:v>39873</c:v>
                </c:pt>
                <c:pt idx="199">
                  <c:v>39965</c:v>
                </c:pt>
                <c:pt idx="200">
                  <c:v>40057</c:v>
                </c:pt>
                <c:pt idx="201">
                  <c:v>40148</c:v>
                </c:pt>
                <c:pt idx="202">
                  <c:v>40238</c:v>
                </c:pt>
                <c:pt idx="203">
                  <c:v>40330</c:v>
                </c:pt>
                <c:pt idx="204">
                  <c:v>40422</c:v>
                </c:pt>
                <c:pt idx="205">
                  <c:v>40513</c:v>
                </c:pt>
                <c:pt idx="206">
                  <c:v>40603</c:v>
                </c:pt>
                <c:pt idx="207">
                  <c:v>40695</c:v>
                </c:pt>
                <c:pt idx="208">
                  <c:v>40787</c:v>
                </c:pt>
                <c:pt idx="209">
                  <c:v>40878</c:v>
                </c:pt>
                <c:pt idx="210">
                  <c:v>40969</c:v>
                </c:pt>
                <c:pt idx="211">
                  <c:v>41061</c:v>
                </c:pt>
                <c:pt idx="212">
                  <c:v>41153</c:v>
                </c:pt>
                <c:pt idx="213">
                  <c:v>41244</c:v>
                </c:pt>
                <c:pt idx="214">
                  <c:v>41334</c:v>
                </c:pt>
                <c:pt idx="215">
                  <c:v>41426</c:v>
                </c:pt>
                <c:pt idx="216">
                  <c:v>41518</c:v>
                </c:pt>
                <c:pt idx="217">
                  <c:v>41609</c:v>
                </c:pt>
                <c:pt idx="218">
                  <c:v>41699</c:v>
                </c:pt>
                <c:pt idx="219">
                  <c:v>41791</c:v>
                </c:pt>
                <c:pt idx="220">
                  <c:v>41883</c:v>
                </c:pt>
                <c:pt idx="221">
                  <c:v>41974</c:v>
                </c:pt>
                <c:pt idx="222">
                  <c:v>42064</c:v>
                </c:pt>
                <c:pt idx="223">
                  <c:v>42156</c:v>
                </c:pt>
                <c:pt idx="224">
                  <c:v>42248</c:v>
                </c:pt>
                <c:pt idx="225">
                  <c:v>42339</c:v>
                </c:pt>
                <c:pt idx="226">
                  <c:v>42430</c:v>
                </c:pt>
                <c:pt idx="227">
                  <c:v>42522</c:v>
                </c:pt>
                <c:pt idx="228">
                  <c:v>42614</c:v>
                </c:pt>
                <c:pt idx="229">
                  <c:v>42705</c:v>
                </c:pt>
                <c:pt idx="230">
                  <c:v>42795</c:v>
                </c:pt>
                <c:pt idx="231">
                  <c:v>42887</c:v>
                </c:pt>
                <c:pt idx="232">
                  <c:v>42979</c:v>
                </c:pt>
                <c:pt idx="233">
                  <c:v>43070</c:v>
                </c:pt>
                <c:pt idx="234">
                  <c:v>43160</c:v>
                </c:pt>
                <c:pt idx="235">
                  <c:v>43252</c:v>
                </c:pt>
                <c:pt idx="236">
                  <c:v>43344</c:v>
                </c:pt>
                <c:pt idx="237">
                  <c:v>43435</c:v>
                </c:pt>
                <c:pt idx="238">
                  <c:v>43525</c:v>
                </c:pt>
                <c:pt idx="239">
                  <c:v>43617</c:v>
                </c:pt>
                <c:pt idx="240">
                  <c:v>43709</c:v>
                </c:pt>
                <c:pt idx="241">
                  <c:v>43800</c:v>
                </c:pt>
                <c:pt idx="242">
                  <c:v>43891</c:v>
                </c:pt>
                <c:pt idx="243">
                  <c:v>43983</c:v>
                </c:pt>
                <c:pt idx="244">
                  <c:v>44075</c:v>
                </c:pt>
                <c:pt idx="245">
                  <c:v>44166</c:v>
                </c:pt>
                <c:pt idx="246">
                  <c:v>44256</c:v>
                </c:pt>
                <c:pt idx="247">
                  <c:v>44348</c:v>
                </c:pt>
                <c:pt idx="248">
                  <c:v>44440</c:v>
                </c:pt>
                <c:pt idx="249">
                  <c:v>44531</c:v>
                </c:pt>
                <c:pt idx="250">
                  <c:v>44621</c:v>
                </c:pt>
                <c:pt idx="251">
                  <c:v>44713</c:v>
                </c:pt>
                <c:pt idx="252">
                  <c:v>44805</c:v>
                </c:pt>
                <c:pt idx="253">
                  <c:v>44896</c:v>
                </c:pt>
                <c:pt idx="254">
                  <c:v>44986</c:v>
                </c:pt>
                <c:pt idx="255">
                  <c:v>45078</c:v>
                </c:pt>
                <c:pt idx="256">
                  <c:v>45170</c:v>
                </c:pt>
                <c:pt idx="257">
                  <c:v>45261</c:v>
                </c:pt>
                <c:pt idx="258">
                  <c:v>45352</c:v>
                </c:pt>
                <c:pt idx="259">
                  <c:v>45444</c:v>
                </c:pt>
                <c:pt idx="260">
                  <c:v>45536</c:v>
                </c:pt>
              </c:numCache>
            </c:numRef>
          </c:cat>
          <c:val>
            <c:numRef>
              <c:f>'[20]HOUSEHOLD SPEND'!$AV$27:$AV$288</c:f>
              <c:numCache>
                <c:formatCode>General</c:formatCode>
                <c:ptCount val="262"/>
                <c:pt idx="0">
                  <c:v>1.1910013233348038E-2</c:v>
                </c:pt>
                <c:pt idx="1">
                  <c:v>1.2738853503184714E-2</c:v>
                </c:pt>
                <c:pt idx="2">
                  <c:v>1.5047291487532245E-2</c:v>
                </c:pt>
                <c:pt idx="3">
                  <c:v>1.3759611493322542E-2</c:v>
                </c:pt>
                <c:pt idx="4">
                  <c:v>1.1980830670926517E-2</c:v>
                </c:pt>
                <c:pt idx="5">
                  <c:v>1.2896094325718496E-2</c:v>
                </c:pt>
                <c:pt idx="6">
                  <c:v>1.4729950900163666E-2</c:v>
                </c:pt>
                <c:pt idx="7">
                  <c:v>1.3866877971473851E-2</c:v>
                </c:pt>
                <c:pt idx="8">
                  <c:v>1.1071569790431E-2</c:v>
                </c:pt>
                <c:pt idx="9">
                  <c:v>1.3138686131386862E-2</c:v>
                </c:pt>
                <c:pt idx="10">
                  <c:v>1.5330188679245283E-2</c:v>
                </c:pt>
                <c:pt idx="11">
                  <c:v>1.4147431124348473E-2</c:v>
                </c:pt>
                <c:pt idx="12">
                  <c:v>1.2592592592592593E-2</c:v>
                </c:pt>
                <c:pt idx="13">
                  <c:v>1.3893595391392748E-2</c:v>
                </c:pt>
                <c:pt idx="14">
                  <c:v>1.5832106038291605E-2</c:v>
                </c:pt>
                <c:pt idx="15">
                  <c:v>1.4396067415730338E-2</c:v>
                </c:pt>
                <c:pt idx="16">
                  <c:v>1.6320979258755527E-2</c:v>
                </c:pt>
                <c:pt idx="17">
                  <c:v>1.7516421645292463E-2</c:v>
                </c:pt>
                <c:pt idx="18">
                  <c:v>2.0442930153321975E-2</c:v>
                </c:pt>
                <c:pt idx="19">
                  <c:v>1.8983268983268985E-2</c:v>
                </c:pt>
                <c:pt idx="20">
                  <c:v>1.7964071856287425E-2</c:v>
                </c:pt>
                <c:pt idx="21">
                  <c:v>1.804123711340206E-2</c:v>
                </c:pt>
                <c:pt idx="22">
                  <c:v>2.2306000628338044E-2</c:v>
                </c:pt>
                <c:pt idx="23">
                  <c:v>2.0547945205479451E-2</c:v>
                </c:pt>
                <c:pt idx="24">
                  <c:v>1.7920094007050528E-2</c:v>
                </c:pt>
                <c:pt idx="25">
                  <c:v>1.8588362068965518E-2</c:v>
                </c:pt>
                <c:pt idx="26">
                  <c:v>2.2478556640047324E-2</c:v>
                </c:pt>
                <c:pt idx="27">
                  <c:v>2.0436730123180293E-2</c:v>
                </c:pt>
                <c:pt idx="28">
                  <c:v>1.9209659714599342E-2</c:v>
                </c:pt>
                <c:pt idx="29">
                  <c:v>1.8735948038970773E-2</c:v>
                </c:pt>
                <c:pt idx="30">
                  <c:v>2.2758060146301815E-2</c:v>
                </c:pt>
                <c:pt idx="31">
                  <c:v>2.089783281733746E-2</c:v>
                </c:pt>
                <c:pt idx="32">
                  <c:v>1.8635104507680685E-2</c:v>
                </c:pt>
                <c:pt idx="33">
                  <c:v>1.9553715205889118E-2</c:v>
                </c:pt>
                <c:pt idx="34">
                  <c:v>2.2727272727272728E-2</c:v>
                </c:pt>
                <c:pt idx="35">
                  <c:v>2.1878715814506539E-2</c:v>
                </c:pt>
                <c:pt idx="36">
                  <c:v>1.984126984126984E-2</c:v>
                </c:pt>
                <c:pt idx="37">
                  <c:v>2.009306260575296E-2</c:v>
                </c:pt>
                <c:pt idx="38">
                  <c:v>2.2287923584261998E-2</c:v>
                </c:pt>
                <c:pt idx="39">
                  <c:v>2.1405405405405406E-2</c:v>
                </c:pt>
                <c:pt idx="40">
                  <c:v>2.0421052631578947E-2</c:v>
                </c:pt>
                <c:pt idx="41">
                  <c:v>2.0634314100114636E-2</c:v>
                </c:pt>
                <c:pt idx="42">
                  <c:v>2.2657054582904221E-2</c:v>
                </c:pt>
                <c:pt idx="43">
                  <c:v>2.1688159437280186E-2</c:v>
                </c:pt>
                <c:pt idx="44">
                  <c:v>2.0138089758342925E-2</c:v>
                </c:pt>
                <c:pt idx="45">
                  <c:v>2.0079626103513933E-2</c:v>
                </c:pt>
                <c:pt idx="46">
                  <c:v>2.2434099831744252E-2</c:v>
                </c:pt>
                <c:pt idx="47">
                  <c:v>2.2001419446415899E-2</c:v>
                </c:pt>
                <c:pt idx="48">
                  <c:v>2.1192958468637838E-2</c:v>
                </c:pt>
                <c:pt idx="49">
                  <c:v>2.0738413197172033E-2</c:v>
                </c:pt>
                <c:pt idx="50">
                  <c:v>2.2715714527886084E-2</c:v>
                </c:pt>
                <c:pt idx="51">
                  <c:v>2.3060796645702306E-2</c:v>
                </c:pt>
                <c:pt idx="52">
                  <c:v>2.1596244131455399E-2</c:v>
                </c:pt>
                <c:pt idx="53">
                  <c:v>2.0949123557075674E-2</c:v>
                </c:pt>
                <c:pt idx="54">
                  <c:v>2.3481290713528252E-2</c:v>
                </c:pt>
                <c:pt idx="55">
                  <c:v>2.2797635800731776E-2</c:v>
                </c:pt>
                <c:pt idx="56">
                  <c:v>2.2837184309511014E-2</c:v>
                </c:pt>
                <c:pt idx="57">
                  <c:v>2.199641362821279E-2</c:v>
                </c:pt>
                <c:pt idx="58">
                  <c:v>2.451661822317705E-2</c:v>
                </c:pt>
                <c:pt idx="59">
                  <c:v>2.1102949749329601E-2</c:v>
                </c:pt>
                <c:pt idx="60">
                  <c:v>2.2650915790614502E-2</c:v>
                </c:pt>
                <c:pt idx="61">
                  <c:v>2.2680813783704859E-2</c:v>
                </c:pt>
                <c:pt idx="62">
                  <c:v>2.4395243952439524E-2</c:v>
                </c:pt>
                <c:pt idx="63">
                  <c:v>2.4154589371980676E-2</c:v>
                </c:pt>
                <c:pt idx="64">
                  <c:v>2.3026618771299624E-2</c:v>
                </c:pt>
                <c:pt idx="65">
                  <c:v>2.2249999999999999E-2</c:v>
                </c:pt>
                <c:pt idx="66">
                  <c:v>2.51211987659762E-2</c:v>
                </c:pt>
                <c:pt idx="67">
                  <c:v>2.3838581075583759E-2</c:v>
                </c:pt>
                <c:pt idx="68">
                  <c:v>2.2398506766215586E-2</c:v>
                </c:pt>
                <c:pt idx="69">
                  <c:v>2.1644718408517793E-2</c:v>
                </c:pt>
                <c:pt idx="70">
                  <c:v>2.3516068052930057E-2</c:v>
                </c:pt>
                <c:pt idx="71">
                  <c:v>2.2280194599168017E-2</c:v>
                </c:pt>
                <c:pt idx="72">
                  <c:v>2.1299986258073382E-2</c:v>
                </c:pt>
                <c:pt idx="73">
                  <c:v>2.1502656210473058E-2</c:v>
                </c:pt>
                <c:pt idx="74">
                  <c:v>2.31935771632471E-2</c:v>
                </c:pt>
                <c:pt idx="75">
                  <c:v>2.2444205601567933E-2</c:v>
                </c:pt>
                <c:pt idx="76">
                  <c:v>2.1316148221588796E-2</c:v>
                </c:pt>
                <c:pt idx="77">
                  <c:v>2.1587265231333027E-2</c:v>
                </c:pt>
                <c:pt idx="78">
                  <c:v>2.3126338329764455E-2</c:v>
                </c:pt>
                <c:pt idx="79">
                  <c:v>2.3034291652234154E-2</c:v>
                </c:pt>
                <c:pt idx="80">
                  <c:v>2.1262309758281112E-2</c:v>
                </c:pt>
                <c:pt idx="81">
                  <c:v>2.1480451244011746E-2</c:v>
                </c:pt>
                <c:pt idx="82">
                  <c:v>2.4454904506844129E-2</c:v>
                </c:pt>
                <c:pt idx="83">
                  <c:v>2.2981430183646252E-2</c:v>
                </c:pt>
                <c:pt idx="84">
                  <c:v>2.1742353115580374E-2</c:v>
                </c:pt>
                <c:pt idx="85">
                  <c:v>2.1045025515964412E-2</c:v>
                </c:pt>
                <c:pt idx="86">
                  <c:v>2.2605677929339183E-2</c:v>
                </c:pt>
                <c:pt idx="87">
                  <c:v>2.1707800396324986E-2</c:v>
                </c:pt>
                <c:pt idx="88">
                  <c:v>2.1075581395348836E-2</c:v>
                </c:pt>
                <c:pt idx="89">
                  <c:v>2.0490518727472182E-2</c:v>
                </c:pt>
                <c:pt idx="90">
                  <c:v>2.2727272727272728E-2</c:v>
                </c:pt>
                <c:pt idx="91">
                  <c:v>2.0815533980582526E-2</c:v>
                </c:pt>
                <c:pt idx="92">
                  <c:v>1.9594670249692085E-2</c:v>
                </c:pt>
                <c:pt idx="93">
                  <c:v>1.9426740738216149E-2</c:v>
                </c:pt>
                <c:pt idx="94">
                  <c:v>2.1535990655570155E-2</c:v>
                </c:pt>
                <c:pt idx="95">
                  <c:v>2.0461440767656811E-2</c:v>
                </c:pt>
                <c:pt idx="96">
                  <c:v>1.8415388294782876E-2</c:v>
                </c:pt>
                <c:pt idx="97">
                  <c:v>1.8307783943070317E-2</c:v>
                </c:pt>
                <c:pt idx="98">
                  <c:v>2.1119395432002967E-2</c:v>
                </c:pt>
                <c:pt idx="99">
                  <c:v>2.0683570775062082E-2</c:v>
                </c:pt>
                <c:pt idx="100">
                  <c:v>1.9797510801573482E-2</c:v>
                </c:pt>
                <c:pt idx="101">
                  <c:v>1.9149568837347607E-2</c:v>
                </c:pt>
                <c:pt idx="102">
                  <c:v>2.1640054817222806E-2</c:v>
                </c:pt>
                <c:pt idx="103">
                  <c:v>2.0144705635113634E-2</c:v>
                </c:pt>
                <c:pt idx="104">
                  <c:v>1.8461625988507709E-2</c:v>
                </c:pt>
                <c:pt idx="105">
                  <c:v>1.8637248539909151E-2</c:v>
                </c:pt>
                <c:pt idx="106">
                  <c:v>2.1550861748649498E-2</c:v>
                </c:pt>
                <c:pt idx="107">
                  <c:v>2.1108179419525065E-2</c:v>
                </c:pt>
                <c:pt idx="108">
                  <c:v>1.9587259319950839E-2</c:v>
                </c:pt>
                <c:pt idx="109">
                  <c:v>1.9742753109188063E-2</c:v>
                </c:pt>
                <c:pt idx="110">
                  <c:v>2.0631471302569346E-2</c:v>
                </c:pt>
                <c:pt idx="111">
                  <c:v>1.996871486532727E-2</c:v>
                </c:pt>
                <c:pt idx="112">
                  <c:v>1.953334421109065E-2</c:v>
                </c:pt>
                <c:pt idx="113">
                  <c:v>1.9010265972266873E-2</c:v>
                </c:pt>
                <c:pt idx="114">
                  <c:v>2.0595123295219727E-2</c:v>
                </c:pt>
                <c:pt idx="115">
                  <c:v>2.0055784300703944E-2</c:v>
                </c:pt>
                <c:pt idx="116">
                  <c:v>1.9623996620194338E-2</c:v>
                </c:pt>
                <c:pt idx="117">
                  <c:v>1.8646168144677226E-2</c:v>
                </c:pt>
                <c:pt idx="118">
                  <c:v>2.1259114717058641E-2</c:v>
                </c:pt>
                <c:pt idx="119">
                  <c:v>1.9654869844983915E-2</c:v>
                </c:pt>
                <c:pt idx="120">
                  <c:v>2.0010098554410636E-2</c:v>
                </c:pt>
                <c:pt idx="121">
                  <c:v>1.9087482849054309E-2</c:v>
                </c:pt>
                <c:pt idx="122">
                  <c:v>2.1525875471977492E-2</c:v>
                </c:pt>
                <c:pt idx="123">
                  <c:v>2.1146048232197481E-2</c:v>
                </c:pt>
                <c:pt idx="124">
                  <c:v>2.1217139308631752E-2</c:v>
                </c:pt>
                <c:pt idx="125">
                  <c:v>2.0389054806683349E-2</c:v>
                </c:pt>
                <c:pt idx="126">
                  <c:v>2.2255792302692829E-2</c:v>
                </c:pt>
                <c:pt idx="127">
                  <c:v>2.288981821285312E-2</c:v>
                </c:pt>
                <c:pt idx="128">
                  <c:v>2.1911859053447169E-2</c:v>
                </c:pt>
                <c:pt idx="129">
                  <c:v>2.0450182673849775E-2</c:v>
                </c:pt>
                <c:pt idx="130">
                  <c:v>2.1705813759786773E-2</c:v>
                </c:pt>
                <c:pt idx="131">
                  <c:v>2.3022537170962157E-2</c:v>
                </c:pt>
                <c:pt idx="132">
                  <c:v>2.1256420387198736E-2</c:v>
                </c:pt>
                <c:pt idx="133">
                  <c:v>2.1985214274026804E-2</c:v>
                </c:pt>
                <c:pt idx="134">
                  <c:v>2.4467105156838347E-2</c:v>
                </c:pt>
                <c:pt idx="135">
                  <c:v>2.5871221583812141E-2</c:v>
                </c:pt>
                <c:pt idx="136">
                  <c:v>2.5168608215818518E-2</c:v>
                </c:pt>
                <c:pt idx="137">
                  <c:v>2.5624206818862381E-2</c:v>
                </c:pt>
                <c:pt idx="138">
                  <c:v>2.7162325020858441E-2</c:v>
                </c:pt>
                <c:pt idx="139">
                  <c:v>2.6932997420670627E-2</c:v>
                </c:pt>
                <c:pt idx="140">
                  <c:v>2.7624548112514583E-2</c:v>
                </c:pt>
                <c:pt idx="141">
                  <c:v>2.7490385136233138E-2</c:v>
                </c:pt>
                <c:pt idx="142">
                  <c:v>3.0516636208046878E-2</c:v>
                </c:pt>
                <c:pt idx="143">
                  <c:v>3.0873880752412021E-2</c:v>
                </c:pt>
                <c:pt idx="144">
                  <c:v>3.072194540727903E-2</c:v>
                </c:pt>
                <c:pt idx="145">
                  <c:v>3.0804277668797064E-2</c:v>
                </c:pt>
                <c:pt idx="146">
                  <c:v>3.3112492502317466E-2</c:v>
                </c:pt>
                <c:pt idx="147">
                  <c:v>3.3973080428494062E-2</c:v>
                </c:pt>
                <c:pt idx="148">
                  <c:v>3.3188452805708722E-2</c:v>
                </c:pt>
                <c:pt idx="149">
                  <c:v>3.2402846195949644E-2</c:v>
                </c:pt>
                <c:pt idx="150">
                  <c:v>3.2922726499194935E-2</c:v>
                </c:pt>
                <c:pt idx="151">
                  <c:v>3.2586788935355472E-2</c:v>
                </c:pt>
                <c:pt idx="152">
                  <c:v>3.4512195121951222E-2</c:v>
                </c:pt>
                <c:pt idx="153">
                  <c:v>3.4074732082863553E-2</c:v>
                </c:pt>
                <c:pt idx="154">
                  <c:v>3.5725258384436714E-2</c:v>
                </c:pt>
                <c:pt idx="155">
                  <c:v>3.4619434683325644E-2</c:v>
                </c:pt>
                <c:pt idx="156">
                  <c:v>3.5631895114318995E-2</c:v>
                </c:pt>
                <c:pt idx="157">
                  <c:v>3.5633739287325217E-2</c:v>
                </c:pt>
                <c:pt idx="158">
                  <c:v>3.7191833369593842E-2</c:v>
                </c:pt>
                <c:pt idx="159">
                  <c:v>3.4994662396583935E-2</c:v>
                </c:pt>
                <c:pt idx="160">
                  <c:v>3.6132507406409914E-2</c:v>
                </c:pt>
                <c:pt idx="161">
                  <c:v>3.5412389807994202E-2</c:v>
                </c:pt>
                <c:pt idx="162">
                  <c:v>3.7749318565309567E-2</c:v>
                </c:pt>
                <c:pt idx="163">
                  <c:v>3.6721744047245083E-2</c:v>
                </c:pt>
                <c:pt idx="164">
                  <c:v>3.8828480187825185E-2</c:v>
                </c:pt>
                <c:pt idx="165">
                  <c:v>3.4779917856004199E-2</c:v>
                </c:pt>
                <c:pt idx="166">
                  <c:v>3.6191715029017413E-2</c:v>
                </c:pt>
                <c:pt idx="167">
                  <c:v>3.6102834848940689E-2</c:v>
                </c:pt>
                <c:pt idx="168">
                  <c:v>3.6391443118778025E-2</c:v>
                </c:pt>
                <c:pt idx="169">
                  <c:v>3.5565782927002632E-2</c:v>
                </c:pt>
                <c:pt idx="170">
                  <c:v>3.6791960942314073E-2</c:v>
                </c:pt>
                <c:pt idx="171">
                  <c:v>3.6360652449420584E-2</c:v>
                </c:pt>
                <c:pt idx="172">
                  <c:v>3.5930086733843736E-2</c:v>
                </c:pt>
                <c:pt idx="173">
                  <c:v>3.3287364674599702E-2</c:v>
                </c:pt>
                <c:pt idx="174">
                  <c:v>3.5076513639387893E-2</c:v>
                </c:pt>
                <c:pt idx="175">
                  <c:v>3.5025030208872779E-2</c:v>
                </c:pt>
                <c:pt idx="176">
                  <c:v>3.4683529500213015E-2</c:v>
                </c:pt>
                <c:pt idx="177">
                  <c:v>3.313192346424975E-2</c:v>
                </c:pt>
                <c:pt idx="178">
                  <c:v>3.4332218579595064E-2</c:v>
                </c:pt>
                <c:pt idx="179">
                  <c:v>3.4897386493552181E-2</c:v>
                </c:pt>
                <c:pt idx="180">
                  <c:v>3.3570055200645044E-2</c:v>
                </c:pt>
                <c:pt idx="181">
                  <c:v>3.2416417346849857E-2</c:v>
                </c:pt>
                <c:pt idx="182">
                  <c:v>3.4697297895552356E-2</c:v>
                </c:pt>
                <c:pt idx="183">
                  <c:v>3.388035600285403E-2</c:v>
                </c:pt>
                <c:pt idx="184">
                  <c:v>3.3850906668423636E-2</c:v>
                </c:pt>
                <c:pt idx="185">
                  <c:v>3.2129486744770223E-2</c:v>
                </c:pt>
                <c:pt idx="186">
                  <c:v>3.3752384319097384E-2</c:v>
                </c:pt>
                <c:pt idx="187">
                  <c:v>3.2000502516070048E-2</c:v>
                </c:pt>
                <c:pt idx="188">
                  <c:v>3.1703916286499441E-2</c:v>
                </c:pt>
                <c:pt idx="189">
                  <c:v>3.1814913558879859E-2</c:v>
                </c:pt>
                <c:pt idx="190">
                  <c:v>3.0828646015555617E-2</c:v>
                </c:pt>
                <c:pt idx="191">
                  <c:v>3.077692500048089E-2</c:v>
                </c:pt>
                <c:pt idx="192">
                  <c:v>3.0335344116753565E-2</c:v>
                </c:pt>
                <c:pt idx="193">
                  <c:v>2.8147569100094506E-2</c:v>
                </c:pt>
                <c:pt idx="194">
                  <c:v>2.9179800899565168E-2</c:v>
                </c:pt>
                <c:pt idx="195">
                  <c:v>2.7703808367902712E-2</c:v>
                </c:pt>
                <c:pt idx="196">
                  <c:v>2.9279975278121137E-2</c:v>
                </c:pt>
                <c:pt idx="197">
                  <c:v>2.8786972983744698E-2</c:v>
                </c:pt>
                <c:pt idx="198">
                  <c:v>2.9447023958035404E-2</c:v>
                </c:pt>
                <c:pt idx="199">
                  <c:v>2.9852308407954414E-2</c:v>
                </c:pt>
                <c:pt idx="200">
                  <c:v>2.9271091318079572E-2</c:v>
                </c:pt>
                <c:pt idx="201">
                  <c:v>2.657150964508858E-2</c:v>
                </c:pt>
                <c:pt idx="202">
                  <c:v>2.5873471994161651E-2</c:v>
                </c:pt>
                <c:pt idx="203">
                  <c:v>2.7899842241158136E-2</c:v>
                </c:pt>
                <c:pt idx="204">
                  <c:v>2.7325665027517463E-2</c:v>
                </c:pt>
                <c:pt idx="205">
                  <c:v>2.6078346746553606E-2</c:v>
                </c:pt>
                <c:pt idx="206">
                  <c:v>2.5570717334967796E-2</c:v>
                </c:pt>
                <c:pt idx="207">
                  <c:v>2.8062729672377208E-2</c:v>
                </c:pt>
                <c:pt idx="208">
                  <c:v>2.845850200898371E-2</c:v>
                </c:pt>
                <c:pt idx="209">
                  <c:v>2.6077404744161738E-2</c:v>
                </c:pt>
                <c:pt idx="210">
                  <c:v>2.6060779523454189E-2</c:v>
                </c:pt>
                <c:pt idx="211">
                  <c:v>2.6774684142398007E-2</c:v>
                </c:pt>
                <c:pt idx="212">
                  <c:v>2.8618018752547901E-2</c:v>
                </c:pt>
                <c:pt idx="213">
                  <c:v>2.5357667334743376E-2</c:v>
                </c:pt>
                <c:pt idx="214">
                  <c:v>2.5525945328173209E-2</c:v>
                </c:pt>
                <c:pt idx="215">
                  <c:v>2.4900980918916092E-2</c:v>
                </c:pt>
                <c:pt idx="216">
                  <c:v>2.6513630636742492E-2</c:v>
                </c:pt>
                <c:pt idx="217">
                  <c:v>2.4303943032795948E-2</c:v>
                </c:pt>
                <c:pt idx="218">
                  <c:v>2.4455325961781533E-2</c:v>
                </c:pt>
                <c:pt idx="219">
                  <c:v>2.6237358363697491E-2</c:v>
                </c:pt>
                <c:pt idx="220">
                  <c:v>2.7847696671860642E-2</c:v>
                </c:pt>
                <c:pt idx="221">
                  <c:v>2.5913358841840178E-2</c:v>
                </c:pt>
                <c:pt idx="222">
                  <c:v>2.5616440834343397E-2</c:v>
                </c:pt>
                <c:pt idx="223">
                  <c:v>2.6266219718457592E-2</c:v>
                </c:pt>
                <c:pt idx="224">
                  <c:v>2.7663361518859831E-2</c:v>
                </c:pt>
                <c:pt idx="225">
                  <c:v>2.6253782480327018E-2</c:v>
                </c:pt>
                <c:pt idx="226">
                  <c:v>2.6179657462425725E-2</c:v>
                </c:pt>
                <c:pt idx="227">
                  <c:v>2.6257466703252633E-2</c:v>
                </c:pt>
                <c:pt idx="228">
                  <c:v>2.7429363064722181E-2</c:v>
                </c:pt>
                <c:pt idx="229">
                  <c:v>2.5082362060851029E-2</c:v>
                </c:pt>
                <c:pt idx="230">
                  <c:v>2.5118395394187018E-2</c:v>
                </c:pt>
                <c:pt idx="231">
                  <c:v>2.5044955613959429E-2</c:v>
                </c:pt>
                <c:pt idx="232">
                  <c:v>2.6708581301593395E-2</c:v>
                </c:pt>
                <c:pt idx="233">
                  <c:v>2.5929943262841714E-2</c:v>
                </c:pt>
                <c:pt idx="234">
                  <c:v>2.4819199224273766E-2</c:v>
                </c:pt>
                <c:pt idx="235">
                  <c:v>2.6100685181872623E-2</c:v>
                </c:pt>
                <c:pt idx="236">
                  <c:v>2.7121475702560408E-2</c:v>
                </c:pt>
                <c:pt idx="237">
                  <c:v>2.472778929023849E-2</c:v>
                </c:pt>
                <c:pt idx="238">
                  <c:v>2.4204176406909427E-2</c:v>
                </c:pt>
                <c:pt idx="239">
                  <c:v>2.4604695644942411E-2</c:v>
                </c:pt>
                <c:pt idx="240">
                  <c:v>2.5573314282080727E-2</c:v>
                </c:pt>
                <c:pt idx="241">
                  <c:v>2.3913975421549015E-2</c:v>
                </c:pt>
                <c:pt idx="242">
                  <c:v>2.2463158792096625E-2</c:v>
                </c:pt>
                <c:pt idx="243">
                  <c:v>1.3320395583260054E-2</c:v>
                </c:pt>
                <c:pt idx="244">
                  <c:v>1.9932470097313137E-2</c:v>
                </c:pt>
                <c:pt idx="245">
                  <c:v>2.3206689798347876E-2</c:v>
                </c:pt>
                <c:pt idx="246">
                  <c:v>2.6182480941313414E-2</c:v>
                </c:pt>
                <c:pt idx="247">
                  <c:v>2.5208726493027765E-2</c:v>
                </c:pt>
                <c:pt idx="248">
                  <c:v>1.9997257518968827E-2</c:v>
                </c:pt>
                <c:pt idx="249">
                  <c:v>2.2824832600873503E-2</c:v>
                </c:pt>
                <c:pt idx="250">
                  <c:v>2.6772775106563156E-2</c:v>
                </c:pt>
                <c:pt idx="251">
                  <c:v>2.6801687427602253E-2</c:v>
                </c:pt>
                <c:pt idx="252">
                  <c:v>2.5823004557000803E-2</c:v>
                </c:pt>
                <c:pt idx="253">
                  <c:v>2.5459305064430914E-2</c:v>
                </c:pt>
                <c:pt idx="254">
                  <c:v>2.5124031032389499E-2</c:v>
                </c:pt>
                <c:pt idx="255">
                  <c:v>2.4287733053744813E-2</c:v>
                </c:pt>
                <c:pt idx="256">
                  <c:v>2.542877366732909E-2</c:v>
                </c:pt>
                <c:pt idx="257">
                  <c:v>2.3662283924796218E-2</c:v>
                </c:pt>
                <c:pt idx="258">
                  <c:v>2.5363102317367645E-2</c:v>
                </c:pt>
                <c:pt idx="259">
                  <c:v>2.4166290470072113E-2</c:v>
                </c:pt>
                <c:pt idx="260">
                  <c:v>2.521130367967216E-2</c:v>
                </c:pt>
              </c:numCache>
            </c:numRef>
          </c:val>
          <c:smooth val="0"/>
          <c:extLst>
            <c:ext xmlns:c16="http://schemas.microsoft.com/office/drawing/2014/chart" uri="{C3380CC4-5D6E-409C-BE32-E72D297353CC}">
              <c16:uniqueId val="{00000000-CBE8-4381-A40D-B608AE6C3441}"/>
            </c:ext>
          </c:extLst>
        </c:ser>
        <c:ser>
          <c:idx val="1"/>
          <c:order val="1"/>
          <c:tx>
            <c:v>3yr avg.</c:v>
          </c:tx>
          <c:spPr>
            <a:ln w="19050" cap="rnd">
              <a:solidFill>
                <a:schemeClr val="tx2"/>
              </a:solidFill>
              <a:round/>
            </a:ln>
            <a:effectLst/>
          </c:spPr>
          <c:marker>
            <c:symbol val="none"/>
          </c:marker>
          <c:cat>
            <c:numRef>
              <c:f>'[20]HOUSEHOLD SPEND'!$BE$27:$BE$288</c:f>
              <c:numCache>
                <c:formatCode>General</c:formatCode>
                <c:ptCount val="262"/>
                <c:pt idx="0">
                  <c:v>21794</c:v>
                </c:pt>
                <c:pt idx="1">
                  <c:v>21885</c:v>
                </c:pt>
                <c:pt idx="2">
                  <c:v>21976</c:v>
                </c:pt>
                <c:pt idx="3">
                  <c:v>22068</c:v>
                </c:pt>
                <c:pt idx="4">
                  <c:v>22160</c:v>
                </c:pt>
                <c:pt idx="5">
                  <c:v>22251</c:v>
                </c:pt>
                <c:pt idx="6">
                  <c:v>22341</c:v>
                </c:pt>
                <c:pt idx="7">
                  <c:v>22433</c:v>
                </c:pt>
                <c:pt idx="8">
                  <c:v>22525</c:v>
                </c:pt>
                <c:pt idx="9">
                  <c:v>22616</c:v>
                </c:pt>
                <c:pt idx="10">
                  <c:v>22706</c:v>
                </c:pt>
                <c:pt idx="11">
                  <c:v>22798</c:v>
                </c:pt>
                <c:pt idx="12">
                  <c:v>22890</c:v>
                </c:pt>
                <c:pt idx="13">
                  <c:v>22981</c:v>
                </c:pt>
                <c:pt idx="14">
                  <c:v>23071</c:v>
                </c:pt>
                <c:pt idx="15">
                  <c:v>23163</c:v>
                </c:pt>
                <c:pt idx="16">
                  <c:v>23255</c:v>
                </c:pt>
                <c:pt idx="17">
                  <c:v>23346</c:v>
                </c:pt>
                <c:pt idx="18">
                  <c:v>23437</c:v>
                </c:pt>
                <c:pt idx="19">
                  <c:v>23529</c:v>
                </c:pt>
                <c:pt idx="20">
                  <c:v>23621</c:v>
                </c:pt>
                <c:pt idx="21">
                  <c:v>23712</c:v>
                </c:pt>
                <c:pt idx="22">
                  <c:v>23802</c:v>
                </c:pt>
                <c:pt idx="23">
                  <c:v>23894</c:v>
                </c:pt>
                <c:pt idx="24">
                  <c:v>23986</c:v>
                </c:pt>
                <c:pt idx="25">
                  <c:v>24077</c:v>
                </c:pt>
                <c:pt idx="26">
                  <c:v>24167</c:v>
                </c:pt>
                <c:pt idx="27">
                  <c:v>24259</c:v>
                </c:pt>
                <c:pt idx="28">
                  <c:v>24351</c:v>
                </c:pt>
                <c:pt idx="29">
                  <c:v>24442</c:v>
                </c:pt>
                <c:pt idx="30">
                  <c:v>24532</c:v>
                </c:pt>
                <c:pt idx="31">
                  <c:v>24624</c:v>
                </c:pt>
                <c:pt idx="32">
                  <c:v>24716</c:v>
                </c:pt>
                <c:pt idx="33">
                  <c:v>24807</c:v>
                </c:pt>
                <c:pt idx="34">
                  <c:v>24898</c:v>
                </c:pt>
                <c:pt idx="35">
                  <c:v>24990</c:v>
                </c:pt>
                <c:pt idx="36">
                  <c:v>25082</c:v>
                </c:pt>
                <c:pt idx="37">
                  <c:v>25173</c:v>
                </c:pt>
                <c:pt idx="38">
                  <c:v>25263</c:v>
                </c:pt>
                <c:pt idx="39">
                  <c:v>25355</c:v>
                </c:pt>
                <c:pt idx="40">
                  <c:v>25447</c:v>
                </c:pt>
                <c:pt idx="41">
                  <c:v>25538</c:v>
                </c:pt>
                <c:pt idx="42">
                  <c:v>25628</c:v>
                </c:pt>
                <c:pt idx="43">
                  <c:v>25720</c:v>
                </c:pt>
                <c:pt idx="44">
                  <c:v>25812</c:v>
                </c:pt>
                <c:pt idx="45">
                  <c:v>25903</c:v>
                </c:pt>
                <c:pt idx="46">
                  <c:v>25993</c:v>
                </c:pt>
                <c:pt idx="47">
                  <c:v>26085</c:v>
                </c:pt>
                <c:pt idx="48">
                  <c:v>26177</c:v>
                </c:pt>
                <c:pt idx="49">
                  <c:v>26268</c:v>
                </c:pt>
                <c:pt idx="50">
                  <c:v>26359</c:v>
                </c:pt>
                <c:pt idx="51">
                  <c:v>26451</c:v>
                </c:pt>
                <c:pt idx="52">
                  <c:v>26543</c:v>
                </c:pt>
                <c:pt idx="53">
                  <c:v>26634</c:v>
                </c:pt>
                <c:pt idx="54">
                  <c:v>26724</c:v>
                </c:pt>
                <c:pt idx="55">
                  <c:v>26816</c:v>
                </c:pt>
                <c:pt idx="56">
                  <c:v>26908</c:v>
                </c:pt>
                <c:pt idx="57">
                  <c:v>26999</c:v>
                </c:pt>
                <c:pt idx="58">
                  <c:v>27089</c:v>
                </c:pt>
                <c:pt idx="59">
                  <c:v>27181</c:v>
                </c:pt>
                <c:pt idx="60">
                  <c:v>27273</c:v>
                </c:pt>
                <c:pt idx="61">
                  <c:v>27364</c:v>
                </c:pt>
                <c:pt idx="62">
                  <c:v>27454</c:v>
                </c:pt>
                <c:pt idx="63">
                  <c:v>27546</c:v>
                </c:pt>
                <c:pt idx="64">
                  <c:v>27638</c:v>
                </c:pt>
                <c:pt idx="65">
                  <c:v>27729</c:v>
                </c:pt>
                <c:pt idx="66">
                  <c:v>27820</c:v>
                </c:pt>
                <c:pt idx="67">
                  <c:v>27912</c:v>
                </c:pt>
                <c:pt idx="68">
                  <c:v>28004</c:v>
                </c:pt>
                <c:pt idx="69">
                  <c:v>28095</c:v>
                </c:pt>
                <c:pt idx="70">
                  <c:v>28185</c:v>
                </c:pt>
                <c:pt idx="71">
                  <c:v>28277</c:v>
                </c:pt>
                <c:pt idx="72">
                  <c:v>28369</c:v>
                </c:pt>
                <c:pt idx="73">
                  <c:v>28460</c:v>
                </c:pt>
                <c:pt idx="74">
                  <c:v>28550</c:v>
                </c:pt>
                <c:pt idx="75">
                  <c:v>28642</c:v>
                </c:pt>
                <c:pt idx="76">
                  <c:v>28734</c:v>
                </c:pt>
                <c:pt idx="77">
                  <c:v>28825</c:v>
                </c:pt>
                <c:pt idx="78">
                  <c:v>28915</c:v>
                </c:pt>
                <c:pt idx="79">
                  <c:v>29007</c:v>
                </c:pt>
                <c:pt idx="80">
                  <c:v>29099</c:v>
                </c:pt>
                <c:pt idx="81">
                  <c:v>29190</c:v>
                </c:pt>
                <c:pt idx="82">
                  <c:v>29281</c:v>
                </c:pt>
                <c:pt idx="83">
                  <c:v>29373</c:v>
                </c:pt>
                <c:pt idx="84">
                  <c:v>29465</c:v>
                </c:pt>
                <c:pt idx="85">
                  <c:v>29556</c:v>
                </c:pt>
                <c:pt idx="86">
                  <c:v>29646</c:v>
                </c:pt>
                <c:pt idx="87">
                  <c:v>29738</c:v>
                </c:pt>
                <c:pt idx="88">
                  <c:v>29830</c:v>
                </c:pt>
                <c:pt idx="89">
                  <c:v>29921</c:v>
                </c:pt>
                <c:pt idx="90">
                  <c:v>30011</c:v>
                </c:pt>
                <c:pt idx="91">
                  <c:v>30103</c:v>
                </c:pt>
                <c:pt idx="92">
                  <c:v>30195</c:v>
                </c:pt>
                <c:pt idx="93">
                  <c:v>30286</c:v>
                </c:pt>
                <c:pt idx="94">
                  <c:v>30376</c:v>
                </c:pt>
                <c:pt idx="95">
                  <c:v>30468</c:v>
                </c:pt>
                <c:pt idx="96">
                  <c:v>30560</c:v>
                </c:pt>
                <c:pt idx="97">
                  <c:v>30651</c:v>
                </c:pt>
                <c:pt idx="98">
                  <c:v>30742</c:v>
                </c:pt>
                <c:pt idx="99">
                  <c:v>30834</c:v>
                </c:pt>
                <c:pt idx="100">
                  <c:v>30926</c:v>
                </c:pt>
                <c:pt idx="101">
                  <c:v>31017</c:v>
                </c:pt>
                <c:pt idx="102">
                  <c:v>31107</c:v>
                </c:pt>
                <c:pt idx="103">
                  <c:v>31199</c:v>
                </c:pt>
                <c:pt idx="104">
                  <c:v>31291</c:v>
                </c:pt>
                <c:pt idx="105">
                  <c:v>31382</c:v>
                </c:pt>
                <c:pt idx="106">
                  <c:v>31472</c:v>
                </c:pt>
                <c:pt idx="107">
                  <c:v>31564</c:v>
                </c:pt>
                <c:pt idx="108">
                  <c:v>31656</c:v>
                </c:pt>
                <c:pt idx="109">
                  <c:v>31747</c:v>
                </c:pt>
                <c:pt idx="110">
                  <c:v>31837</c:v>
                </c:pt>
                <c:pt idx="111">
                  <c:v>31929</c:v>
                </c:pt>
                <c:pt idx="112">
                  <c:v>32021</c:v>
                </c:pt>
                <c:pt idx="113">
                  <c:v>32112</c:v>
                </c:pt>
                <c:pt idx="114">
                  <c:v>32203</c:v>
                </c:pt>
                <c:pt idx="115">
                  <c:v>32295</c:v>
                </c:pt>
                <c:pt idx="116">
                  <c:v>32387</c:v>
                </c:pt>
                <c:pt idx="117">
                  <c:v>32478</c:v>
                </c:pt>
                <c:pt idx="118">
                  <c:v>32568</c:v>
                </c:pt>
                <c:pt idx="119">
                  <c:v>32660</c:v>
                </c:pt>
                <c:pt idx="120">
                  <c:v>32752</c:v>
                </c:pt>
                <c:pt idx="121">
                  <c:v>32843</c:v>
                </c:pt>
                <c:pt idx="122">
                  <c:v>32933</c:v>
                </c:pt>
                <c:pt idx="123">
                  <c:v>33025</c:v>
                </c:pt>
                <c:pt idx="124">
                  <c:v>33117</c:v>
                </c:pt>
                <c:pt idx="125">
                  <c:v>33208</c:v>
                </c:pt>
                <c:pt idx="126">
                  <c:v>33298</c:v>
                </c:pt>
                <c:pt idx="127">
                  <c:v>33390</c:v>
                </c:pt>
                <c:pt idx="128">
                  <c:v>33482</c:v>
                </c:pt>
                <c:pt idx="129">
                  <c:v>33573</c:v>
                </c:pt>
                <c:pt idx="130">
                  <c:v>33664</c:v>
                </c:pt>
                <c:pt idx="131">
                  <c:v>33756</c:v>
                </c:pt>
                <c:pt idx="132">
                  <c:v>33848</c:v>
                </c:pt>
                <c:pt idx="133">
                  <c:v>33939</c:v>
                </c:pt>
                <c:pt idx="134">
                  <c:v>34029</c:v>
                </c:pt>
                <c:pt idx="135">
                  <c:v>34121</c:v>
                </c:pt>
                <c:pt idx="136">
                  <c:v>34213</c:v>
                </c:pt>
                <c:pt idx="137">
                  <c:v>34304</c:v>
                </c:pt>
                <c:pt idx="138">
                  <c:v>34394</c:v>
                </c:pt>
                <c:pt idx="139">
                  <c:v>34486</c:v>
                </c:pt>
                <c:pt idx="140">
                  <c:v>34578</c:v>
                </c:pt>
                <c:pt idx="141">
                  <c:v>34669</c:v>
                </c:pt>
                <c:pt idx="142">
                  <c:v>34759</c:v>
                </c:pt>
                <c:pt idx="143">
                  <c:v>34851</c:v>
                </c:pt>
                <c:pt idx="144">
                  <c:v>34943</c:v>
                </c:pt>
                <c:pt idx="145">
                  <c:v>35034</c:v>
                </c:pt>
                <c:pt idx="146">
                  <c:v>35125</c:v>
                </c:pt>
                <c:pt idx="147">
                  <c:v>35217</c:v>
                </c:pt>
                <c:pt idx="148">
                  <c:v>35309</c:v>
                </c:pt>
                <c:pt idx="149">
                  <c:v>35400</c:v>
                </c:pt>
                <c:pt idx="150">
                  <c:v>35490</c:v>
                </c:pt>
                <c:pt idx="151">
                  <c:v>35582</c:v>
                </c:pt>
                <c:pt idx="152">
                  <c:v>35674</c:v>
                </c:pt>
                <c:pt idx="153">
                  <c:v>35765</c:v>
                </c:pt>
                <c:pt idx="154">
                  <c:v>35855</c:v>
                </c:pt>
                <c:pt idx="155">
                  <c:v>35947</c:v>
                </c:pt>
                <c:pt idx="156">
                  <c:v>36039</c:v>
                </c:pt>
                <c:pt idx="157">
                  <c:v>36130</c:v>
                </c:pt>
                <c:pt idx="158">
                  <c:v>36220</c:v>
                </c:pt>
                <c:pt idx="159">
                  <c:v>36312</c:v>
                </c:pt>
                <c:pt idx="160">
                  <c:v>36404</c:v>
                </c:pt>
                <c:pt idx="161">
                  <c:v>36495</c:v>
                </c:pt>
                <c:pt idx="162">
                  <c:v>36586</c:v>
                </c:pt>
                <c:pt idx="163">
                  <c:v>36678</c:v>
                </c:pt>
                <c:pt idx="164">
                  <c:v>36770</c:v>
                </c:pt>
                <c:pt idx="165">
                  <c:v>36861</c:v>
                </c:pt>
                <c:pt idx="166">
                  <c:v>36951</c:v>
                </c:pt>
                <c:pt idx="167">
                  <c:v>37043</c:v>
                </c:pt>
                <c:pt idx="168">
                  <c:v>37135</c:v>
                </c:pt>
                <c:pt idx="169">
                  <c:v>37226</c:v>
                </c:pt>
                <c:pt idx="170">
                  <c:v>37316</c:v>
                </c:pt>
                <c:pt idx="171">
                  <c:v>37408</c:v>
                </c:pt>
                <c:pt idx="172">
                  <c:v>37500</c:v>
                </c:pt>
                <c:pt idx="173">
                  <c:v>37591</c:v>
                </c:pt>
                <c:pt idx="174">
                  <c:v>37681</c:v>
                </c:pt>
                <c:pt idx="175">
                  <c:v>37773</c:v>
                </c:pt>
                <c:pt idx="176">
                  <c:v>37865</c:v>
                </c:pt>
                <c:pt idx="177">
                  <c:v>37956</c:v>
                </c:pt>
                <c:pt idx="178">
                  <c:v>38047</c:v>
                </c:pt>
                <c:pt idx="179">
                  <c:v>38139</c:v>
                </c:pt>
                <c:pt idx="180">
                  <c:v>38231</c:v>
                </c:pt>
                <c:pt idx="181">
                  <c:v>38322</c:v>
                </c:pt>
                <c:pt idx="182">
                  <c:v>38412</c:v>
                </c:pt>
                <c:pt idx="183">
                  <c:v>38504</c:v>
                </c:pt>
                <c:pt idx="184">
                  <c:v>38596</c:v>
                </c:pt>
                <c:pt idx="185">
                  <c:v>38687</c:v>
                </c:pt>
                <c:pt idx="186">
                  <c:v>38777</c:v>
                </c:pt>
                <c:pt idx="187">
                  <c:v>38869</c:v>
                </c:pt>
                <c:pt idx="188">
                  <c:v>38961</c:v>
                </c:pt>
                <c:pt idx="189">
                  <c:v>39052</c:v>
                </c:pt>
                <c:pt idx="190">
                  <c:v>39142</c:v>
                </c:pt>
                <c:pt idx="191">
                  <c:v>39234</c:v>
                </c:pt>
                <c:pt idx="192">
                  <c:v>39326</c:v>
                </c:pt>
                <c:pt idx="193">
                  <c:v>39417</c:v>
                </c:pt>
                <c:pt idx="194">
                  <c:v>39508</c:v>
                </c:pt>
                <c:pt idx="195">
                  <c:v>39600</c:v>
                </c:pt>
                <c:pt idx="196">
                  <c:v>39692</c:v>
                </c:pt>
                <c:pt idx="197">
                  <c:v>39783</c:v>
                </c:pt>
                <c:pt idx="198">
                  <c:v>39873</c:v>
                </c:pt>
                <c:pt idx="199">
                  <c:v>39965</c:v>
                </c:pt>
                <c:pt idx="200">
                  <c:v>40057</c:v>
                </c:pt>
                <c:pt idx="201">
                  <c:v>40148</c:v>
                </c:pt>
                <c:pt idx="202">
                  <c:v>40238</c:v>
                </c:pt>
                <c:pt idx="203">
                  <c:v>40330</c:v>
                </c:pt>
                <c:pt idx="204">
                  <c:v>40422</c:v>
                </c:pt>
                <c:pt idx="205">
                  <c:v>40513</c:v>
                </c:pt>
                <c:pt idx="206">
                  <c:v>40603</c:v>
                </c:pt>
                <c:pt idx="207">
                  <c:v>40695</c:v>
                </c:pt>
                <c:pt idx="208">
                  <c:v>40787</c:v>
                </c:pt>
                <c:pt idx="209">
                  <c:v>40878</c:v>
                </c:pt>
                <c:pt idx="210">
                  <c:v>40969</c:v>
                </c:pt>
                <c:pt idx="211">
                  <c:v>41061</c:v>
                </c:pt>
                <c:pt idx="212">
                  <c:v>41153</c:v>
                </c:pt>
                <c:pt idx="213">
                  <c:v>41244</c:v>
                </c:pt>
                <c:pt idx="214">
                  <c:v>41334</c:v>
                </c:pt>
                <c:pt idx="215">
                  <c:v>41426</c:v>
                </c:pt>
                <c:pt idx="216">
                  <c:v>41518</c:v>
                </c:pt>
                <c:pt idx="217">
                  <c:v>41609</c:v>
                </c:pt>
                <c:pt idx="218">
                  <c:v>41699</c:v>
                </c:pt>
                <c:pt idx="219">
                  <c:v>41791</c:v>
                </c:pt>
                <c:pt idx="220">
                  <c:v>41883</c:v>
                </c:pt>
                <c:pt idx="221">
                  <c:v>41974</c:v>
                </c:pt>
                <c:pt idx="222">
                  <c:v>42064</c:v>
                </c:pt>
                <c:pt idx="223">
                  <c:v>42156</c:v>
                </c:pt>
                <c:pt idx="224">
                  <c:v>42248</c:v>
                </c:pt>
                <c:pt idx="225">
                  <c:v>42339</c:v>
                </c:pt>
                <c:pt idx="226">
                  <c:v>42430</c:v>
                </c:pt>
                <c:pt idx="227">
                  <c:v>42522</c:v>
                </c:pt>
                <c:pt idx="228">
                  <c:v>42614</c:v>
                </c:pt>
                <c:pt idx="229">
                  <c:v>42705</c:v>
                </c:pt>
                <c:pt idx="230">
                  <c:v>42795</c:v>
                </c:pt>
                <c:pt idx="231">
                  <c:v>42887</c:v>
                </c:pt>
                <c:pt idx="232">
                  <c:v>42979</c:v>
                </c:pt>
                <c:pt idx="233">
                  <c:v>43070</c:v>
                </c:pt>
                <c:pt idx="234">
                  <c:v>43160</c:v>
                </c:pt>
                <c:pt idx="235">
                  <c:v>43252</c:v>
                </c:pt>
                <c:pt idx="236">
                  <c:v>43344</c:v>
                </c:pt>
                <c:pt idx="237">
                  <c:v>43435</c:v>
                </c:pt>
                <c:pt idx="238">
                  <c:v>43525</c:v>
                </c:pt>
                <c:pt idx="239">
                  <c:v>43617</c:v>
                </c:pt>
                <c:pt idx="240">
                  <c:v>43709</c:v>
                </c:pt>
                <c:pt idx="241">
                  <c:v>43800</c:v>
                </c:pt>
                <c:pt idx="242">
                  <c:v>43891</c:v>
                </c:pt>
                <c:pt idx="243">
                  <c:v>43983</c:v>
                </c:pt>
                <c:pt idx="244">
                  <c:v>44075</c:v>
                </c:pt>
                <c:pt idx="245">
                  <c:v>44166</c:v>
                </c:pt>
                <c:pt idx="246">
                  <c:v>44256</c:v>
                </c:pt>
                <c:pt idx="247">
                  <c:v>44348</c:v>
                </c:pt>
                <c:pt idx="248">
                  <c:v>44440</c:v>
                </c:pt>
                <c:pt idx="249">
                  <c:v>44531</c:v>
                </c:pt>
                <c:pt idx="250">
                  <c:v>44621</c:v>
                </c:pt>
                <c:pt idx="251">
                  <c:v>44713</c:v>
                </c:pt>
                <c:pt idx="252">
                  <c:v>44805</c:v>
                </c:pt>
                <c:pt idx="253">
                  <c:v>44896</c:v>
                </c:pt>
                <c:pt idx="254">
                  <c:v>44986</c:v>
                </c:pt>
                <c:pt idx="255">
                  <c:v>45078</c:v>
                </c:pt>
                <c:pt idx="256">
                  <c:v>45170</c:v>
                </c:pt>
                <c:pt idx="257">
                  <c:v>45261</c:v>
                </c:pt>
                <c:pt idx="258">
                  <c:v>45352</c:v>
                </c:pt>
                <c:pt idx="259">
                  <c:v>45444</c:v>
                </c:pt>
                <c:pt idx="260">
                  <c:v>45536</c:v>
                </c:pt>
              </c:numCache>
            </c:numRef>
          </c:cat>
          <c:val>
            <c:numRef>
              <c:f>'[20]HOUSEHOLD SPEND'!$BA$27:$BA$288</c:f>
              <c:numCache>
                <c:formatCode>General</c:formatCode>
                <c:ptCount val="262"/>
                <c:pt idx="11">
                  <c:v>1.3384783275923474E-2</c:v>
                </c:pt>
                <c:pt idx="12">
                  <c:v>1.3441664889193851E-2</c:v>
                </c:pt>
                <c:pt idx="13">
                  <c:v>1.3537893379877855E-2</c:v>
                </c:pt>
                <c:pt idx="14">
                  <c:v>1.3603294592441138E-2</c:v>
                </c:pt>
                <c:pt idx="15">
                  <c:v>1.3656332585975118E-2</c:v>
                </c:pt>
                <c:pt idx="16">
                  <c:v>1.4018011634960872E-2</c:v>
                </c:pt>
                <c:pt idx="17">
                  <c:v>1.4403038911592036E-2</c:v>
                </c:pt>
                <c:pt idx="18">
                  <c:v>1.4879120516021893E-2</c:v>
                </c:pt>
                <c:pt idx="19">
                  <c:v>1.5305486433671488E-2</c:v>
                </c:pt>
                <c:pt idx="20">
                  <c:v>1.587986160582619E-2</c:v>
                </c:pt>
                <c:pt idx="21">
                  <c:v>1.6288407520994124E-2</c:v>
                </c:pt>
                <c:pt idx="22">
                  <c:v>1.6869725183418519E-2</c:v>
                </c:pt>
                <c:pt idx="23">
                  <c:v>1.7403101356846102E-2</c:v>
                </c:pt>
                <c:pt idx="24">
                  <c:v>1.7847059808050927E-2</c:v>
                </c:pt>
                <c:pt idx="25">
                  <c:v>1.8238290364515328E-2</c:v>
                </c:pt>
                <c:pt idx="26">
                  <c:v>1.879216124799497E-2</c:v>
                </c:pt>
                <c:pt idx="27">
                  <c:v>1.9295549806949131E-2</c:v>
                </c:pt>
                <c:pt idx="28">
                  <c:v>1.9536273178269451E-2</c:v>
                </c:pt>
                <c:pt idx="29">
                  <c:v>1.9637900377742643E-2</c:v>
                </c:pt>
                <c:pt idx="30">
                  <c:v>1.983082787715763E-2</c:v>
                </c:pt>
                <c:pt idx="31">
                  <c:v>1.9990374863330003E-2</c:v>
                </c:pt>
                <c:pt idx="32">
                  <c:v>2.0046294250946107E-2</c:v>
                </c:pt>
                <c:pt idx="33">
                  <c:v>2.0172334091986693E-2</c:v>
                </c:pt>
                <c:pt idx="34">
                  <c:v>2.0207440100231251E-2</c:v>
                </c:pt>
                <c:pt idx="35">
                  <c:v>2.0318337650983512E-2</c:v>
                </c:pt>
                <c:pt idx="36">
                  <c:v>2.0478435637168457E-2</c:v>
                </c:pt>
                <c:pt idx="37">
                  <c:v>2.0603827348567409E-2</c:v>
                </c:pt>
                <c:pt idx="38">
                  <c:v>2.0587941260585298E-2</c:v>
                </c:pt>
                <c:pt idx="39">
                  <c:v>2.0668664200770723E-2</c:v>
                </c:pt>
                <c:pt idx="40">
                  <c:v>2.0769613610519027E-2</c:v>
                </c:pt>
                <c:pt idx="41">
                  <c:v>2.0927810782281012E-2</c:v>
                </c:pt>
                <c:pt idx="42">
                  <c:v>2.0919393651997877E-2</c:v>
                </c:pt>
                <c:pt idx="43">
                  <c:v>2.0985254203659775E-2</c:v>
                </c:pt>
                <c:pt idx="44">
                  <c:v>2.1110502974548292E-2</c:v>
                </c:pt>
                <c:pt idx="45">
                  <c:v>2.1154328882683694E-2</c:v>
                </c:pt>
                <c:pt idx="46">
                  <c:v>2.1129897808056321E-2</c:v>
                </c:pt>
                <c:pt idx="47">
                  <c:v>2.1140123110715434E-2</c:v>
                </c:pt>
                <c:pt idx="48">
                  <c:v>2.1252763829662766E-2</c:v>
                </c:pt>
                <c:pt idx="49">
                  <c:v>2.1306543045614357E-2</c:v>
                </c:pt>
                <c:pt idx="50">
                  <c:v>2.134219229091636E-2</c:v>
                </c:pt>
                <c:pt idx="51">
                  <c:v>2.1480141560941107E-2</c:v>
                </c:pt>
                <c:pt idx="52">
                  <c:v>2.1578074185930812E-2</c:v>
                </c:pt>
                <c:pt idx="53">
                  <c:v>2.1604308307344233E-2</c:v>
                </c:pt>
                <c:pt idx="54">
                  <c:v>2.1672994651562898E-2</c:v>
                </c:pt>
                <c:pt idx="55">
                  <c:v>2.1765451015183863E-2</c:v>
                </c:pt>
                <c:pt idx="56">
                  <c:v>2.199037556111454E-2</c:v>
                </c:pt>
                <c:pt idx="57">
                  <c:v>2.2150107854839441E-2</c:v>
                </c:pt>
                <c:pt idx="58">
                  <c:v>2.232365105412551E-2</c:v>
                </c:pt>
                <c:pt idx="59">
                  <c:v>2.2248778579368314E-2</c:v>
                </c:pt>
                <c:pt idx="60">
                  <c:v>2.237027502286637E-2</c:v>
                </c:pt>
                <c:pt idx="61">
                  <c:v>2.2532141738410779E-2</c:v>
                </c:pt>
                <c:pt idx="62">
                  <c:v>2.2672102523790229E-2</c:v>
                </c:pt>
                <c:pt idx="63">
                  <c:v>2.2763251917646759E-2</c:v>
                </c:pt>
                <c:pt idx="64">
                  <c:v>2.2882449804300448E-2</c:v>
                </c:pt>
                <c:pt idx="65">
                  <c:v>2.2990856174544144E-2</c:v>
                </c:pt>
                <c:pt idx="66">
                  <c:v>2.3127515178914801E-2</c:v>
                </c:pt>
                <c:pt idx="67">
                  <c:v>2.3214260618485794E-2</c:v>
                </c:pt>
                <c:pt idx="68">
                  <c:v>2.317770415654451E-2</c:v>
                </c:pt>
                <c:pt idx="69">
                  <c:v>2.3148396221569931E-2</c:v>
                </c:pt>
                <c:pt idx="70">
                  <c:v>2.3065017040716018E-2</c:v>
                </c:pt>
                <c:pt idx="71">
                  <c:v>2.316312077820255E-2</c:v>
                </c:pt>
                <c:pt idx="72">
                  <c:v>2.3050543317157456E-2</c:v>
                </c:pt>
                <c:pt idx="73">
                  <c:v>2.2952363519388137E-2</c:v>
                </c:pt>
                <c:pt idx="74">
                  <c:v>2.2852224620288769E-2</c:v>
                </c:pt>
                <c:pt idx="75">
                  <c:v>2.2709692639421044E-2</c:v>
                </c:pt>
                <c:pt idx="76">
                  <c:v>2.2567153426945142E-2</c:v>
                </c:pt>
                <c:pt idx="77">
                  <c:v>2.2511925529556231E-2</c:v>
                </c:pt>
                <c:pt idx="78">
                  <c:v>2.2345687159871914E-2</c:v>
                </c:pt>
                <c:pt idx="79">
                  <c:v>2.2278663041259448E-2</c:v>
                </c:pt>
                <c:pt idx="80">
                  <c:v>2.2183979957264909E-2</c:v>
                </c:pt>
                <c:pt idx="81">
                  <c:v>2.2170291026889402E-2</c:v>
                </c:pt>
                <c:pt idx="82">
                  <c:v>2.2248527398048907E-2</c:v>
                </c:pt>
                <c:pt idx="83">
                  <c:v>2.2306963696755427E-2</c:v>
                </c:pt>
                <c:pt idx="84">
                  <c:v>2.234382760154768E-2</c:v>
                </c:pt>
                <c:pt idx="85">
                  <c:v>2.2305691710338624E-2</c:v>
                </c:pt>
                <c:pt idx="86">
                  <c:v>2.2256700107512961E-2</c:v>
                </c:pt>
                <c:pt idx="87">
                  <c:v>2.2195333007076049E-2</c:v>
                </c:pt>
                <c:pt idx="88">
                  <c:v>2.2175285771556055E-2</c:v>
                </c:pt>
                <c:pt idx="89">
                  <c:v>2.2083890229567651E-2</c:v>
                </c:pt>
                <c:pt idx="90">
                  <c:v>2.2050634762693339E-2</c:v>
                </c:pt>
                <c:pt idx="91">
                  <c:v>2.1865738290055708E-2</c:v>
                </c:pt>
                <c:pt idx="92">
                  <c:v>2.1726768331006618E-2</c:v>
                </c:pt>
                <c:pt idx="93">
                  <c:v>2.1555625788856989E-2</c:v>
                </c:pt>
                <c:pt idx="94">
                  <c:v>2.1312382967917487E-2</c:v>
                </c:pt>
                <c:pt idx="95">
                  <c:v>2.1102383849918371E-2</c:v>
                </c:pt>
                <c:pt idx="96">
                  <c:v>2.0825136781518577E-2</c:v>
                </c:pt>
                <c:pt idx="97">
                  <c:v>2.0597033317110734E-2</c:v>
                </c:pt>
                <c:pt idx="98">
                  <c:v>2.0473176442332718E-2</c:v>
                </c:pt>
                <c:pt idx="99">
                  <c:v>2.0387823973894142E-2</c:v>
                </c:pt>
                <c:pt idx="100">
                  <c:v>2.0281318091079529E-2</c:v>
                </c:pt>
                <c:pt idx="101">
                  <c:v>2.0169572266902483E-2</c:v>
                </c:pt>
                <c:pt idx="102">
                  <c:v>2.0078970774398325E-2</c:v>
                </c:pt>
                <c:pt idx="103">
                  <c:v>2.0023068412275916E-2</c:v>
                </c:pt>
                <c:pt idx="104">
                  <c:v>1.9928648057177218E-2</c:v>
                </c:pt>
                <c:pt idx="105">
                  <c:v>1.9862857040651636E-2</c:v>
                </c:pt>
                <c:pt idx="106">
                  <c:v>1.9864096298408244E-2</c:v>
                </c:pt>
                <c:pt idx="107">
                  <c:v>1.9917991186063931E-2</c:v>
                </c:pt>
                <c:pt idx="108">
                  <c:v>2.0015647104827929E-2</c:v>
                </c:pt>
                <c:pt idx="109">
                  <c:v>2.0135227868671075E-2</c:v>
                </c:pt>
                <c:pt idx="110">
                  <c:v>2.0094567524551608E-2</c:v>
                </c:pt>
                <c:pt idx="111">
                  <c:v>2.0034996198740371E-2</c:v>
                </c:pt>
                <c:pt idx="112">
                  <c:v>2.0012982316200138E-2</c:v>
                </c:pt>
                <c:pt idx="113">
                  <c:v>2.0001373744110075E-2</c:v>
                </c:pt>
                <c:pt idx="114">
                  <c:v>1.9914296117276485E-2</c:v>
                </c:pt>
                <c:pt idx="115">
                  <c:v>1.990688600607568E-2</c:v>
                </c:pt>
                <c:pt idx="116">
                  <c:v>2.0003750225382897E-2</c:v>
                </c:pt>
                <c:pt idx="117">
                  <c:v>2.000449352578024E-2</c:v>
                </c:pt>
                <c:pt idx="118">
                  <c:v>1.9980181273147667E-2</c:v>
                </c:pt>
                <c:pt idx="119">
                  <c:v>1.9859072141935902E-2</c:v>
                </c:pt>
                <c:pt idx="120">
                  <c:v>1.9894308744807552E-2</c:v>
                </c:pt>
                <c:pt idx="121">
                  <c:v>1.9839702889796407E-2</c:v>
                </c:pt>
                <c:pt idx="122">
                  <c:v>1.9914236570580418E-2</c:v>
                </c:pt>
                <c:pt idx="123">
                  <c:v>2.001234768448627E-2</c:v>
                </c:pt>
                <c:pt idx="124">
                  <c:v>2.0152663942614696E-2</c:v>
                </c:pt>
                <c:pt idx="125">
                  <c:v>2.0267563012149402E-2</c:v>
                </c:pt>
                <c:pt idx="126">
                  <c:v>2.0405952096105493E-2</c:v>
                </c:pt>
                <c:pt idx="127">
                  <c:v>2.0642121588784593E-2</c:v>
                </c:pt>
                <c:pt idx="128">
                  <c:v>2.0832776791555662E-2</c:v>
                </c:pt>
                <c:pt idx="129">
                  <c:v>2.0983111335653375E-2</c:v>
                </c:pt>
                <c:pt idx="130">
                  <c:v>2.1020336255880716E-2</c:v>
                </c:pt>
                <c:pt idx="131">
                  <c:v>2.1300975199712236E-2</c:v>
                </c:pt>
                <c:pt idx="132">
                  <c:v>2.1404835352444581E-2</c:v>
                </c:pt>
                <c:pt idx="133">
                  <c:v>2.1646312971192284E-2</c:v>
                </c:pt>
                <c:pt idx="134">
                  <c:v>2.189141544493069E-2</c:v>
                </c:pt>
                <c:pt idx="135">
                  <c:v>2.2285179890898579E-2</c:v>
                </c:pt>
                <c:pt idx="136">
                  <c:v>2.2614468966497474E-2</c:v>
                </c:pt>
                <c:pt idx="137">
                  <c:v>2.3050731634179061E-2</c:v>
                </c:pt>
                <c:pt idx="138">
                  <c:v>2.3459609360692867E-2</c:v>
                </c:pt>
                <c:pt idx="139">
                  <c:v>2.3796540961344318E-2</c:v>
                </c:pt>
                <c:pt idx="140">
                  <c:v>2.4272598382933271E-2</c:v>
                </c:pt>
                <c:pt idx="141">
                  <c:v>2.4859281921465221E-2</c:v>
                </c:pt>
                <c:pt idx="142">
                  <c:v>2.5593517125486895E-2</c:v>
                </c:pt>
                <c:pt idx="143">
                  <c:v>2.6247795757274386E-2</c:v>
                </c:pt>
                <c:pt idx="144">
                  <c:v>2.7036589508947745E-2</c:v>
                </c:pt>
                <c:pt idx="145">
                  <c:v>2.7771511458511932E-2</c:v>
                </c:pt>
                <c:pt idx="146">
                  <c:v>2.8491960403968522E-2</c:v>
                </c:pt>
                <c:pt idx="147">
                  <c:v>2.9167115307692018E-2</c:v>
                </c:pt>
                <c:pt idx="148">
                  <c:v>2.9835435690182863E-2</c:v>
                </c:pt>
                <c:pt idx="149">
                  <c:v>3.0400322304940136E-2</c:v>
                </c:pt>
                <c:pt idx="150">
                  <c:v>3.0880355761468175E-2</c:v>
                </c:pt>
                <c:pt idx="151">
                  <c:v>3.1351505054358582E-2</c:v>
                </c:pt>
                <c:pt idx="152">
                  <c:v>3.19254756384783E-2</c:v>
                </c:pt>
                <c:pt idx="153">
                  <c:v>3.2474171217364171E-2</c:v>
                </c:pt>
                <c:pt idx="154">
                  <c:v>3.2908223065396654E-2</c:v>
                </c:pt>
                <c:pt idx="155">
                  <c:v>3.3220352559639454E-2</c:v>
                </c:pt>
                <c:pt idx="156">
                  <c:v>3.3629515035226119E-2</c:v>
                </c:pt>
                <c:pt idx="157">
                  <c:v>3.4031970170103468E-2</c:v>
                </c:pt>
                <c:pt idx="158">
                  <c:v>3.4371915242376497E-2</c:v>
                </c:pt>
                <c:pt idx="159">
                  <c:v>3.445704707305066E-2</c:v>
                </c:pt>
                <c:pt idx="160">
                  <c:v>3.4702384956442428E-2</c:v>
                </c:pt>
                <c:pt idx="161">
                  <c:v>3.4953180257446141E-2</c:v>
                </c:pt>
                <c:pt idx="162">
                  <c:v>3.5355396262955689E-2</c:v>
                </c:pt>
                <c:pt idx="163">
                  <c:v>3.5699975855613159E-2</c:v>
                </c:pt>
                <c:pt idx="164">
                  <c:v>3.6059666277769319E-2</c:v>
                </c:pt>
                <c:pt idx="165">
                  <c:v>3.6118431758864374E-2</c:v>
                </c:pt>
                <c:pt idx="166">
                  <c:v>3.615730314591277E-2</c:v>
                </c:pt>
                <c:pt idx="167">
                  <c:v>3.6280919826380688E-2</c:v>
                </c:pt>
                <c:pt idx="168">
                  <c:v>3.6344215493418937E-2</c:v>
                </c:pt>
                <c:pt idx="169">
                  <c:v>3.6338552463392057E-2</c:v>
                </c:pt>
                <c:pt idx="170">
                  <c:v>3.6305229761118739E-2</c:v>
                </c:pt>
                <c:pt idx="171">
                  <c:v>3.6419062265521794E-2</c:v>
                </c:pt>
                <c:pt idx="172">
                  <c:v>3.6402193876141284E-2</c:v>
                </c:pt>
                <c:pt idx="173">
                  <c:v>3.6225108448358405E-2</c:v>
                </c:pt>
                <c:pt idx="174">
                  <c:v>3.6002374704531603E-2</c:v>
                </c:pt>
                <c:pt idx="175">
                  <c:v>3.5860981884667242E-2</c:v>
                </c:pt>
                <c:pt idx="176">
                  <c:v>3.5515569327366235E-2</c:v>
                </c:pt>
                <c:pt idx="177">
                  <c:v>3.5378236461386693E-2</c:v>
                </c:pt>
                <c:pt idx="178">
                  <c:v>3.5223278423934828E-2</c:v>
                </c:pt>
                <c:pt idx="179">
                  <c:v>3.5122824394319123E-2</c:v>
                </c:pt>
                <c:pt idx="180">
                  <c:v>3.48877087344747E-2</c:v>
                </c:pt>
                <c:pt idx="181">
                  <c:v>3.4625261602795304E-2</c:v>
                </c:pt>
                <c:pt idx="182">
                  <c:v>3.4450706348898498E-2</c:v>
                </c:pt>
                <c:pt idx="183">
                  <c:v>3.4244014978351285E-2</c:v>
                </c:pt>
                <c:pt idx="184">
                  <c:v>3.4070749972899612E-2</c:v>
                </c:pt>
                <c:pt idx="185">
                  <c:v>3.3974260145413819E-2</c:v>
                </c:pt>
                <c:pt idx="186">
                  <c:v>3.3863916035389616E-2</c:v>
                </c:pt>
                <c:pt idx="187">
                  <c:v>3.3611872060989388E-2</c:v>
                </c:pt>
                <c:pt idx="188">
                  <c:v>3.3363570959846586E-2</c:v>
                </c:pt>
                <c:pt idx="189">
                  <c:v>3.3253820134399092E-2</c:v>
                </c:pt>
                <c:pt idx="190">
                  <c:v>3.2961855754062477E-2</c:v>
                </c:pt>
                <c:pt idx="191">
                  <c:v>3.2618483962973198E-2</c:v>
                </c:pt>
                <c:pt idx="192">
                  <c:v>3.2348924705982246E-2</c:v>
                </c:pt>
                <c:pt idx="193">
                  <c:v>3.1993187352085971E-2</c:v>
                </c:pt>
                <c:pt idx="194">
                  <c:v>3.1533395935753696E-2</c:v>
                </c:pt>
                <c:pt idx="195">
                  <c:v>3.101868363284109E-2</c:v>
                </c:pt>
                <c:pt idx="196">
                  <c:v>3.0637772683649218E-2</c:v>
                </c:pt>
                <c:pt idx="197">
                  <c:v>3.035922987023042E-2</c:v>
                </c:pt>
                <c:pt idx="198">
                  <c:v>3.0000449840141923E-2</c:v>
                </c:pt>
                <c:pt idx="199">
                  <c:v>2.9821433664465619E-2</c:v>
                </c:pt>
                <c:pt idx="200">
                  <c:v>2.961869825043063E-2</c:v>
                </c:pt>
                <c:pt idx="201">
                  <c:v>2.9181747924281354E-2</c:v>
                </c:pt>
                <c:pt idx="202">
                  <c:v>2.8768816755831862E-2</c:v>
                </c:pt>
                <c:pt idx="203">
                  <c:v>2.8529059859221634E-2</c:v>
                </c:pt>
                <c:pt idx="204">
                  <c:v>2.8278253268451955E-2</c:v>
                </c:pt>
                <c:pt idx="205">
                  <c:v>2.8105818072323555E-2</c:v>
                </c:pt>
                <c:pt idx="206">
                  <c:v>2.7805061108607101E-2</c:v>
                </c:pt>
                <c:pt idx="207">
                  <c:v>2.7834971217313306E-2</c:v>
                </c:pt>
                <c:pt idx="208">
                  <c:v>2.7766515111551853E-2</c:v>
                </c:pt>
                <c:pt idx="209">
                  <c:v>2.7540717758253272E-2</c:v>
                </c:pt>
                <c:pt idx="210">
                  <c:v>2.7258530722038172E-2</c:v>
                </c:pt>
                <c:pt idx="211">
                  <c:v>2.7002062033241805E-2</c:v>
                </c:pt>
                <c:pt idx="212">
                  <c:v>2.6947639319447495E-2</c:v>
                </c:pt>
                <c:pt idx="213">
                  <c:v>2.6846485793585399E-2</c:v>
                </c:pt>
                <c:pt idx="214">
                  <c:v>2.6817525238086361E-2</c:v>
                </c:pt>
                <c:pt idx="215">
                  <c:v>2.6567620127899521E-2</c:v>
                </c:pt>
                <c:pt idx="216">
                  <c:v>2.6499950595334942E-2</c:v>
                </c:pt>
                <c:pt idx="217">
                  <c:v>2.6352083619188466E-2</c:v>
                </c:pt>
                <c:pt idx="218">
                  <c:v>2.6259134338089615E-2</c:v>
                </c:pt>
                <c:pt idx="219">
                  <c:v>2.6107020062366305E-2</c:v>
                </c:pt>
                <c:pt idx="220">
                  <c:v>2.6056119617606056E-2</c:v>
                </c:pt>
                <c:pt idx="221">
                  <c:v>2.6042449125745926E-2</c:v>
                </c:pt>
                <c:pt idx="222">
                  <c:v>2.6005420901653361E-2</c:v>
                </c:pt>
                <c:pt idx="223">
                  <c:v>2.596304886632499E-2</c:v>
                </c:pt>
                <c:pt idx="224">
                  <c:v>2.5883494096850989E-2</c:v>
                </c:pt>
                <c:pt idx="225">
                  <c:v>2.5958170358982954E-2</c:v>
                </c:pt>
                <c:pt idx="226">
                  <c:v>2.6012646370170658E-2</c:v>
                </c:pt>
                <c:pt idx="227">
                  <c:v>2.6125686852198706E-2</c:v>
                </c:pt>
                <c:pt idx="228">
                  <c:v>2.620199788786368E-2</c:v>
                </c:pt>
                <c:pt idx="229">
                  <c:v>2.62668661402016E-2</c:v>
                </c:pt>
                <c:pt idx="230">
                  <c:v>2.6322121926235394E-2</c:v>
                </c:pt>
                <c:pt idx="231">
                  <c:v>2.6222755030423889E-2</c:v>
                </c:pt>
                <c:pt idx="232">
                  <c:v>2.6127828749568285E-2</c:v>
                </c:pt>
                <c:pt idx="233">
                  <c:v>2.6129210784651746E-2</c:v>
                </c:pt>
                <c:pt idx="234">
                  <c:v>2.6062773983812609E-2</c:v>
                </c:pt>
                <c:pt idx="235">
                  <c:v>2.6048979439097203E-2</c:v>
                </c:pt>
                <c:pt idx="236">
                  <c:v>2.6003822287738912E-2</c:v>
                </c:pt>
                <c:pt idx="237">
                  <c:v>2.587665618856487E-2</c:v>
                </c:pt>
                <c:pt idx="238">
                  <c:v>2.5712032767271843E-2</c:v>
                </c:pt>
                <c:pt idx="239">
                  <c:v>2.5574301845745984E-2</c:v>
                </c:pt>
                <c:pt idx="240">
                  <c:v>2.5419631113859201E-2</c:v>
                </c:pt>
                <c:pt idx="241">
                  <c:v>2.5322265560584031E-2</c:v>
                </c:pt>
                <c:pt idx="242">
                  <c:v>2.510099584374317E-2</c:v>
                </c:pt>
                <c:pt idx="243">
                  <c:v>2.4123949174518225E-2</c:v>
                </c:pt>
                <c:pt idx="244">
                  <c:v>2.35592732408282E-2</c:v>
                </c:pt>
                <c:pt idx="245">
                  <c:v>2.3332335452120382E-2</c:v>
                </c:pt>
                <c:pt idx="246">
                  <c:v>2.3445942261873687E-2</c:v>
                </c:pt>
                <c:pt idx="247">
                  <c:v>2.3371612371136611E-2</c:v>
                </c:pt>
                <c:pt idx="248">
                  <c:v>2.2777927522503977E-2</c:v>
                </c:pt>
                <c:pt idx="249">
                  <c:v>2.261934779839023E-2</c:v>
                </c:pt>
                <c:pt idx="250">
                  <c:v>2.2833397690028043E-2</c:v>
                </c:pt>
                <c:pt idx="251">
                  <c:v>2.3016480338583029E-2</c:v>
                </c:pt>
                <c:pt idx="252">
                  <c:v>2.3037287861493037E-2</c:v>
                </c:pt>
                <c:pt idx="253">
                  <c:v>2.3166065331733193E-2</c:v>
                </c:pt>
                <c:pt idx="254">
                  <c:v>2.338780468509093E-2</c:v>
                </c:pt>
                <c:pt idx="255">
                  <c:v>2.4301749474297998E-2</c:v>
                </c:pt>
                <c:pt idx="256">
                  <c:v>2.4759774771799328E-2</c:v>
                </c:pt>
                <c:pt idx="257">
                  <c:v>2.4797740949003361E-2</c:v>
                </c:pt>
                <c:pt idx="258">
                  <c:v>2.4729459397007877E-2</c:v>
                </c:pt>
                <c:pt idx="259">
                  <c:v>2.4642589728428237E-2</c:v>
                </c:pt>
                <c:pt idx="260">
                  <c:v>2.5077093575153517E-2</c:v>
                </c:pt>
              </c:numCache>
            </c:numRef>
          </c:val>
          <c:smooth val="0"/>
          <c:extLst>
            <c:ext xmlns:c16="http://schemas.microsoft.com/office/drawing/2014/chart" uri="{C3380CC4-5D6E-409C-BE32-E72D297353CC}">
              <c16:uniqueId val="{00000001-CBE8-4381-A40D-B608AE6C3441}"/>
            </c:ext>
          </c:extLst>
        </c:ser>
        <c:dLbls>
          <c:showLegendKey val="0"/>
          <c:showVal val="0"/>
          <c:showCatName val="0"/>
          <c:showSerName val="0"/>
          <c:showPercent val="0"/>
          <c:showBubbleSize val="0"/>
        </c:dLbls>
        <c:smooth val="0"/>
        <c:axId val="501404847"/>
        <c:axId val="2053446336"/>
        <c:extLst/>
      </c:lineChart>
      <c:catAx>
        <c:axId val="501404847"/>
        <c:scaling>
          <c:orientation val="minMax"/>
          <c:min val="37"/>
        </c:scaling>
        <c:delete val="0"/>
        <c:axPos val="b"/>
        <c:numFmt formatCode="General" sourceLinked="1"/>
        <c:majorTickMark val="none"/>
        <c:minorTickMark val="none"/>
        <c:tickLblPos val="low"/>
        <c:spPr>
          <a:noFill/>
          <a:ln w="9525" cap="flat" cmpd="sng" algn="ctr">
            <a:no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53446336"/>
        <c:crosses val="autoZero"/>
        <c:auto val="1"/>
        <c:lblAlgn val="ctr"/>
        <c:lblOffset val="100"/>
        <c:tickLblSkip val="60"/>
        <c:noMultiLvlLbl val="0"/>
      </c:catAx>
      <c:valAx>
        <c:axId val="2053446336"/>
        <c:scaling>
          <c:orientation val="minMax"/>
          <c:max val="4.0000000000000008E-2"/>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01404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'AGS Stats'!$C$91</c:f>
              <c:strCache>
                <c:ptCount val="1"/>
                <c:pt idx="0">
                  <c:v>FY10</c:v>
                </c:pt>
              </c:strCache>
            </c:strRef>
          </c:tx>
          <c:spPr>
            <a:solidFill>
              <a:schemeClr val="accent1"/>
            </a:solidFill>
            <a:ln>
              <a:noFill/>
            </a:ln>
            <a:effectLst/>
          </c:spPr>
          <c:invertIfNegative val="0"/>
          <c:cat>
            <c:strRef>
              <c:extLst>
                <c:ext xmlns:c15="http://schemas.microsoft.com/office/drawing/2012/chart" uri="{02D57815-91ED-43cb-92C2-25804820EDAC}">
                  <c15:fullRef>
                    <c15:sqref>'AGS Stats'!$F$76:$L$76</c15:sqref>
                  </c15:fullRef>
                </c:ext>
              </c:extLst>
              <c:f>('AGS Stats'!$F$76:$G$76,'AGS Stats'!$J$76,'AGS Stats'!$L$76)</c:f>
              <c:strCache>
                <c:ptCount val="4"/>
                <c:pt idx="0">
                  <c:v>Casino</c:v>
                </c:pt>
                <c:pt idx="1">
                  <c:v>Gaming Machines</c:v>
                </c:pt>
                <c:pt idx="2">
                  <c:v>Lotteries</c:v>
                </c:pt>
                <c:pt idx="3">
                  <c:v>Wagering</c:v>
                </c:pt>
              </c:strCache>
            </c:strRef>
          </c:cat>
          <c:val>
            <c:numRef>
              <c:extLst>
                <c:ext xmlns:c15="http://schemas.microsoft.com/office/drawing/2012/chart" uri="{02D57815-91ED-43cb-92C2-25804820EDAC}">
                  <c15:fullRef>
                    <c15:sqref>'AGS Stats'!$F$91:$L$91</c15:sqref>
                  </c15:fullRef>
                </c:ext>
              </c:extLst>
              <c:f>('AGS Stats'!$F$91:$G$91,'AGS Stats'!$J$91,'AGS Stats'!$L$91)</c:f>
              <c:numCache>
                <c:formatCode>#,##0.00</c:formatCode>
                <c:ptCount val="4"/>
                <c:pt idx="0">
                  <c:v>209.214381529641</c:v>
                </c:pt>
                <c:pt idx="1">
                  <c:v>607.63279414170097</c:v>
                </c:pt>
                <c:pt idx="2">
                  <c:v>88.540446388477605</c:v>
                </c:pt>
                <c:pt idx="3">
                  <c:v>174.82103465500001</c:v>
                </c:pt>
              </c:numCache>
            </c:numRef>
          </c:val>
          <c:extLst>
            <c:ext xmlns:c16="http://schemas.microsoft.com/office/drawing/2014/chart" uri="{C3380CC4-5D6E-409C-BE32-E72D297353CC}">
              <c16:uniqueId val="{00000000-C06E-47E8-B4BC-ADD131D61E42}"/>
            </c:ext>
          </c:extLst>
        </c:ser>
        <c:ser>
          <c:idx val="1"/>
          <c:order val="1"/>
          <c:tx>
            <c:strRef>
              <c:f>'AGS Stats'!$C$100</c:f>
              <c:strCache>
                <c:ptCount val="1"/>
                <c:pt idx="0">
                  <c:v>FY19</c:v>
                </c:pt>
              </c:strCache>
            </c:strRef>
          </c:tx>
          <c:spPr>
            <a:solidFill>
              <a:schemeClr val="accent2"/>
            </a:solidFill>
            <a:ln>
              <a:noFill/>
            </a:ln>
            <a:effectLst/>
          </c:spPr>
          <c:invertIfNegative val="0"/>
          <c:cat>
            <c:strRef>
              <c:extLst>
                <c:ext xmlns:c15="http://schemas.microsoft.com/office/drawing/2012/chart" uri="{02D57815-91ED-43cb-92C2-25804820EDAC}">
                  <c15:fullRef>
                    <c15:sqref>'AGS Stats'!$F$76:$L$76</c15:sqref>
                  </c15:fullRef>
                </c:ext>
              </c:extLst>
              <c:f>('AGS Stats'!$F$76:$G$76,'AGS Stats'!$J$76,'AGS Stats'!$L$76)</c:f>
              <c:strCache>
                <c:ptCount val="4"/>
                <c:pt idx="0">
                  <c:v>Casino</c:v>
                </c:pt>
                <c:pt idx="1">
                  <c:v>Gaming Machines</c:v>
                </c:pt>
                <c:pt idx="2">
                  <c:v>Lotteries</c:v>
                </c:pt>
                <c:pt idx="3">
                  <c:v>Wagering</c:v>
                </c:pt>
              </c:strCache>
            </c:strRef>
          </c:cat>
          <c:val>
            <c:numRef>
              <c:extLst>
                <c:ext xmlns:c15="http://schemas.microsoft.com/office/drawing/2012/chart" uri="{02D57815-91ED-43cb-92C2-25804820EDAC}">
                  <c15:fullRef>
                    <c15:sqref>'AGS Stats'!$F$100:$L$100</c15:sqref>
                  </c15:fullRef>
                </c:ext>
              </c:extLst>
              <c:f>('AGS Stats'!$F$100:$G$100,'AGS Stats'!$J$100,'AGS Stats'!$L$100)</c:f>
              <c:numCache>
                <c:formatCode>#,##0.00</c:formatCode>
                <c:ptCount val="4"/>
                <c:pt idx="0">
                  <c:v>248.273966106698</c:v>
                </c:pt>
                <c:pt idx="1">
                  <c:v>649.681939336563</c:v>
                </c:pt>
                <c:pt idx="2">
                  <c:v>131.99550819577601</c:v>
                </c:pt>
                <c:pt idx="3">
                  <c:v>256.97231438183002</c:v>
                </c:pt>
              </c:numCache>
            </c:numRef>
          </c:val>
          <c:extLst>
            <c:ext xmlns:c16="http://schemas.microsoft.com/office/drawing/2014/chart" uri="{C3380CC4-5D6E-409C-BE32-E72D297353CC}">
              <c16:uniqueId val="{00000001-C06E-47E8-B4BC-ADD131D61E42}"/>
            </c:ext>
          </c:extLst>
        </c:ser>
        <c:dLbls>
          <c:showLegendKey val="0"/>
          <c:showVal val="0"/>
          <c:showCatName val="0"/>
          <c:showSerName val="0"/>
          <c:showPercent val="0"/>
          <c:showBubbleSize val="0"/>
        </c:dLbls>
        <c:gapWidth val="219"/>
        <c:overlap val="-27"/>
        <c:axId val="310605568"/>
        <c:axId val="310622848"/>
      </c:barChart>
      <c:catAx>
        <c:axId val="31060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10622848"/>
        <c:crosses val="autoZero"/>
        <c:auto val="1"/>
        <c:lblAlgn val="ctr"/>
        <c:lblOffset val="100"/>
        <c:noMultiLvlLbl val="0"/>
      </c:catAx>
      <c:valAx>
        <c:axId val="310622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10605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'AGS Stats'!$S$3:$S$31</c:f>
              <c:numCache>
                <c:formatCode>0.0000</c:formatCode>
                <c:ptCount val="29"/>
                <c:pt idx="0">
                  <c:v>1</c:v>
                </c:pt>
                <c:pt idx="1">
                  <c:v>1.0268199233716475</c:v>
                </c:pt>
                <c:pt idx="2">
                  <c:v>1.1187739463601531</c:v>
                </c:pt>
                <c:pt idx="3">
                  <c:v>1.0652932798305976</c:v>
                </c:pt>
                <c:pt idx="4">
                  <c:v>1.0829847657259597</c:v>
                </c:pt>
                <c:pt idx="5">
                  <c:v>1.0641678413090976</c:v>
                </c:pt>
                <c:pt idx="6">
                  <c:v>0.99591859852222797</c:v>
                </c:pt>
                <c:pt idx="7">
                  <c:v>0.96869940687943479</c:v>
                </c:pt>
                <c:pt idx="8">
                  <c:v>0.94837000968570495</c:v>
                </c:pt>
                <c:pt idx="9">
                  <c:v>0.86270374356355739</c:v>
                </c:pt>
                <c:pt idx="10">
                  <c:v>0.90741726743057272</c:v>
                </c:pt>
                <c:pt idx="11">
                  <c:v>0.87273200168259579</c:v>
                </c:pt>
                <c:pt idx="12">
                  <c:v>0.83038379853663213</c:v>
                </c:pt>
                <c:pt idx="13">
                  <c:v>0.81416848663941188</c:v>
                </c:pt>
                <c:pt idx="14">
                  <c:v>0.79625006102860918</c:v>
                </c:pt>
                <c:pt idx="15">
                  <c:v>0.77598218852810141</c:v>
                </c:pt>
                <c:pt idx="16">
                  <c:v>0.81246111084275285</c:v>
                </c:pt>
                <c:pt idx="17">
                  <c:v>0.79721424676274133</c:v>
                </c:pt>
                <c:pt idx="18">
                  <c:v>0.80574374502036006</c:v>
                </c:pt>
                <c:pt idx="19">
                  <c:v>0.90890440826171071</c:v>
                </c:pt>
                <c:pt idx="20">
                  <c:v>0.89135935528835053</c:v>
                </c:pt>
                <c:pt idx="21">
                  <c:v>0.79986636053451721</c:v>
                </c:pt>
                <c:pt idx="22">
                  <c:v>0.82157652388083713</c:v>
                </c:pt>
                <c:pt idx="23">
                  <c:v>0.75198995750166664</c:v>
                </c:pt>
                <c:pt idx="24">
                  <c:v>0.51616663345502678</c:v>
                </c:pt>
                <c:pt idx="25">
                  <c:v>0.37812409870572034</c:v>
                </c:pt>
                <c:pt idx="26">
                  <c:v>0.36832176243305742</c:v>
                </c:pt>
                <c:pt idx="27">
                  <c:v>0.45855034772712072</c:v>
                </c:pt>
                <c:pt idx="28">
                  <c:v>0.42044717149913602</c:v>
                </c:pt>
              </c:numCache>
            </c:numRef>
          </c:val>
          <c:smooth val="0"/>
          <c:extLst>
            <c:ext xmlns:c16="http://schemas.microsoft.com/office/drawing/2014/chart" uri="{C3380CC4-5D6E-409C-BE32-E72D297353CC}">
              <c16:uniqueId val="{00000000-13FE-4ABE-9901-4B0B3BBF7FAB}"/>
            </c:ext>
          </c:extLst>
        </c:ser>
        <c:ser>
          <c:idx val="1"/>
          <c:order val="1"/>
          <c:spPr>
            <a:ln w="28575" cap="rnd">
              <a:solidFill>
                <a:schemeClr val="accent2"/>
              </a:solidFill>
              <a:round/>
            </a:ln>
            <a:effectLst/>
          </c:spPr>
          <c:marker>
            <c:symbol val="none"/>
          </c:marker>
          <c:val>
            <c:numRef>
              <c:f>'AGS Stats'!$T$3:$T$31</c:f>
              <c:numCache>
                <c:formatCode>0.0000</c:formatCode>
                <c:ptCount val="29"/>
                <c:pt idx="0">
                  <c:v>1</c:v>
                </c:pt>
                <c:pt idx="1">
                  <c:v>1.0337423312883436</c:v>
                </c:pt>
                <c:pt idx="2">
                  <c:v>1.1771472392638036</c:v>
                </c:pt>
                <c:pt idx="3">
                  <c:v>1.3321856699581442</c:v>
                </c:pt>
                <c:pt idx="4">
                  <c:v>1.4045479666537883</c:v>
                </c:pt>
                <c:pt idx="5">
                  <c:v>1.3934901646424309</c:v>
                </c:pt>
                <c:pt idx="6">
                  <c:v>1.3976258226621932</c:v>
                </c:pt>
                <c:pt idx="7">
                  <c:v>1.3772254459661963</c:v>
                </c:pt>
                <c:pt idx="8">
                  <c:v>1.3441130732622237</c:v>
                </c:pt>
                <c:pt idx="9">
                  <c:v>1.3213163130895857</c:v>
                </c:pt>
                <c:pt idx="10">
                  <c:v>1.2863087413300767</c:v>
                </c:pt>
                <c:pt idx="11">
                  <c:v>1.1979212630411886</c:v>
                </c:pt>
                <c:pt idx="12">
                  <c:v>1.0543071878572008</c:v>
                </c:pt>
                <c:pt idx="13">
                  <c:v>0.98523323531370388</c:v>
                </c:pt>
                <c:pt idx="14">
                  <c:v>0.92574646035639574</c:v>
                </c:pt>
                <c:pt idx="15">
                  <c:v>0.89335402934089714</c:v>
                </c:pt>
                <c:pt idx="16">
                  <c:v>0.86954304690683271</c:v>
                </c:pt>
                <c:pt idx="17">
                  <c:v>0.83884339266611196</c:v>
                </c:pt>
                <c:pt idx="18">
                  <c:v>0.81227947393223165</c:v>
                </c:pt>
                <c:pt idx="19">
                  <c:v>0.81490123832677153</c:v>
                </c:pt>
                <c:pt idx="20">
                  <c:v>0.82933866318684046</c:v>
                </c:pt>
                <c:pt idx="21">
                  <c:v>0.8112506243542178</c:v>
                </c:pt>
                <c:pt idx="22">
                  <c:v>0.80730956926296782</c:v>
                </c:pt>
                <c:pt idx="23">
                  <c:v>0.78772488282893405</c:v>
                </c:pt>
                <c:pt idx="24">
                  <c:v>0.59960872977456359</c:v>
                </c:pt>
                <c:pt idx="25">
                  <c:v>0.67577743437750681</c:v>
                </c:pt>
                <c:pt idx="26">
                  <c:v>0.66844958490312267</c:v>
                </c:pt>
                <c:pt idx="27">
                  <c:v>0.80122304847582815</c:v>
                </c:pt>
                <c:pt idx="28">
                  <c:v>0.79137829570792173</c:v>
                </c:pt>
              </c:numCache>
            </c:numRef>
          </c:val>
          <c:smooth val="0"/>
          <c:extLst>
            <c:ext xmlns:c16="http://schemas.microsoft.com/office/drawing/2014/chart" uri="{C3380CC4-5D6E-409C-BE32-E72D297353CC}">
              <c16:uniqueId val="{00000001-13FE-4ABE-9901-4B0B3BBF7FAB}"/>
            </c:ext>
          </c:extLst>
        </c:ser>
        <c:ser>
          <c:idx val="2"/>
          <c:order val="2"/>
          <c:spPr>
            <a:ln w="28575" cap="rnd">
              <a:solidFill>
                <a:schemeClr val="accent3"/>
              </a:solidFill>
              <a:round/>
            </a:ln>
            <a:effectLst/>
          </c:spPr>
          <c:marker>
            <c:symbol val="none"/>
          </c:marker>
          <c:val>
            <c:numRef>
              <c:f>'AGS Stats'!$U$3:$U$31</c:f>
              <c:numCache>
                <c:formatCode>0.0000</c:formatCode>
                <c:ptCount val="29"/>
                <c:pt idx="0">
                  <c:v>1</c:v>
                </c:pt>
                <c:pt idx="1">
                  <c:v>0.9205882352941176</c:v>
                </c:pt>
                <c:pt idx="2">
                  <c:v>0.9323529411764705</c:v>
                </c:pt>
                <c:pt idx="3">
                  <c:v>0.96709867608509703</c:v>
                </c:pt>
                <c:pt idx="4">
                  <c:v>0.91955508105902051</c:v>
                </c:pt>
                <c:pt idx="5">
                  <c:v>0.9168179043628617</c:v>
                </c:pt>
                <c:pt idx="6">
                  <c:v>0.86560367962352058</c:v>
                </c:pt>
                <c:pt idx="7">
                  <c:v>0.9078625544180059</c:v>
                </c:pt>
                <c:pt idx="8">
                  <c:v>0.86442448265889704</c:v>
                </c:pt>
                <c:pt idx="9">
                  <c:v>0.81665034099192646</c:v>
                </c:pt>
                <c:pt idx="10">
                  <c:v>0.79972398431321756</c:v>
                </c:pt>
                <c:pt idx="11">
                  <c:v>0.75982941713249708</c:v>
                </c:pt>
                <c:pt idx="12">
                  <c:v>0.73690408479548819</c:v>
                </c:pt>
                <c:pt idx="13">
                  <c:v>0.72047355518432643</c:v>
                </c:pt>
                <c:pt idx="14">
                  <c:v>0.51735808081844992</c:v>
                </c:pt>
                <c:pt idx="15">
                  <c:v>0.57252510595209405</c:v>
                </c:pt>
                <c:pt idx="16">
                  <c:v>0.60159233534333811</c:v>
                </c:pt>
                <c:pt idx="17">
                  <c:v>0.63989905354902643</c:v>
                </c:pt>
                <c:pt idx="18">
                  <c:v>0.5505162891500941</c:v>
                </c:pt>
                <c:pt idx="19">
                  <c:v>0.53755187008473826</c:v>
                </c:pt>
                <c:pt idx="20">
                  <c:v>0.56329959145497055</c:v>
                </c:pt>
                <c:pt idx="21">
                  <c:v>0.51357086506529404</c:v>
                </c:pt>
                <c:pt idx="22">
                  <c:v>0.51817245074138818</c:v>
                </c:pt>
                <c:pt idx="23">
                  <c:v>0.61380666116257354</c:v>
                </c:pt>
                <c:pt idx="24">
                  <c:v>0.59173335504195002</c:v>
                </c:pt>
                <c:pt idx="25">
                  <c:v>0.60382127902497351</c:v>
                </c:pt>
                <c:pt idx="26">
                  <c:v>0.62781232443908819</c:v>
                </c:pt>
                <c:pt idx="27">
                  <c:v>0.60593292978099111</c:v>
                </c:pt>
                <c:pt idx="28">
                  <c:v>0.64769319011186466</c:v>
                </c:pt>
              </c:numCache>
            </c:numRef>
          </c:val>
          <c:smooth val="0"/>
          <c:extLst>
            <c:ext xmlns:c16="http://schemas.microsoft.com/office/drawing/2014/chart" uri="{C3380CC4-5D6E-409C-BE32-E72D297353CC}">
              <c16:uniqueId val="{00000002-13FE-4ABE-9901-4B0B3BBF7FAB}"/>
            </c:ext>
          </c:extLst>
        </c:ser>
        <c:ser>
          <c:idx val="3"/>
          <c:order val="3"/>
          <c:spPr>
            <a:ln w="28575" cap="rnd">
              <a:solidFill>
                <a:schemeClr val="accent4"/>
              </a:solidFill>
              <a:round/>
            </a:ln>
            <a:effectLst/>
          </c:spPr>
          <c:marker>
            <c:symbol val="none"/>
          </c:marker>
          <c:val>
            <c:numRef>
              <c:f>'AGS Stats'!$V$3:$V$31</c:f>
              <c:numCache>
                <c:formatCode>0.0000</c:formatCode>
                <c:ptCount val="29"/>
                <c:pt idx="0">
                  <c:v>1</c:v>
                </c:pt>
                <c:pt idx="1">
                  <c:v>0.95991561181434604</c:v>
                </c:pt>
                <c:pt idx="2">
                  <c:v>0.91983122362869207</c:v>
                </c:pt>
                <c:pt idx="3">
                  <c:v>0.93735186889428701</c:v>
                </c:pt>
                <c:pt idx="4">
                  <c:v>0.89274073586750635</c:v>
                </c:pt>
                <c:pt idx="5">
                  <c:v>0.84695577417249168</c:v>
                </c:pt>
                <c:pt idx="6">
                  <c:v>0.8439418280102764</c:v>
                </c:pt>
                <c:pt idx="7">
                  <c:v>0.86288073998261194</c:v>
                </c:pt>
                <c:pt idx="8">
                  <c:v>0.84322576184406961</c:v>
                </c:pt>
                <c:pt idx="9">
                  <c:v>0.83114756210327845</c:v>
                </c:pt>
                <c:pt idx="10">
                  <c:v>0.80970998155031226</c:v>
                </c:pt>
                <c:pt idx="11">
                  <c:v>0.80031412112507383</c:v>
                </c:pt>
                <c:pt idx="12">
                  <c:v>0.73891027067154647</c:v>
                </c:pt>
                <c:pt idx="13">
                  <c:v>0.73217093881727013</c:v>
                </c:pt>
                <c:pt idx="14">
                  <c:v>0.73272969319601267</c:v>
                </c:pt>
                <c:pt idx="15">
                  <c:v>0.69837494182957394</c:v>
                </c:pt>
                <c:pt idx="16">
                  <c:v>0.71400823019045356</c:v>
                </c:pt>
                <c:pt idx="17">
                  <c:v>0.71358166037542625</c:v>
                </c:pt>
                <c:pt idx="18">
                  <c:v>0.71440951810042197</c:v>
                </c:pt>
                <c:pt idx="19">
                  <c:v>0.73548043764123217</c:v>
                </c:pt>
                <c:pt idx="20">
                  <c:v>0.75954547436911402</c:v>
                </c:pt>
                <c:pt idx="21">
                  <c:v>0.80490295013292823</c:v>
                </c:pt>
                <c:pt idx="22">
                  <c:v>0.8774842634893566</c:v>
                </c:pt>
                <c:pt idx="23">
                  <c:v>0.85715498664443679</c:v>
                </c:pt>
                <c:pt idx="24">
                  <c:v>0.74134129834825113</c:v>
                </c:pt>
                <c:pt idx="25">
                  <c:v>0.88337468508063932</c:v>
                </c:pt>
                <c:pt idx="26">
                  <c:v>1.1844556929454431</c:v>
                </c:pt>
                <c:pt idx="27">
                  <c:v>1.174850186383249</c:v>
                </c:pt>
                <c:pt idx="28">
                  <c:v>1.1263031500071772</c:v>
                </c:pt>
              </c:numCache>
            </c:numRef>
          </c:val>
          <c:smooth val="0"/>
          <c:extLst>
            <c:ext xmlns:c16="http://schemas.microsoft.com/office/drawing/2014/chart" uri="{C3380CC4-5D6E-409C-BE32-E72D297353CC}">
              <c16:uniqueId val="{00000003-13FE-4ABE-9901-4B0B3BBF7FAB}"/>
            </c:ext>
          </c:extLst>
        </c:ser>
        <c:dLbls>
          <c:showLegendKey val="0"/>
          <c:showVal val="0"/>
          <c:showCatName val="0"/>
          <c:showSerName val="0"/>
          <c:showPercent val="0"/>
          <c:showBubbleSize val="0"/>
        </c:dLbls>
        <c:smooth val="0"/>
        <c:axId val="921230736"/>
        <c:axId val="921228816"/>
      </c:lineChart>
      <c:catAx>
        <c:axId val="9212307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28816"/>
        <c:crosses val="autoZero"/>
        <c:auto val="1"/>
        <c:lblAlgn val="ctr"/>
        <c:lblOffset val="100"/>
        <c:noMultiLvlLbl val="0"/>
      </c:catAx>
      <c:valAx>
        <c:axId val="92122881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30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Gaming Machine + Casino GGR</c:v>
          </c:tx>
          <c:spPr>
            <a:ln w="19050" cap="rnd">
              <a:solidFill>
                <a:schemeClr val="tx2"/>
              </a:solidFill>
              <a:round/>
            </a:ln>
            <a:effectLst/>
          </c:spPr>
          <c:marker>
            <c:symbol val="none"/>
          </c:marker>
          <c:trendline>
            <c:name>Pre-Covid Trendline</c:name>
            <c:spPr>
              <a:ln w="19050" cap="rnd">
                <a:solidFill>
                  <a:schemeClr val="tx2"/>
                </a:solidFill>
                <a:prstDash val="sysDot"/>
              </a:ln>
              <a:effectLst/>
            </c:spPr>
            <c:trendlineType val="linear"/>
            <c:dispRSqr val="0"/>
            <c:dispEq val="0"/>
          </c:trendline>
          <c:cat>
            <c:strRef>
              <c:f>'AGS Stats'!$B$157:$B$184</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Stats'!$AD$157:$AD$184</c:f>
              <c:numCache>
                <c:formatCode>#,##0.00</c:formatCode>
                <c:ptCount val="28"/>
                <c:pt idx="0">
                  <c:v>9045.8290000000015</c:v>
                </c:pt>
                <c:pt idx="1">
                  <c:v>10016.646000000001</c:v>
                </c:pt>
                <c:pt idx="2">
                  <c:v>10862.909</c:v>
                </c:pt>
                <c:pt idx="3">
                  <c:v>11459.524000000001</c:v>
                </c:pt>
                <c:pt idx="4">
                  <c:v>11632.445</c:v>
                </c:pt>
                <c:pt idx="5">
                  <c:v>12243.932000000001</c:v>
                </c:pt>
                <c:pt idx="6">
                  <c:v>12734.157999999999</c:v>
                </c:pt>
                <c:pt idx="7">
                  <c:v>13312.222749999999</c:v>
                </c:pt>
                <c:pt idx="8">
                  <c:v>13664.41</c:v>
                </c:pt>
                <c:pt idx="9">
                  <c:v>13395.082495339999</c:v>
                </c:pt>
                <c:pt idx="10">
                  <c:v>13931.304192169999</c:v>
                </c:pt>
                <c:pt idx="11">
                  <c:v>13743.30343079</c:v>
                </c:pt>
                <c:pt idx="12">
                  <c:v>14317.440475000001</c:v>
                </c:pt>
                <c:pt idx="13">
                  <c:v>14992.277262</c:v>
                </c:pt>
                <c:pt idx="14">
                  <c:v>14947.315449000002</c:v>
                </c:pt>
                <c:pt idx="15">
                  <c:v>15441.143617149999</c:v>
                </c:pt>
                <c:pt idx="16">
                  <c:v>16763.171827999999</c:v>
                </c:pt>
                <c:pt idx="17">
                  <c:v>17269.123141420001</c:v>
                </c:pt>
                <c:pt idx="18">
                  <c:v>16926.273023919999</c:v>
                </c:pt>
                <c:pt idx="19">
                  <c:v>17621.00489122</c:v>
                </c:pt>
                <c:pt idx="20">
                  <c:v>17577.10566677</c:v>
                </c:pt>
                <c:pt idx="21">
                  <c:v>13712.502125289999</c:v>
                </c:pt>
              </c:numCache>
            </c:numRef>
          </c:val>
          <c:smooth val="0"/>
          <c:extLst>
            <c:ext xmlns:c16="http://schemas.microsoft.com/office/drawing/2014/chart" uri="{C3380CC4-5D6E-409C-BE32-E72D297353CC}">
              <c16:uniqueId val="{00000000-AC8F-4354-8678-BEBD4EC97A5F}"/>
            </c:ext>
          </c:extLst>
        </c:ser>
        <c:ser>
          <c:idx val="1"/>
          <c:order val="1"/>
          <c:spPr>
            <a:ln w="19050" cap="rnd">
              <a:solidFill>
                <a:schemeClr val="tx2"/>
              </a:solidFill>
              <a:round/>
            </a:ln>
            <a:effectLst/>
          </c:spPr>
          <c:marker>
            <c:symbol val="none"/>
          </c:marker>
          <c:cat>
            <c:strRef>
              <c:f>'AGS Stats'!$B$157:$B$184</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Stats'!$AE$157:$AE$184</c:f>
              <c:numCache>
                <c:formatCode>#,##0.00</c:formatCode>
                <c:ptCount val="28"/>
                <c:pt idx="21">
                  <c:v>13712.502125289999</c:v>
                </c:pt>
                <c:pt idx="22">
                  <c:v>14910.76076248</c:v>
                </c:pt>
                <c:pt idx="23">
                  <c:v>15663.95659842</c:v>
                </c:pt>
                <c:pt idx="24">
                  <c:v>19376.40529343177</c:v>
                </c:pt>
                <c:pt idx="25">
                  <c:v>19758.226454799998</c:v>
                </c:pt>
                <c:pt idx="26">
                  <c:v>20758.141058084424</c:v>
                </c:pt>
                <c:pt idx="27">
                  <c:v>22260.236869446129</c:v>
                </c:pt>
              </c:numCache>
            </c:numRef>
          </c:val>
          <c:smooth val="0"/>
          <c:extLst>
            <c:ext xmlns:c16="http://schemas.microsoft.com/office/drawing/2014/chart" uri="{C3380CC4-5D6E-409C-BE32-E72D297353CC}">
              <c16:uniqueId val="{00000002-AC8F-4354-8678-BEBD4EC97A5F}"/>
            </c:ext>
          </c:extLst>
        </c:ser>
        <c:dLbls>
          <c:showLegendKey val="0"/>
          <c:showVal val="0"/>
          <c:showCatName val="0"/>
          <c:showSerName val="0"/>
          <c:showPercent val="0"/>
          <c:showBubbleSize val="0"/>
        </c:dLbls>
        <c:smooth val="0"/>
        <c:axId val="686404208"/>
        <c:axId val="686404688"/>
      </c:lineChart>
      <c:catAx>
        <c:axId val="68640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6404688"/>
        <c:crosses val="autoZero"/>
        <c:auto val="1"/>
        <c:lblAlgn val="ctr"/>
        <c:lblOffset val="100"/>
        <c:noMultiLvlLbl val="0"/>
      </c:catAx>
      <c:valAx>
        <c:axId val="68640468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86404208"/>
        <c:crosses val="autoZero"/>
        <c:crossBetween val="between"/>
        <c:dispUnits>
          <c:builtInUnit val="thousands"/>
        </c:dispUnits>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'AGS Stats'!$F$156</c:f>
              <c:strCache>
                <c:ptCount val="1"/>
                <c:pt idx="0">
                  <c:v>Casino</c:v>
                </c:pt>
              </c:strCache>
            </c:strRef>
          </c:tx>
          <c:spPr>
            <a:ln w="19050" cap="rnd">
              <a:solidFill>
                <a:schemeClr val="accent4"/>
              </a:solidFill>
              <a:round/>
            </a:ln>
            <a:effectLst/>
          </c:spPr>
          <c:marker>
            <c:symbol val="none"/>
          </c:marker>
          <c:cat>
            <c:strRef>
              <c:f>'AGS Stats'!$B$157:$B$184</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Stats'!$F$157:$F$184</c:f>
              <c:numCache>
                <c:formatCode>#,##0.00</c:formatCode>
                <c:ptCount val="28"/>
                <c:pt idx="0">
                  <c:v>2193.4920000000002</c:v>
                </c:pt>
                <c:pt idx="1">
                  <c:v>2362.5149999999999</c:v>
                </c:pt>
                <c:pt idx="2">
                  <c:v>2543.3200000000002</c:v>
                </c:pt>
                <c:pt idx="3">
                  <c:v>2543.3420000000001</c:v>
                </c:pt>
                <c:pt idx="4">
                  <c:v>2555.6869999999999</c:v>
                </c:pt>
                <c:pt idx="5">
                  <c:v>2696.6019999999999</c:v>
                </c:pt>
                <c:pt idx="6">
                  <c:v>2638.6219999999998</c:v>
                </c:pt>
                <c:pt idx="7">
                  <c:v>2931.4601200000002</c:v>
                </c:pt>
                <c:pt idx="8">
                  <c:v>3085.2849999999999</c:v>
                </c:pt>
                <c:pt idx="9">
                  <c:v>3210.92250861</c:v>
                </c:pt>
                <c:pt idx="10">
                  <c:v>3462.9520000000002</c:v>
                </c:pt>
                <c:pt idx="11">
                  <c:v>3519.9934737899998</c:v>
                </c:pt>
                <c:pt idx="12">
                  <c:v>3693.932859</c:v>
                </c:pt>
                <c:pt idx="13">
                  <c:v>4081.0916699999998</c:v>
                </c:pt>
                <c:pt idx="14">
                  <c:v>4119.3860240000004</c:v>
                </c:pt>
                <c:pt idx="15">
                  <c:v>4388.7491060000002</c:v>
                </c:pt>
                <c:pt idx="16">
                  <c:v>5174.2645679999996</c:v>
                </c:pt>
                <c:pt idx="17">
                  <c:v>5194.8651414200003</c:v>
                </c:pt>
                <c:pt idx="18">
                  <c:v>4790.0405252399996</c:v>
                </c:pt>
                <c:pt idx="19">
                  <c:v>5100.5828034200003</c:v>
                </c:pt>
                <c:pt idx="20">
                  <c:v>4859.8574942400001</c:v>
                </c:pt>
                <c:pt idx="21">
                  <c:v>3514.2980396600001</c:v>
                </c:pt>
                <c:pt idx="22">
                  <c:v>2728.6412413399999</c:v>
                </c:pt>
                <c:pt idx="23">
                  <c:v>2830.6715207000002</c:v>
                </c:pt>
                <c:pt idx="24">
                  <c:v>3611.7046821017698</c:v>
                </c:pt>
                <c:pt idx="25">
                  <c:v>3465.15834202</c:v>
                </c:pt>
                <c:pt idx="26">
                  <c:v>3324.5581774098259</c:v>
                </c:pt>
                <c:pt idx="27">
                  <c:v>3327.3658610335128</c:v>
                </c:pt>
              </c:numCache>
            </c:numRef>
          </c:val>
          <c:smooth val="0"/>
          <c:extLst>
            <c:ext xmlns:c16="http://schemas.microsoft.com/office/drawing/2014/chart" uri="{C3380CC4-5D6E-409C-BE32-E72D297353CC}">
              <c16:uniqueId val="{00000000-9304-4814-819E-93E2D53B868B}"/>
            </c:ext>
          </c:extLst>
        </c:ser>
        <c:ser>
          <c:idx val="1"/>
          <c:order val="1"/>
          <c:tx>
            <c:strRef>
              <c:f>'AGS Stats'!$G$156</c:f>
              <c:strCache>
                <c:ptCount val="1"/>
                <c:pt idx="0">
                  <c:v>Gaming Machines</c:v>
                </c:pt>
              </c:strCache>
            </c:strRef>
          </c:tx>
          <c:spPr>
            <a:ln w="19050" cap="rnd">
              <a:solidFill>
                <a:schemeClr val="accent1"/>
              </a:solidFill>
              <a:round/>
            </a:ln>
            <a:effectLst/>
          </c:spPr>
          <c:marker>
            <c:symbol val="none"/>
          </c:marker>
          <c:cat>
            <c:strRef>
              <c:f>'AGS Stats'!$B$157:$B$184</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Stats'!$G$157:$G$184</c:f>
              <c:numCache>
                <c:formatCode>#,##0.00</c:formatCode>
                <c:ptCount val="28"/>
                <c:pt idx="0">
                  <c:v>6852.3370000000004</c:v>
                </c:pt>
                <c:pt idx="1">
                  <c:v>7654.1310000000003</c:v>
                </c:pt>
                <c:pt idx="2">
                  <c:v>8319.5889999999999</c:v>
                </c:pt>
                <c:pt idx="3">
                  <c:v>8916.1820000000007</c:v>
                </c:pt>
                <c:pt idx="4">
                  <c:v>9076.7579999999998</c:v>
                </c:pt>
                <c:pt idx="5">
                  <c:v>9547.33</c:v>
                </c:pt>
                <c:pt idx="6">
                  <c:v>10095.536</c:v>
                </c:pt>
                <c:pt idx="7">
                  <c:v>10380.762629999999</c:v>
                </c:pt>
                <c:pt idx="8">
                  <c:v>10579.125</c:v>
                </c:pt>
                <c:pt idx="9">
                  <c:v>10184.159986729999</c:v>
                </c:pt>
                <c:pt idx="10">
                  <c:v>10468.352192169999</c:v>
                </c:pt>
                <c:pt idx="11">
                  <c:v>10223.309956999999</c:v>
                </c:pt>
                <c:pt idx="12">
                  <c:v>10623.507616000001</c:v>
                </c:pt>
                <c:pt idx="13">
                  <c:v>10911.185592</c:v>
                </c:pt>
                <c:pt idx="14">
                  <c:v>10827.929425</c:v>
                </c:pt>
                <c:pt idx="15">
                  <c:v>11052.39451115</c:v>
                </c:pt>
                <c:pt idx="16">
                  <c:v>11588.90726</c:v>
                </c:pt>
                <c:pt idx="17">
                  <c:v>12074.258</c:v>
                </c:pt>
                <c:pt idx="18">
                  <c:v>12136.232498679999</c:v>
                </c:pt>
                <c:pt idx="19">
                  <c:v>12520.4220878</c:v>
                </c:pt>
                <c:pt idx="20">
                  <c:v>12717.24817253</c:v>
                </c:pt>
                <c:pt idx="21">
                  <c:v>10198.204085629999</c:v>
                </c:pt>
                <c:pt idx="22">
                  <c:v>12182.119521140001</c:v>
                </c:pt>
                <c:pt idx="23">
                  <c:v>12833.28507772</c:v>
                </c:pt>
                <c:pt idx="24">
                  <c:v>15764.700611329999</c:v>
                </c:pt>
                <c:pt idx="25">
                  <c:v>16293.06811278</c:v>
                </c:pt>
                <c:pt idx="26">
                  <c:v>17433.582880674599</c:v>
                </c:pt>
                <c:pt idx="27">
                  <c:v>18932.871008412618</c:v>
                </c:pt>
              </c:numCache>
            </c:numRef>
          </c:val>
          <c:smooth val="0"/>
          <c:extLst>
            <c:ext xmlns:c16="http://schemas.microsoft.com/office/drawing/2014/chart" uri="{C3380CC4-5D6E-409C-BE32-E72D297353CC}">
              <c16:uniqueId val="{00000001-9304-4814-819E-93E2D53B868B}"/>
            </c:ext>
          </c:extLst>
        </c:ser>
        <c:dLbls>
          <c:showLegendKey val="0"/>
          <c:showVal val="0"/>
          <c:showCatName val="0"/>
          <c:showSerName val="0"/>
          <c:showPercent val="0"/>
          <c:showBubbleSize val="0"/>
        </c:dLbls>
        <c:smooth val="0"/>
        <c:axId val="1421702079"/>
        <c:axId val="1421708319"/>
      </c:lineChart>
      <c:catAx>
        <c:axId val="142170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21708319"/>
        <c:crosses val="autoZero"/>
        <c:auto val="1"/>
        <c:lblAlgn val="ctr"/>
        <c:lblOffset val="100"/>
        <c:noMultiLvlLbl val="0"/>
      </c:catAx>
      <c:valAx>
        <c:axId val="14217083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21702079"/>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'AGS Stats'!$AC$156</c:f>
              <c:strCache>
                <c:ptCount val="1"/>
                <c:pt idx="0">
                  <c:v>Wagering</c:v>
                </c:pt>
              </c:strCache>
            </c:strRef>
          </c:tx>
          <c:spPr>
            <a:ln w="19050" cap="rnd">
              <a:solidFill>
                <a:schemeClr val="tx2"/>
              </a:solidFill>
              <a:round/>
            </a:ln>
            <a:effectLst/>
          </c:spPr>
          <c:marker>
            <c:symbol val="none"/>
          </c:marker>
          <c:dLbls>
            <c:dLbl>
              <c:idx val="2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47-4BCE-8CCD-7DCD93524151}"/>
                </c:ext>
              </c:extLst>
            </c:dLbl>
            <c:spPr>
              <a:noFill/>
              <a:ln>
                <a:noFill/>
              </a:ln>
              <a:effectLst/>
            </c:spPr>
            <c:txPr>
              <a:bodyPr wrap="square" lIns="38100" tIns="19050" rIns="38100" bIns="19050" anchor="ctr">
                <a:spAutoFit/>
              </a:bodyPr>
              <a:lstStyle/>
              <a:p>
                <a:pPr>
                  <a:defRPr b="1">
                    <a:solidFill>
                      <a:schemeClr val="tx2"/>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'AGS Stats'!$B$157:$B$185</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Stats'!$AP$157:$AP$184</c:f>
              <c:numCache>
                <c:formatCode>#,##0.0</c:formatCode>
                <c:ptCount val="28"/>
                <c:pt idx="0">
                  <c:v>124.3133279945411</c:v>
                </c:pt>
                <c:pt idx="1">
                  <c:v>123.74013410300823</c:v>
                </c:pt>
                <c:pt idx="2">
                  <c:v>126.66553282371962</c:v>
                </c:pt>
                <c:pt idx="3">
                  <c:v>132.94306865301616</c:v>
                </c:pt>
                <c:pt idx="4">
                  <c:v>138.36400655657343</c:v>
                </c:pt>
                <c:pt idx="5">
                  <c:v>143.74743533579891</c:v>
                </c:pt>
                <c:pt idx="6">
                  <c:v>150.19790853055</c:v>
                </c:pt>
                <c:pt idx="7">
                  <c:v>152.16016640152247</c:v>
                </c:pt>
                <c:pt idx="8">
                  <c:v>161.28702365738854</c:v>
                </c:pt>
                <c:pt idx="9">
                  <c:v>159.24217649587928</c:v>
                </c:pt>
                <c:pt idx="10">
                  <c:v>169.56206418861265</c:v>
                </c:pt>
                <c:pt idx="11">
                  <c:v>173.30081197680516</c:v>
                </c:pt>
                <c:pt idx="12">
                  <c:v>175.04896721660151</c:v>
                </c:pt>
                <c:pt idx="13">
                  <c:v>185.39865572650044</c:v>
                </c:pt>
                <c:pt idx="14">
                  <c:v>187.13581546501013</c:v>
                </c:pt>
                <c:pt idx="15">
                  <c:v>194.38605719481311</c:v>
                </c:pt>
                <c:pt idx="16">
                  <c:v>206.01181855284079</c:v>
                </c:pt>
                <c:pt idx="17">
                  <c:v>214.35632822247311</c:v>
                </c:pt>
                <c:pt idx="18">
                  <c:v>229.28479795721188</c:v>
                </c:pt>
                <c:pt idx="19">
                  <c:v>254.82151940005909</c:v>
                </c:pt>
                <c:pt idx="20">
                  <c:v>254.86288280497055</c:v>
                </c:pt>
                <c:pt idx="21">
                  <c:v>229.00709525037917</c:v>
                </c:pt>
                <c:pt idx="22">
                  <c:v>288.86012153002662</c:v>
                </c:pt>
                <c:pt idx="23">
                  <c:v>406.74998218165712</c:v>
                </c:pt>
                <c:pt idx="24">
                  <c:v>401.87907919690338</c:v>
                </c:pt>
                <c:pt idx="25">
                  <c:v>393.87781580305585</c:v>
                </c:pt>
                <c:pt idx="26">
                  <c:v>380.98513254736446</c:v>
                </c:pt>
                <c:pt idx="27">
                  <c:v>371.60126228757719</c:v>
                </c:pt>
              </c:numCache>
            </c:numRef>
          </c:val>
          <c:smooth val="0"/>
          <c:extLst>
            <c:ext xmlns:c16="http://schemas.microsoft.com/office/drawing/2014/chart" uri="{C3380CC4-5D6E-409C-BE32-E72D297353CC}">
              <c16:uniqueId val="{00000002-9F47-4BCE-8CCD-7DCD93524151}"/>
            </c:ext>
          </c:extLst>
        </c:ser>
        <c:ser>
          <c:idx val="1"/>
          <c:order val="1"/>
          <c:tx>
            <c:strRef>
              <c:f>'AGS Stats'!$Z$156</c:f>
              <c:strCache>
                <c:ptCount val="1"/>
                <c:pt idx="0">
                  <c:v>Casino</c:v>
                </c:pt>
              </c:strCache>
            </c:strRef>
          </c:tx>
          <c:spPr>
            <a:ln w="19050" cap="rnd">
              <a:solidFill>
                <a:schemeClr val="bg2"/>
              </a:solidFill>
              <a:round/>
            </a:ln>
            <a:effectLst/>
          </c:spPr>
          <c:marker>
            <c:symbol val="none"/>
          </c:marker>
          <c:dLbls>
            <c:dLbl>
              <c:idx val="2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47-4BCE-8CCD-7DCD93524151}"/>
                </c:ext>
              </c:extLst>
            </c:dLbl>
            <c:spPr>
              <a:noFill/>
              <a:ln>
                <a:noFill/>
              </a:ln>
              <a:effectLst/>
            </c:spPr>
            <c:txPr>
              <a:bodyPr wrap="square" lIns="38100" tIns="19050" rIns="38100" bIns="19050" anchor="ctr">
                <a:spAutoFit/>
              </a:bodyPr>
              <a:lstStyle/>
              <a:p>
                <a:pPr>
                  <a:defRPr b="1">
                    <a:solidFill>
                      <a:schemeClr val="bg2"/>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'AGS Stats'!$B$157:$B$185</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Stats'!$AM$157:$AM$184</c:f>
              <c:numCache>
                <c:formatCode>#,##0.0</c:formatCode>
                <c:ptCount val="28"/>
                <c:pt idx="0">
                  <c:v>155.58810532221787</c:v>
                </c:pt>
                <c:pt idx="1">
                  <c:v>165.31023338368061</c:v>
                </c:pt>
                <c:pt idx="2">
                  <c:v>175.26694352097653</c:v>
                </c:pt>
                <c:pt idx="3">
                  <c:v>172.77034124381044</c:v>
                </c:pt>
                <c:pt idx="4">
                  <c:v>171.06200143894418</c:v>
                </c:pt>
                <c:pt idx="5">
                  <c:v>178.04353631993672</c:v>
                </c:pt>
                <c:pt idx="6">
                  <c:v>171.68786253841895</c:v>
                </c:pt>
                <c:pt idx="7">
                  <c:v>187.78923041818217</c:v>
                </c:pt>
                <c:pt idx="8">
                  <c:v>193.69214570230238</c:v>
                </c:pt>
                <c:pt idx="9">
                  <c:v>197.07767500487182</c:v>
                </c:pt>
                <c:pt idx="10">
                  <c:v>207.64556407642374</c:v>
                </c:pt>
                <c:pt idx="11">
                  <c:v>207.39507844615548</c:v>
                </c:pt>
                <c:pt idx="12">
                  <c:v>214.19770767175731</c:v>
                </c:pt>
                <c:pt idx="13">
                  <c:v>232.32615593898217</c:v>
                </c:pt>
                <c:pt idx="14">
                  <c:v>230.23982515262091</c:v>
                </c:pt>
                <c:pt idx="15">
                  <c:v>241.43875500041702</c:v>
                </c:pt>
                <c:pt idx="16">
                  <c:v>280.36989638006457</c:v>
                </c:pt>
                <c:pt idx="17">
                  <c:v>277.03045619221541</c:v>
                </c:pt>
                <c:pt idx="18">
                  <c:v>250.92349937570864</c:v>
                </c:pt>
                <c:pt idx="19">
                  <c:v>262.74650421824794</c:v>
                </c:pt>
                <c:pt idx="20">
                  <c:v>246.23593743782172</c:v>
                </c:pt>
                <c:pt idx="21">
                  <c:v>175.59527770006682</c:v>
                </c:pt>
                <c:pt idx="22">
                  <c:v>136.16615000097059</c:v>
                </c:pt>
                <c:pt idx="23">
                  <c:v>139.29267037714018</c:v>
                </c:pt>
                <c:pt idx="24">
                  <c:v>172.73967447396038</c:v>
                </c:pt>
                <c:pt idx="25">
                  <c:v>161.92347617321983</c:v>
                </c:pt>
                <c:pt idx="26">
                  <c:v>152.55658134461032</c:v>
                </c:pt>
                <c:pt idx="27">
                  <c:v>150.42898492822789</c:v>
                </c:pt>
              </c:numCache>
            </c:numRef>
          </c:val>
          <c:smooth val="0"/>
          <c:extLst>
            <c:ext xmlns:c16="http://schemas.microsoft.com/office/drawing/2014/chart" uri="{C3380CC4-5D6E-409C-BE32-E72D297353CC}">
              <c16:uniqueId val="{00000008-9F47-4BCE-8CCD-7DCD93524151}"/>
            </c:ext>
          </c:extLst>
        </c:ser>
        <c:ser>
          <c:idx val="0"/>
          <c:order val="2"/>
          <c:tx>
            <c:strRef>
              <c:f>'AGS Stats'!$AA$156</c:f>
              <c:strCache>
                <c:ptCount val="1"/>
                <c:pt idx="0">
                  <c:v>Gaming Machines</c:v>
                </c:pt>
              </c:strCache>
            </c:strRef>
          </c:tx>
          <c:spPr>
            <a:ln w="19050" cap="rnd">
              <a:solidFill>
                <a:schemeClr val="accent1"/>
              </a:solidFill>
              <a:round/>
            </a:ln>
            <a:effectLst/>
          </c:spPr>
          <c:marker>
            <c:symbol val="none"/>
          </c:marker>
          <c:dLbls>
            <c:dLbl>
              <c:idx val="2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47-4BCE-8CCD-7DCD93524151}"/>
                </c:ext>
              </c:extLst>
            </c:dLbl>
            <c:spPr>
              <a:noFill/>
              <a:ln>
                <a:noFill/>
              </a:ln>
              <a:effectLst/>
            </c:spPr>
            <c:txPr>
              <a:bodyPr wrap="square" lIns="38100" tIns="19050" rIns="38100" bIns="19050" anchor="ctr">
                <a:spAutoFit/>
              </a:bodyPr>
              <a:lstStyle/>
              <a:p>
                <a:pPr>
                  <a:defRPr b="1">
                    <a:solidFill>
                      <a:schemeClr val="accent1"/>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'AGS Stats'!$B$157:$B$185</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Stats'!$AN$157:$AN$185</c:f>
              <c:numCache>
                <c:formatCode>#,##0.0</c:formatCode>
                <c:ptCount val="29"/>
                <c:pt idx="0">
                  <c:v>486.04787747542753</c:v>
                </c:pt>
                <c:pt idx="1">
                  <c:v>535.57593579692184</c:v>
                </c:pt>
                <c:pt idx="2">
                  <c:v>573.32499857695359</c:v>
                </c:pt>
                <c:pt idx="3">
                  <c:v>605.68016677738206</c:v>
                </c:pt>
                <c:pt idx="4">
                  <c:v>607.54246903355067</c:v>
                </c:pt>
                <c:pt idx="5">
                  <c:v>630.36384146174385</c:v>
                </c:pt>
                <c:pt idx="6">
                  <c:v>656.88870820438092</c:v>
                </c:pt>
                <c:pt idx="7">
                  <c:v>664.99128272006806</c:v>
                </c:pt>
                <c:pt idx="8">
                  <c:v>664.15044992694993</c:v>
                </c:pt>
                <c:pt idx="9">
                  <c:v>625.0759919245919</c:v>
                </c:pt>
                <c:pt idx="10">
                  <c:v>627.70344373638625</c:v>
                </c:pt>
                <c:pt idx="11">
                  <c:v>602.34889249055198</c:v>
                </c:pt>
                <c:pt idx="12">
                  <c:v>616.01849996717976</c:v>
                </c:pt>
                <c:pt idx="13">
                  <c:v>621.14600952498756</c:v>
                </c:pt>
                <c:pt idx="14">
                  <c:v>605.19226968589601</c:v>
                </c:pt>
                <c:pt idx="15">
                  <c:v>608.02663950357487</c:v>
                </c:pt>
                <c:pt idx="16">
                  <c:v>627.95024972993974</c:v>
                </c:pt>
                <c:pt idx="17">
                  <c:v>643.89298102321436</c:v>
                </c:pt>
                <c:pt idx="18">
                  <c:v>635.74951229737371</c:v>
                </c:pt>
                <c:pt idx="19">
                  <c:v>644.96495041715764</c:v>
                </c:pt>
                <c:pt idx="20">
                  <c:v>644.34883720434175</c:v>
                </c:pt>
                <c:pt idx="21">
                  <c:v>509.56306444384757</c:v>
                </c:pt>
                <c:pt idx="22">
                  <c:v>607.91880182485636</c:v>
                </c:pt>
                <c:pt idx="23">
                  <c:v>631.50476313290858</c:v>
                </c:pt>
                <c:pt idx="24">
                  <c:v>753.99001066606445</c:v>
                </c:pt>
                <c:pt idx="25">
                  <c:v>761.35921246543512</c:v>
                </c:pt>
                <c:pt idx="26">
                  <c:v>799.98834820684328</c:v>
                </c:pt>
                <c:pt idx="27">
                  <c:v>855.94812428830744</c:v>
                </c:pt>
              </c:numCache>
            </c:numRef>
          </c:val>
          <c:smooth val="0"/>
          <c:extLst>
            <c:ext xmlns:c16="http://schemas.microsoft.com/office/drawing/2014/chart" uri="{C3380CC4-5D6E-409C-BE32-E72D297353CC}">
              <c16:uniqueId val="{00000005-9F47-4BCE-8CCD-7DCD93524151}"/>
            </c:ext>
          </c:extLst>
        </c:ser>
        <c:ser>
          <c:idx val="2"/>
          <c:order val="3"/>
          <c:tx>
            <c:strRef>
              <c:f>'AGS Stats'!$AB$156</c:f>
              <c:strCache>
                <c:ptCount val="1"/>
                <c:pt idx="0">
                  <c:v>Lotteries</c:v>
                </c:pt>
              </c:strCache>
            </c:strRef>
          </c:tx>
          <c:spPr>
            <a:ln w="19050" cap="rnd">
              <a:solidFill>
                <a:schemeClr val="accent2"/>
              </a:solidFill>
              <a:round/>
            </a:ln>
            <a:effectLst/>
          </c:spPr>
          <c:marker>
            <c:symbol val="none"/>
          </c:marker>
          <c:dLbls>
            <c:dLbl>
              <c:idx val="27"/>
              <c:layout>
                <c:manualLayout>
                  <c:x val="0"/>
                  <c:y val="2.2048611111111113E-2"/>
                </c:manualLayout>
              </c:layout>
              <c:spPr>
                <a:noFill/>
                <a:ln>
                  <a:noFill/>
                </a:ln>
                <a:effectLst/>
              </c:spPr>
              <c:txPr>
                <a:bodyPr wrap="square" lIns="38100" tIns="19050" rIns="38100" bIns="19050" anchor="ctr">
                  <a:spAutoFit/>
                </a:bodyPr>
                <a:lstStyle/>
                <a:p>
                  <a:pPr>
                    <a:defRPr b="1">
                      <a:solidFill>
                        <a:schemeClr val="accent2"/>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F47-4BCE-8CCD-7DCD9352415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'AGS Stats'!$B$157:$B$185</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Stats'!$AO$157:$AO$184</c:f>
              <c:numCache>
                <c:formatCode>#,##0.0</c:formatCode>
                <c:ptCount val="28"/>
                <c:pt idx="0">
                  <c:v>91.999699249613599</c:v>
                </c:pt>
                <c:pt idx="1">
                  <c:v>91.424702129224272</c:v>
                </c:pt>
                <c:pt idx="2">
                  <c:v>98.351589353324982</c:v>
                </c:pt>
                <c:pt idx="3">
                  <c:v>97.807657177757861</c:v>
                </c:pt>
                <c:pt idx="4">
                  <c:v>104.42224664713224</c:v>
                </c:pt>
                <c:pt idx="5">
                  <c:v>105.70216255456566</c:v>
                </c:pt>
                <c:pt idx="6">
                  <c:v>105.85770470350289</c:v>
                </c:pt>
                <c:pt idx="7">
                  <c:v>107.79836600968048</c:v>
                </c:pt>
                <c:pt idx="8">
                  <c:v>109.8387613184866</c:v>
                </c:pt>
                <c:pt idx="9">
                  <c:v>113.91422003262203</c:v>
                </c:pt>
                <c:pt idx="10">
                  <c:v>119.68365072224842</c:v>
                </c:pt>
                <c:pt idx="11">
                  <c:v>87.77050932224931</c:v>
                </c:pt>
                <c:pt idx="12">
                  <c:v>102.93569846537947</c:v>
                </c:pt>
                <c:pt idx="13">
                  <c:v>112.04854795998477</c:v>
                </c:pt>
                <c:pt idx="14">
                  <c:v>120.37194482944565</c:v>
                </c:pt>
                <c:pt idx="15">
                  <c:v>107.44559816573076</c:v>
                </c:pt>
                <c:pt idx="16">
                  <c:v>108.00452778456902</c:v>
                </c:pt>
                <c:pt idx="17">
                  <c:v>114.03089696364604</c:v>
                </c:pt>
                <c:pt idx="18">
                  <c:v>104.93797890322213</c:v>
                </c:pt>
                <c:pt idx="19">
                  <c:v>107.93732705131193</c:v>
                </c:pt>
                <c:pt idx="20">
                  <c:v>130.91198488447472</c:v>
                </c:pt>
                <c:pt idx="21">
                  <c:v>131.11650661601533</c:v>
                </c:pt>
                <c:pt idx="22">
                  <c:v>141.62881754519387</c:v>
                </c:pt>
                <c:pt idx="23">
                  <c:v>154.646158116424</c:v>
                </c:pt>
                <c:pt idx="24">
                  <c:v>148.67503139886384</c:v>
                </c:pt>
                <c:pt idx="25">
                  <c:v>162.47110284308462</c:v>
                </c:pt>
                <c:pt idx="26">
                  <c:v>145.18702208104369</c:v>
                </c:pt>
                <c:pt idx="27">
                  <c:v>140.18057304376634</c:v>
                </c:pt>
              </c:numCache>
            </c:numRef>
          </c:val>
          <c:smooth val="0"/>
          <c:extLst>
            <c:ext xmlns:c16="http://schemas.microsoft.com/office/drawing/2014/chart" uri="{C3380CC4-5D6E-409C-BE32-E72D297353CC}">
              <c16:uniqueId val="{0000000B-9F47-4BCE-8CCD-7DCD93524151}"/>
            </c:ext>
          </c:extLst>
        </c:ser>
        <c:dLbls>
          <c:showLegendKey val="0"/>
          <c:showVal val="0"/>
          <c:showCatName val="0"/>
          <c:showSerName val="0"/>
          <c:showPercent val="0"/>
          <c:showBubbleSize val="0"/>
        </c:dLbls>
        <c:smooth val="0"/>
        <c:axId val="376400096"/>
        <c:axId val="376399616"/>
      </c:lineChart>
      <c:catAx>
        <c:axId val="376400096"/>
        <c:scaling>
          <c:orientation val="minMax"/>
          <c:min val="1"/>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6399616"/>
        <c:crossesAt val="1"/>
        <c:auto val="1"/>
        <c:lblAlgn val="ctr"/>
        <c:lblOffset val="100"/>
        <c:tickLblSkip val="1"/>
        <c:noMultiLvlLbl val="0"/>
      </c:catAx>
      <c:valAx>
        <c:axId val="376399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6400096"/>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landscape"/>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'AGS Stats'!$AK$156</c:f>
              <c:strCache>
                <c:ptCount val="1"/>
                <c:pt idx="0">
                  <c:v>Casino</c:v>
                </c:pt>
              </c:strCache>
            </c:strRef>
          </c:tx>
          <c:spPr>
            <a:ln w="28575" cap="rnd">
              <a:solidFill>
                <a:schemeClr val="accent1"/>
              </a:solidFill>
              <a:round/>
            </a:ln>
            <a:effectLst/>
          </c:spPr>
          <c:marker>
            <c:symbol val="none"/>
          </c:marker>
          <c:cat>
            <c:strRef>
              <c:f>'AGS Stats'!$B$177:$B$184</c:f>
              <c:strCache>
                <c:ptCount val="8"/>
                <c:pt idx="0">
                  <c:v>FY19A</c:v>
                </c:pt>
                <c:pt idx="1">
                  <c:v>FY20A</c:v>
                </c:pt>
                <c:pt idx="2">
                  <c:v>FY21A</c:v>
                </c:pt>
                <c:pt idx="3">
                  <c:v>FY22A</c:v>
                </c:pt>
                <c:pt idx="4">
                  <c:v>FY23A</c:v>
                </c:pt>
                <c:pt idx="5">
                  <c:v>FY24A</c:v>
                </c:pt>
                <c:pt idx="6">
                  <c:v>FY25E</c:v>
                </c:pt>
                <c:pt idx="7">
                  <c:v>FY26E</c:v>
                </c:pt>
              </c:strCache>
            </c:strRef>
          </c:cat>
          <c:val>
            <c:numRef>
              <c:f>'AGS Stats'!$BF$177:$BF$184</c:f>
              <c:numCache>
                <c:formatCode>#,##0.00</c:formatCode>
                <c:ptCount val="8"/>
                <c:pt idx="0">
                  <c:v>1</c:v>
                </c:pt>
                <c:pt idx="1">
                  <c:v>0.71311799377134899</c:v>
                </c:pt>
                <c:pt idx="2">
                  <c:v>0.55299056432554483</c:v>
                </c:pt>
                <c:pt idx="3">
                  <c:v>0.56568781887214847</c:v>
                </c:pt>
                <c:pt idx="4">
                  <c:v>0.701520973223414</c:v>
                </c:pt>
                <c:pt idx="5">
                  <c:v>0.65759481681713472</c:v>
                </c:pt>
                <c:pt idx="6">
                  <c:v>0.61955449286574249</c:v>
                </c:pt>
                <c:pt idx="7">
                  <c:v>0.61091401398796008</c:v>
                </c:pt>
              </c:numCache>
            </c:numRef>
          </c:val>
          <c:smooth val="0"/>
          <c:extLst>
            <c:ext xmlns:c16="http://schemas.microsoft.com/office/drawing/2014/chart" uri="{C3380CC4-5D6E-409C-BE32-E72D297353CC}">
              <c16:uniqueId val="{00000000-10E1-4ECA-9D63-69246095BE0D}"/>
            </c:ext>
          </c:extLst>
        </c:ser>
        <c:ser>
          <c:idx val="1"/>
          <c:order val="1"/>
          <c:tx>
            <c:strRef>
              <c:f>'AGS Stats'!$AL$156</c:f>
              <c:strCache>
                <c:ptCount val="1"/>
                <c:pt idx="0">
                  <c:v>Gaming Machines</c:v>
                </c:pt>
              </c:strCache>
            </c:strRef>
          </c:tx>
          <c:spPr>
            <a:ln w="28575" cap="rnd">
              <a:solidFill>
                <a:schemeClr val="accent2"/>
              </a:solidFill>
              <a:round/>
            </a:ln>
            <a:effectLst/>
          </c:spPr>
          <c:marker>
            <c:symbol val="none"/>
          </c:marker>
          <c:cat>
            <c:strRef>
              <c:f>'AGS Stats'!$B$177:$B$184</c:f>
              <c:strCache>
                <c:ptCount val="8"/>
                <c:pt idx="0">
                  <c:v>FY19A</c:v>
                </c:pt>
                <c:pt idx="1">
                  <c:v>FY20A</c:v>
                </c:pt>
                <c:pt idx="2">
                  <c:v>FY21A</c:v>
                </c:pt>
                <c:pt idx="3">
                  <c:v>FY22A</c:v>
                </c:pt>
                <c:pt idx="4">
                  <c:v>FY23A</c:v>
                </c:pt>
                <c:pt idx="5">
                  <c:v>FY24A</c:v>
                </c:pt>
                <c:pt idx="6">
                  <c:v>FY25E</c:v>
                </c:pt>
                <c:pt idx="7">
                  <c:v>FY26E</c:v>
                </c:pt>
              </c:strCache>
            </c:strRef>
          </c:cat>
          <c:val>
            <c:numRef>
              <c:f>'AGS Stats'!$BG$177:$BG$184</c:f>
              <c:numCache>
                <c:formatCode>#,##0.00</c:formatCode>
                <c:ptCount val="8"/>
                <c:pt idx="0">
                  <c:v>1</c:v>
                </c:pt>
                <c:pt idx="1">
                  <c:v>0.79081862963345473</c:v>
                </c:pt>
                <c:pt idx="2">
                  <c:v>0.9434622470375742</c:v>
                </c:pt>
                <c:pt idx="3">
                  <c:v>0.9800665829907288</c:v>
                </c:pt>
                <c:pt idx="4">
                  <c:v>1.1701580993572156</c:v>
                </c:pt>
                <c:pt idx="5">
                  <c:v>1.1815947643651694</c:v>
                </c:pt>
                <c:pt idx="6">
                  <c:v>1.2415454207658385</c:v>
                </c:pt>
                <c:pt idx="7">
                  <c:v>1.3283924403465035</c:v>
                </c:pt>
              </c:numCache>
            </c:numRef>
          </c:val>
          <c:smooth val="0"/>
          <c:extLst>
            <c:ext xmlns:c16="http://schemas.microsoft.com/office/drawing/2014/chart" uri="{C3380CC4-5D6E-409C-BE32-E72D297353CC}">
              <c16:uniqueId val="{00000001-10E1-4ECA-9D63-69246095BE0D}"/>
            </c:ext>
          </c:extLst>
        </c:ser>
        <c:ser>
          <c:idx val="2"/>
          <c:order val="2"/>
          <c:tx>
            <c:strRef>
              <c:f>'AGS Stats'!$AM$156</c:f>
              <c:strCache>
                <c:ptCount val="1"/>
                <c:pt idx="0">
                  <c:v>Lotteries</c:v>
                </c:pt>
              </c:strCache>
            </c:strRef>
          </c:tx>
          <c:spPr>
            <a:ln w="28575" cap="rnd">
              <a:solidFill>
                <a:schemeClr val="accent3"/>
              </a:solidFill>
              <a:round/>
            </a:ln>
            <a:effectLst/>
          </c:spPr>
          <c:marker>
            <c:symbol val="none"/>
          </c:marker>
          <c:cat>
            <c:strRef>
              <c:f>'AGS Stats'!$B$177:$B$184</c:f>
              <c:strCache>
                <c:ptCount val="8"/>
                <c:pt idx="0">
                  <c:v>FY19A</c:v>
                </c:pt>
                <c:pt idx="1">
                  <c:v>FY20A</c:v>
                </c:pt>
                <c:pt idx="2">
                  <c:v>FY21A</c:v>
                </c:pt>
                <c:pt idx="3">
                  <c:v>FY22A</c:v>
                </c:pt>
                <c:pt idx="4">
                  <c:v>FY23A</c:v>
                </c:pt>
                <c:pt idx="5">
                  <c:v>FY24A</c:v>
                </c:pt>
                <c:pt idx="6">
                  <c:v>FY25E</c:v>
                </c:pt>
                <c:pt idx="7">
                  <c:v>FY26E</c:v>
                </c:pt>
              </c:strCache>
            </c:strRef>
          </c:cat>
          <c:val>
            <c:numRef>
              <c:f>'AGS Stats'!$BH$177:$BH$184</c:f>
              <c:numCache>
                <c:formatCode>#,##0.00</c:formatCode>
                <c:ptCount val="8"/>
                <c:pt idx="0">
                  <c:v>1</c:v>
                </c:pt>
                <c:pt idx="1">
                  <c:v>1.0015622842455647</c:v>
                </c:pt>
                <c:pt idx="2">
                  <c:v>1.0818628842132092</c:v>
                </c:pt>
                <c:pt idx="3">
                  <c:v>1.1812987042622101</c:v>
                </c:pt>
                <c:pt idx="4">
                  <c:v>1.1356869390534747</c:v>
                </c:pt>
                <c:pt idx="5">
                  <c:v>1.2410712662134007</c:v>
                </c:pt>
                <c:pt idx="6">
                  <c:v>1.1090430124420327</c:v>
                </c:pt>
                <c:pt idx="7">
                  <c:v>1.0708001499440318</c:v>
                </c:pt>
              </c:numCache>
            </c:numRef>
          </c:val>
          <c:smooth val="0"/>
          <c:extLst>
            <c:ext xmlns:c16="http://schemas.microsoft.com/office/drawing/2014/chart" uri="{C3380CC4-5D6E-409C-BE32-E72D297353CC}">
              <c16:uniqueId val="{00000002-10E1-4ECA-9D63-69246095BE0D}"/>
            </c:ext>
          </c:extLst>
        </c:ser>
        <c:ser>
          <c:idx val="3"/>
          <c:order val="3"/>
          <c:tx>
            <c:strRef>
              <c:f>'AGS Stats'!$AN$156</c:f>
              <c:strCache>
                <c:ptCount val="1"/>
                <c:pt idx="0">
                  <c:v>Wagering</c:v>
                </c:pt>
              </c:strCache>
            </c:strRef>
          </c:tx>
          <c:spPr>
            <a:ln w="28575" cap="rnd">
              <a:solidFill>
                <a:schemeClr val="accent4"/>
              </a:solidFill>
              <a:round/>
            </a:ln>
            <a:effectLst/>
          </c:spPr>
          <c:marker>
            <c:symbol val="none"/>
          </c:marker>
          <c:cat>
            <c:strRef>
              <c:f>'AGS Stats'!$B$177:$B$184</c:f>
              <c:strCache>
                <c:ptCount val="8"/>
                <c:pt idx="0">
                  <c:v>FY19A</c:v>
                </c:pt>
                <c:pt idx="1">
                  <c:v>FY20A</c:v>
                </c:pt>
                <c:pt idx="2">
                  <c:v>FY21A</c:v>
                </c:pt>
                <c:pt idx="3">
                  <c:v>FY22A</c:v>
                </c:pt>
                <c:pt idx="4">
                  <c:v>FY23A</c:v>
                </c:pt>
                <c:pt idx="5">
                  <c:v>FY24A</c:v>
                </c:pt>
                <c:pt idx="6">
                  <c:v>FY25E</c:v>
                </c:pt>
                <c:pt idx="7">
                  <c:v>FY26E</c:v>
                </c:pt>
              </c:strCache>
            </c:strRef>
          </c:cat>
          <c:val>
            <c:numRef>
              <c:f>'AGS Stats'!$BI$177:$BI$184</c:f>
              <c:numCache>
                <c:formatCode>#,##0.00</c:formatCode>
                <c:ptCount val="8"/>
                <c:pt idx="0">
                  <c:v>1</c:v>
                </c:pt>
                <c:pt idx="1">
                  <c:v>0.89855020366234695</c:v>
                </c:pt>
                <c:pt idx="2">
                  <c:v>1.1333942328160507</c:v>
                </c:pt>
                <c:pt idx="3">
                  <c:v>1.5959561380811798</c:v>
                </c:pt>
                <c:pt idx="4">
                  <c:v>1.576844281026337</c:v>
                </c:pt>
                <c:pt idx="5">
                  <c:v>1.5454498963054737</c:v>
                </c:pt>
                <c:pt idx="6">
                  <c:v>1.4948631529013456</c:v>
                </c:pt>
                <c:pt idx="7">
                  <c:v>1.4580438634210171</c:v>
                </c:pt>
              </c:numCache>
            </c:numRef>
          </c:val>
          <c:smooth val="0"/>
          <c:extLst>
            <c:ext xmlns:c16="http://schemas.microsoft.com/office/drawing/2014/chart" uri="{C3380CC4-5D6E-409C-BE32-E72D297353CC}">
              <c16:uniqueId val="{00000003-10E1-4ECA-9D63-69246095BE0D}"/>
            </c:ext>
          </c:extLst>
        </c:ser>
        <c:dLbls>
          <c:showLegendKey val="0"/>
          <c:showVal val="0"/>
          <c:showCatName val="0"/>
          <c:showSerName val="0"/>
          <c:showPercent val="0"/>
          <c:showBubbleSize val="0"/>
        </c:dLbls>
        <c:smooth val="0"/>
        <c:axId val="457954768"/>
        <c:axId val="457957168"/>
      </c:lineChart>
      <c:catAx>
        <c:axId val="45795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57168"/>
        <c:crosses val="autoZero"/>
        <c:auto val="1"/>
        <c:lblAlgn val="ctr"/>
        <c:lblOffset val="100"/>
        <c:noMultiLvlLbl val="0"/>
      </c:catAx>
      <c:valAx>
        <c:axId val="457957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95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'AGS Stats'!$W$75</c:f>
              <c:strCache>
                <c:ptCount val="1"/>
                <c:pt idx="0">
                  <c:v>Wagering</c:v>
                </c:pt>
              </c:strCache>
            </c:strRef>
          </c:tx>
          <c:spPr>
            <a:ln w="19050" cap="rnd">
              <a:solidFill>
                <a:schemeClr val="tx2"/>
              </a:solidFill>
              <a:round/>
            </a:ln>
            <a:effectLst/>
          </c:spPr>
          <c:marker>
            <c:symbol val="none"/>
          </c:marker>
          <c:dLbls>
            <c:dLbl>
              <c:idx val="23"/>
              <c:tx>
                <c:rich>
                  <a:bodyPr/>
                  <a:lstStyle/>
                  <a:p>
                    <a:r>
                      <a:rPr lang="en-US"/>
                      <a:t>$257</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79E-42DC-9805-88B6B53C6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'AGS Stats'!$C$77:$C$105</c15:sqref>
                  </c15:fullRef>
                </c:ext>
              </c:extLst>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Stats'!$W$77:$W$105</c15:sqref>
                  </c15:fullRef>
                </c:ext>
              </c:extLst>
              <c:f>('AGS Stats'!$W$77:$W$100,'AGS Stats'!$W$103:$W$105)</c:f>
              <c:numCache>
                <c:formatCode>0.00</c:formatCode>
                <c:ptCount val="27"/>
                <c:pt idx="0">
                  <c:v>1</c:v>
                </c:pt>
                <c:pt idx="1">
                  <c:v>1.0026962987172154</c:v>
                </c:pt>
                <c:pt idx="2">
                  <c:v>0.98463926791404532</c:v>
                </c:pt>
                <c:pt idx="3">
                  <c:v>1.0223533035240135</c:v>
                </c:pt>
                <c:pt idx="4">
                  <c:v>1.0179165216914863</c:v>
                </c:pt>
                <c:pt idx="5">
                  <c:v>1.042828667390465</c:v>
                </c:pt>
                <c:pt idx="6">
                  <c:v>1.0940215231165373</c:v>
                </c:pt>
                <c:pt idx="7">
                  <c:v>1.1388711940089795</c:v>
                </c:pt>
                <c:pt idx="8">
                  <c:v>1.182530332947749</c:v>
                </c:pt>
                <c:pt idx="9">
                  <c:v>1.2361746357780947</c:v>
                </c:pt>
                <c:pt idx="10">
                  <c:v>1.2529383064516464</c:v>
                </c:pt>
                <c:pt idx="11">
                  <c:v>1.3311173395097311</c:v>
                </c:pt>
                <c:pt idx="12">
                  <c:v>1.3157974340088734</c:v>
                </c:pt>
                <c:pt idx="13">
                  <c:v>1.4015833406350109</c:v>
                </c:pt>
                <c:pt idx="14">
                  <c:v>1.4283931257047144</c:v>
                </c:pt>
                <c:pt idx="15">
                  <c:v>1.4416677244472342</c:v>
                </c:pt>
                <c:pt idx="16">
                  <c:v>1.5287773486098619</c:v>
                </c:pt>
                <c:pt idx="17">
                  <c:v>1.5430485108663861</c:v>
                </c:pt>
                <c:pt idx="18">
                  <c:v>1.6008344021923195</c:v>
                </c:pt>
                <c:pt idx="19">
                  <c:v>1.6959985074912411</c:v>
                </c:pt>
                <c:pt idx="20">
                  <c:v>1.765392630057897</c:v>
                </c:pt>
                <c:pt idx="21">
                  <c:v>1.8901121770334994</c:v>
                </c:pt>
                <c:pt idx="22">
                  <c:v>2.0995073192090938</c:v>
                </c:pt>
                <c:pt idx="23">
                  <c:v>2.0996185503867149</c:v>
                </c:pt>
                <c:pt idx="24">
                  <c:v>3.3470230800155485</c:v>
                </c:pt>
                <c:pt idx="25">
                  <c:v>3.3312097993520222</c:v>
                </c:pt>
                <c:pt idx="26">
                  <c:v>3.2552910417556746</c:v>
                </c:pt>
              </c:numCache>
            </c:numRef>
          </c:val>
          <c:smooth val="0"/>
          <c:extLst>
            <c:ext xmlns:c16="http://schemas.microsoft.com/office/drawing/2014/chart" uri="{C3380CC4-5D6E-409C-BE32-E72D297353CC}">
              <c16:uniqueId val="{00000001-A79E-42DC-9805-88B6B53C6CC9}"/>
            </c:ext>
          </c:extLst>
        </c:ser>
        <c:ser>
          <c:idx val="0"/>
          <c:order val="1"/>
          <c:tx>
            <c:strRef>
              <c:f>'AGS Stats'!$T$75</c:f>
              <c:strCache>
                <c:ptCount val="1"/>
                <c:pt idx="0">
                  <c:v>Casino</c:v>
                </c:pt>
              </c:strCache>
            </c:strRef>
          </c:tx>
          <c:spPr>
            <a:ln w="19050" cap="rnd">
              <a:solidFill>
                <a:schemeClr val="bg2"/>
              </a:solidFill>
              <a:round/>
            </a:ln>
            <a:effectLst/>
          </c:spPr>
          <c:marker>
            <c:symbol val="none"/>
          </c:marker>
          <c:dLbls>
            <c:dLbl>
              <c:idx val="23"/>
              <c:tx>
                <c:rich>
                  <a:bodyPr rot="0" spcFirstLastPara="1" vertOverflow="ellipsis" vert="horz" wrap="square" lIns="38100" tIns="19050" rIns="38100" bIns="19050" anchor="ctr" anchorCtr="1">
                    <a:spAutoFit/>
                  </a:bodyPr>
                  <a:lstStyle/>
                  <a:p>
                    <a:pPr>
                      <a:defRPr sz="1000" b="1" i="0" u="none" strike="noStrike" kern="1200" baseline="0">
                        <a:solidFill>
                          <a:schemeClr val="bg2">
                            <a:lumMod val="75000"/>
                          </a:schemeClr>
                        </a:solidFill>
                        <a:latin typeface="+mn-lt"/>
                        <a:ea typeface="+mn-ea"/>
                        <a:cs typeface="+mn-cs"/>
                      </a:defRPr>
                    </a:pPr>
                    <a:r>
                      <a:rPr lang="en-US" b="1">
                        <a:solidFill>
                          <a:schemeClr val="bg2">
                            <a:lumMod val="75000"/>
                          </a:schemeClr>
                        </a:solidFill>
                      </a:rPr>
                      <a:t>$248</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79E-42DC-9805-88B6B53C6CC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'AGS Stats'!$C$77:$C$105</c15:sqref>
                  </c15:fullRef>
                </c:ext>
              </c:extLst>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Stats'!$T$77:$T$105</c15:sqref>
                  </c15:fullRef>
                </c:ext>
              </c:extLst>
              <c:f>('AGS Stats'!$T$77:$T$100,'AGS Stats'!$T$103:$T$105)</c:f>
              <c:numCache>
                <c:formatCode>0.00</c:formatCode>
                <c:ptCount val="27"/>
                <c:pt idx="0">
                  <c:v>1</c:v>
                </c:pt>
                <c:pt idx="1">
                  <c:v>1.0731146080760094</c:v>
                </c:pt>
                <c:pt idx="2">
                  <c:v>1.1978176959619953</c:v>
                </c:pt>
                <c:pt idx="3">
                  <c:v>1.1624480796350061</c:v>
                </c:pt>
                <c:pt idx="4">
                  <c:v>1.235421572899243</c:v>
                </c:pt>
                <c:pt idx="5">
                  <c:v>1.3108964301439803</c:v>
                </c:pt>
                <c:pt idx="6">
                  <c:v>1.291645153270977</c:v>
                </c:pt>
                <c:pt idx="7">
                  <c:v>1.2791423819024792</c:v>
                </c:pt>
                <c:pt idx="8">
                  <c:v>1.3306145159242873</c:v>
                </c:pt>
                <c:pt idx="9">
                  <c:v>1.2837173104655433</c:v>
                </c:pt>
                <c:pt idx="10">
                  <c:v>1.4047959791228102</c:v>
                </c:pt>
                <c:pt idx="11">
                  <c:v>1.4522546775094864</c:v>
                </c:pt>
                <c:pt idx="12">
                  <c:v>1.4793884408848279</c:v>
                </c:pt>
                <c:pt idx="13">
                  <c:v>1.5592894850516552</c:v>
                </c:pt>
                <c:pt idx="14">
                  <c:v>1.5529571075537485</c:v>
                </c:pt>
                <c:pt idx="15">
                  <c:v>1.6026338162885911</c:v>
                </c:pt>
                <c:pt idx="16">
                  <c:v>1.7404022084582615</c:v>
                </c:pt>
                <c:pt idx="17">
                  <c:v>1.7247135413083208</c:v>
                </c:pt>
                <c:pt idx="18">
                  <c:v>1.8063509901613792</c:v>
                </c:pt>
                <c:pt idx="19">
                  <c:v>2.0969041135385909</c:v>
                </c:pt>
                <c:pt idx="20">
                  <c:v>2.0727473938548768</c:v>
                </c:pt>
                <c:pt idx="21">
                  <c:v>1.8791762508868839</c:v>
                </c:pt>
                <c:pt idx="22">
                  <c:v>1.9666727453677775</c:v>
                </c:pt>
                <c:pt idx="23">
                  <c:v>1.8428887032860599</c:v>
                </c:pt>
                <c:pt idx="24">
                  <c:v>1.04129381662932</c:v>
                </c:pt>
                <c:pt idx="25">
                  <c:v>1.3008060386183491</c:v>
                </c:pt>
                <c:pt idx="26">
                  <c:v>1.2157715643297433</c:v>
                </c:pt>
              </c:numCache>
            </c:numRef>
          </c:val>
          <c:smooth val="0"/>
          <c:extLst>
            <c:ext xmlns:c16="http://schemas.microsoft.com/office/drawing/2014/chart" uri="{C3380CC4-5D6E-409C-BE32-E72D297353CC}">
              <c16:uniqueId val="{00000003-A79E-42DC-9805-88B6B53C6CC9}"/>
            </c:ext>
          </c:extLst>
        </c:ser>
        <c:ser>
          <c:idx val="1"/>
          <c:order val="2"/>
          <c:tx>
            <c:strRef>
              <c:f>'AGS Stats'!$G$76</c:f>
              <c:strCache>
                <c:ptCount val="1"/>
                <c:pt idx="0">
                  <c:v>Gaming Machines</c:v>
                </c:pt>
              </c:strCache>
            </c:strRef>
          </c:tx>
          <c:spPr>
            <a:ln w="19050" cap="rnd">
              <a:solidFill>
                <a:schemeClr val="accent1"/>
              </a:solidFill>
              <a:round/>
            </a:ln>
            <a:effectLst/>
          </c:spPr>
          <c:marker>
            <c:symbol val="none"/>
          </c:marker>
          <c:dLbls>
            <c:dLbl>
              <c:idx val="23"/>
              <c:tx>
                <c:rich>
                  <a:bodyPr/>
                  <a:lstStyle/>
                  <a:p>
                    <a:r>
                      <a:rPr lang="en-US"/>
                      <a:t>$650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79E-42DC-9805-88B6B53C6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'AGS Stats'!$C$77:$C$105</c15:sqref>
                  </c15:fullRef>
                </c:ext>
              </c:extLst>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Stats'!$U$77:$U$105</c15:sqref>
                  </c15:fullRef>
                </c:ext>
              </c:extLst>
              <c:f>('AGS Stats'!$U$77:$U$100,'AGS Stats'!$U$103:$U$105)</c:f>
              <c:numCache>
                <c:formatCode>0.00</c:formatCode>
                <c:ptCount val="27"/>
                <c:pt idx="0">
                  <c:v>1</c:v>
                </c:pt>
                <c:pt idx="1">
                  <c:v>1.079017698063903</c:v>
                </c:pt>
                <c:pt idx="2">
                  <c:v>1.2597398740943107</c:v>
                </c:pt>
                <c:pt idx="3">
                  <c:v>1.452739671490483</c:v>
                </c:pt>
                <c:pt idx="4">
                  <c:v>1.6012091762044482</c:v>
                </c:pt>
                <c:pt idx="5">
                  <c:v>1.7154608838551462</c:v>
                </c:pt>
                <c:pt idx="6">
                  <c:v>1.8114608556656491</c:v>
                </c:pt>
                <c:pt idx="7">
                  <c:v>1.8174126842672556</c:v>
                </c:pt>
                <c:pt idx="8">
                  <c:v>1.8846422026330176</c:v>
                </c:pt>
                <c:pt idx="9">
                  <c:v>1.964867066945712</c:v>
                </c:pt>
                <c:pt idx="10">
                  <c:v>1.9900780009827741</c:v>
                </c:pt>
                <c:pt idx="11">
                  <c:v>1.9920893707507514</c:v>
                </c:pt>
                <c:pt idx="12">
                  <c:v>1.8771076644557252</c:v>
                </c:pt>
                <c:pt idx="13">
                  <c:v>1.8856894754133151</c:v>
                </c:pt>
                <c:pt idx="14">
                  <c:v>1.8043496678397106</c:v>
                </c:pt>
                <c:pt idx="15">
                  <c:v>1.8438467059368808</c:v>
                </c:pt>
                <c:pt idx="16">
                  <c:v>1.8614732166387962</c:v>
                </c:pt>
                <c:pt idx="17">
                  <c:v>1.8135998520978442</c:v>
                </c:pt>
                <c:pt idx="18">
                  <c:v>1.819823794840759</c:v>
                </c:pt>
                <c:pt idx="19">
                  <c:v>1.8788149243102419</c:v>
                </c:pt>
                <c:pt idx="20">
                  <c:v>1.927276938918574</c:v>
                </c:pt>
                <c:pt idx="21">
                  <c:v>1.9046877498094639</c:v>
                </c:pt>
                <c:pt idx="22">
                  <c:v>1.9312693150480789</c:v>
                </c:pt>
                <c:pt idx="23">
                  <c:v>1.9292135031968256</c:v>
                </c:pt>
                <c:pt idx="24">
                  <c:v>1.8885706193822691</c:v>
                </c:pt>
                <c:pt idx="25">
                  <c:v>2.2714208758200587</c:v>
                </c:pt>
                <c:pt idx="26">
                  <c:v>2.2868798250901179</c:v>
                </c:pt>
              </c:numCache>
            </c:numRef>
          </c:val>
          <c:smooth val="0"/>
          <c:extLst>
            <c:ext xmlns:c16="http://schemas.microsoft.com/office/drawing/2014/chart" uri="{C3380CC4-5D6E-409C-BE32-E72D297353CC}">
              <c16:uniqueId val="{00000005-A79E-42DC-9805-88B6B53C6CC9}"/>
            </c:ext>
          </c:extLst>
        </c:ser>
        <c:ser>
          <c:idx val="2"/>
          <c:order val="3"/>
          <c:tx>
            <c:strRef>
              <c:f>'AGS Stats'!$V$75</c:f>
              <c:strCache>
                <c:ptCount val="1"/>
                <c:pt idx="0">
                  <c:v>Lotteries</c:v>
                </c:pt>
              </c:strCache>
            </c:strRef>
          </c:tx>
          <c:spPr>
            <a:ln w="19050" cap="rnd">
              <a:solidFill>
                <a:schemeClr val="accent2"/>
              </a:solidFill>
              <a:round/>
            </a:ln>
            <a:effectLst/>
          </c:spPr>
          <c:marker>
            <c:symbol val="none"/>
          </c:marker>
          <c:dLbls>
            <c:dLbl>
              <c:idx val="23"/>
              <c:tx>
                <c:rich>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r>
                      <a:rPr lang="en-US" b="1"/>
                      <a:t>$132</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79E-42DC-9805-88B6B53C6CC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'AGS Stats'!$C$77:$C$105</c15:sqref>
                  </c15:fullRef>
                </c:ext>
              </c:extLst>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FY22</c:v>
                </c:pt>
                <c:pt idx="25">
                  <c:v>FY23</c:v>
                </c:pt>
                <c:pt idx="26">
                  <c:v>FY24</c:v>
                </c:pt>
              </c:strCache>
            </c:strRef>
          </c:cat>
          <c:val>
            <c:numRef>
              <c:extLst>
                <c:ext xmlns:c15="http://schemas.microsoft.com/office/drawing/2012/chart" uri="{02D57815-91ED-43cb-92C2-25804820EDAC}">
                  <c15:fullRef>
                    <c15:sqref>'AGS Stats'!$V$77:$V$105</c15:sqref>
                  </c15:fullRef>
                </c:ext>
              </c:extLst>
              <c:f>('AGS Stats'!$V$77:$V$100,'AGS Stats'!$V$103:$V$105)</c:f>
              <c:numCache>
                <c:formatCode>0.00</c:formatCode>
                <c:ptCount val="27"/>
                <c:pt idx="0">
                  <c:v>1</c:v>
                </c:pt>
                <c:pt idx="1">
                  <c:v>0.96326297775242442</c:v>
                </c:pt>
                <c:pt idx="2">
                  <c:v>1.0004563605248145</c:v>
                </c:pt>
                <c:pt idx="3">
                  <c:v>1.056485968711677</c:v>
                </c:pt>
                <c:pt idx="4">
                  <c:v>1.0501688918505443</c:v>
                </c:pt>
                <c:pt idx="5">
                  <c:v>1.1306544696768202</c:v>
                </c:pt>
                <c:pt idx="6">
                  <c:v>1.1238983601859829</c:v>
                </c:pt>
                <c:pt idx="7">
                  <c:v>1.2001582814419964</c:v>
                </c:pt>
                <c:pt idx="8">
                  <c:v>1.2141995611421676</c:v>
                </c:pt>
                <c:pt idx="9">
                  <c:v>1.2165569117201596</c:v>
                </c:pt>
                <c:pt idx="10">
                  <c:v>1.2394668189339075</c:v>
                </c:pt>
                <c:pt idx="11">
                  <c:v>1.2658042631706674</c:v>
                </c:pt>
                <c:pt idx="12">
                  <c:v>1.3143253534774444</c:v>
                </c:pt>
                <c:pt idx="13">
                  <c:v>1.3813987997112149</c:v>
                </c:pt>
                <c:pt idx="14">
                  <c:v>1.0101591145291227</c:v>
                </c:pt>
                <c:pt idx="15">
                  <c:v>1.183765430320924</c:v>
                </c:pt>
                <c:pt idx="16">
                  <c:v>1.2901431642778549</c:v>
                </c:pt>
                <c:pt idx="17">
                  <c:v>1.3859321121574102</c:v>
                </c:pt>
                <c:pt idx="18">
                  <c:v>1.2355602851682259</c:v>
                </c:pt>
                <c:pt idx="19">
                  <c:v>1.2415645582262749</c:v>
                </c:pt>
                <c:pt idx="20">
                  <c:v>1.3113588598381745</c:v>
                </c:pt>
                <c:pt idx="21">
                  <c:v>1.2079223827276098</c:v>
                </c:pt>
                <c:pt idx="22">
                  <c:v>1.241786589635425</c:v>
                </c:pt>
                <c:pt idx="23">
                  <c:v>1.505938484834866</c:v>
                </c:pt>
                <c:pt idx="24">
                  <c:v>1.7769054285873587</c:v>
                </c:pt>
                <c:pt idx="25">
                  <c:v>1.7208326604218711</c:v>
                </c:pt>
                <c:pt idx="26">
                  <c:v>1.874987794329823</c:v>
                </c:pt>
              </c:numCache>
            </c:numRef>
          </c:val>
          <c:smooth val="0"/>
          <c:extLst>
            <c:ext xmlns:c16="http://schemas.microsoft.com/office/drawing/2014/chart" uri="{C3380CC4-5D6E-409C-BE32-E72D297353CC}">
              <c16:uniqueId val="{00000007-A79E-42DC-9805-88B6B53C6CC9}"/>
            </c:ext>
          </c:extLst>
        </c:ser>
        <c:ser>
          <c:idx val="4"/>
          <c:order val="4"/>
          <c:tx>
            <c:strRef>
              <c:f>'AGS Stats'!$Y$75</c:f>
              <c:strCache>
                <c:ptCount val="1"/>
                <c:pt idx="0">
                  <c:v>CPI</c:v>
                </c:pt>
              </c:strCache>
            </c:strRef>
          </c:tx>
          <c:spPr>
            <a:ln w="19050" cap="rnd">
              <a:solidFill>
                <a:srgbClr val="FF0000"/>
              </a:solidFill>
              <a:prstDash val="sysDash"/>
              <a:round/>
            </a:ln>
            <a:effectLst/>
          </c:spPr>
          <c:marker>
            <c:symbol val="none"/>
          </c:marker>
          <c:cat>
            <c:strRef>
              <c:extLst>
                <c:ext xmlns:c15="http://schemas.microsoft.com/office/drawing/2012/chart" uri="{02D57815-91ED-43cb-92C2-25804820EDAC}">
                  <c15:fullRef>
                    <c15:sqref>'AGS Stats'!$C$77:$C$105</c15:sqref>
                  </c15:fullRef>
                </c:ext>
              </c:extLst>
              <c:f>('AGS Stats'!$C$77:$C$100,'AGS Stats'!$C$103:$C$105)</c:f>
              <c:strCache>
                <c:ptCount val="27"/>
                <c:pt idx="0">
                  <c:v>FY96</c:v>
                </c:pt>
                <c:pt idx="1">
                  <c:v>FY97</c:v>
                </c:pt>
                <c:pt idx="2">
                  <c:v>FY98</c:v>
                </c:pt>
                <c:pt idx="3">
                  <c:v>FY99</c:v>
                </c:pt>
                <c:pt idx="4">
                  <c:v>FY00</c:v>
                </c:pt>
                <c:pt idx="5">
                  <c:v>FY01</c:v>
                </c:pt>
                <c:pt idx="6">
                  <c:v>FY02</c:v>
                </c:pt>
                <c:pt idx="7">
                  <c:v>FY03</c:v>
                </c:pt>
                <c:pt idx="8">
                  <c:v>FY04</c:v>
                </c:pt>
                <c:pt idx="9">
                  <c:v>FY05</c:v>
                </c:pt>
                <c:pt idx="10">
                  <c:v>FY06</c:v>
                </c:pt>
                <c:pt idx="11">
                  <c:v>FY07</c:v>
                </c:pt>
                <c:pt idx="12">
                  <c:v>FY08</c:v>
                </c:pt>
                <c:pt idx="13">
                  <c:v>FY09</c:v>
                </c:pt>
                <c:pt idx="14">
                  <c:v>FY10</c:v>
                </c:pt>
                <c:pt idx="15">
                  <c:v>FY11</c:v>
                </c:pt>
                <c:pt idx="16">
                  <c:v>FY12</c:v>
                </c:pt>
                <c:pt idx="17">
                  <c:v>FY13</c:v>
                </c:pt>
                <c:pt idx="18">
                  <c:v>FY14</c:v>
                </c:pt>
                <c:pt idx="19">
                  <c:v>FY15</c:v>
                </c:pt>
                <c:pt idx="20">
                  <c:v>FY16</c:v>
                </c:pt>
                <c:pt idx="21">
                  <c:v>FY17</c:v>
                </c:pt>
                <c:pt idx="22">
                  <c:v>FY18</c:v>
                </c:pt>
                <c:pt idx="23">
                  <c:v>FY19</c:v>
                </c:pt>
                <c:pt idx="24">
                  <c:v>FY20</c:v>
                </c:pt>
                <c:pt idx="25">
                  <c:v>FY21</c:v>
                </c:pt>
                <c:pt idx="26">
                  <c:v>FY22</c:v>
                </c:pt>
                <c:pt idx="27">
                  <c:v>FY23</c:v>
                </c:pt>
                <c:pt idx="28">
                  <c:v>FY24</c:v>
                </c:pt>
              </c:strCache>
            </c:strRef>
          </c:cat>
          <c:val>
            <c:numRef>
              <c:extLst>
                <c:ext xmlns:c15="http://schemas.microsoft.com/office/drawing/2012/chart" uri="{02D57815-91ED-43cb-92C2-25804820EDAC}">
                  <c15:fullRef>
                    <c15:sqref>'AGS Stats'!$Y$77:$Y$100</c15:sqref>
                  </c15:fullRef>
                </c:ext>
              </c:extLst>
              <c:f>'AGS Stats'!$Y$77:$Y$100</c:f>
              <c:numCache>
                <c:formatCode>0.00</c:formatCode>
                <c:ptCount val="24"/>
                <c:pt idx="0">
                  <c:v>1</c:v>
                </c:pt>
                <c:pt idx="1">
                  <c:v>1.0034549773267112</c:v>
                </c:pt>
                <c:pt idx="2">
                  <c:v>1.0101489958972143</c:v>
                </c:pt>
                <c:pt idx="3">
                  <c:v>1.0211617361261065</c:v>
                </c:pt>
                <c:pt idx="4">
                  <c:v>1.0531202763981862</c:v>
                </c:pt>
                <c:pt idx="5">
                  <c:v>1.1170373569423449</c:v>
                </c:pt>
                <c:pt idx="6">
                  <c:v>1.148779961131505</c:v>
                </c:pt>
                <c:pt idx="7">
                  <c:v>1.1794428849060676</c:v>
                </c:pt>
                <c:pt idx="8">
                  <c:v>1.2085942561001943</c:v>
                </c:pt>
                <c:pt idx="9">
                  <c:v>1.2383934355430792</c:v>
                </c:pt>
                <c:pt idx="10">
                  <c:v>1.288058734614554</c:v>
                </c:pt>
                <c:pt idx="11">
                  <c:v>1.3150507449794859</c:v>
                </c:pt>
                <c:pt idx="12">
                  <c:v>1.3740012956164975</c:v>
                </c:pt>
                <c:pt idx="13">
                  <c:v>1.3938674152450874</c:v>
                </c:pt>
                <c:pt idx="14">
                  <c:v>1.4364068235802201</c:v>
                </c:pt>
                <c:pt idx="15">
                  <c:v>1.4884474195638091</c:v>
                </c:pt>
                <c:pt idx="16">
                  <c:v>1.5059382422802849</c:v>
                </c:pt>
                <c:pt idx="17">
                  <c:v>1.5413517598790756</c:v>
                </c:pt>
                <c:pt idx="18">
                  <c:v>1.5886417620384363</c:v>
                </c:pt>
                <c:pt idx="19">
                  <c:v>1.6128266033254155</c:v>
                </c:pt>
                <c:pt idx="20">
                  <c:v>1.6292377456272944</c:v>
                </c:pt>
                <c:pt idx="21">
                  <c:v>1.6601166054847762</c:v>
                </c:pt>
                <c:pt idx="22">
                  <c:v>1.6948823148348087</c:v>
                </c:pt>
                <c:pt idx="23">
                  <c:v>1.7210105808680631</c:v>
                </c:pt>
              </c:numCache>
            </c:numRef>
          </c:val>
          <c:smooth val="0"/>
          <c:extLst>
            <c:ext xmlns:c16="http://schemas.microsoft.com/office/drawing/2014/chart" uri="{C3380CC4-5D6E-409C-BE32-E72D297353CC}">
              <c16:uniqueId val="{00000008-A79E-42DC-9805-88B6B53C6CC9}"/>
            </c:ext>
          </c:extLst>
        </c:ser>
        <c:dLbls>
          <c:showLegendKey val="0"/>
          <c:showVal val="0"/>
          <c:showCatName val="0"/>
          <c:showSerName val="0"/>
          <c:showPercent val="0"/>
          <c:showBubbleSize val="0"/>
        </c:dLbls>
        <c:smooth val="0"/>
        <c:axId val="376400096"/>
        <c:axId val="376399616"/>
      </c:lineChart>
      <c:catAx>
        <c:axId val="376400096"/>
        <c:scaling>
          <c:orientation val="minMax"/>
          <c:min val="1"/>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6399616"/>
        <c:crossesAt val="1"/>
        <c:auto val="1"/>
        <c:lblAlgn val="ctr"/>
        <c:lblOffset val="100"/>
        <c:tickLblSkip val="1"/>
        <c:noMultiLvlLbl val="0"/>
      </c:catAx>
      <c:valAx>
        <c:axId val="376399616"/>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6400096"/>
        <c:crosses val="autoZero"/>
        <c:crossBetween val="between"/>
      </c:valAx>
      <c:spPr>
        <a:noFill/>
        <a:ln>
          <a:noFill/>
        </a:ln>
        <a:effectLst/>
      </c:spPr>
    </c:plotArea>
    <c:legend>
      <c:legendPos val="b"/>
      <c:layout>
        <c:manualLayout>
          <c:xMode val="edge"/>
          <c:yMode val="edge"/>
          <c:x val="0.14844893162393163"/>
          <c:y val="0.82067500000000004"/>
          <c:w val="0.8496403846153846"/>
          <c:h val="0.1528666666666666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landscape"/>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strRef>
              <c:f>'AGS Stats'!$AH$156</c:f>
              <c:strCache>
                <c:ptCount val="1"/>
                <c:pt idx="0">
                  <c:v>Wagering</c:v>
                </c:pt>
              </c:strCache>
            </c:strRef>
          </c:tx>
          <c:spPr>
            <a:ln w="19050" cap="rnd">
              <a:solidFill>
                <a:schemeClr val="tx2"/>
              </a:solidFill>
              <a:round/>
            </a:ln>
            <a:effectLst/>
          </c:spPr>
          <c:marker>
            <c:symbol val="none"/>
          </c:marker>
          <c:cat>
            <c:strRef>
              <c:f>'AGS Stats'!$B$157:$B$184</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Stats'!$BC$157:$BC$184</c:f>
              <c:numCache>
                <c:formatCode>#,##0.00</c:formatCode>
                <c:ptCount val="28"/>
                <c:pt idx="0">
                  <c:v>1</c:v>
                </c:pt>
                <c:pt idx="1">
                  <c:v>0.99538911956762965</c:v>
                </c:pt>
                <c:pt idx="2">
                  <c:v>1.0189215819986881</c:v>
                </c:pt>
                <c:pt idx="3">
                  <c:v>1.0694192714304456</c:v>
                </c:pt>
                <c:pt idx="4">
                  <c:v>1.1130263246001211</c:v>
                </c:pt>
                <c:pt idx="5">
                  <c:v>1.1563316472559662</c:v>
                </c:pt>
                <c:pt idx="6">
                  <c:v>1.2082204776719159</c:v>
                </c:pt>
                <c:pt idx="7">
                  <c:v>1.2240052523427272</c:v>
                </c:pt>
                <c:pt idx="8">
                  <c:v>1.2974234240150908</c:v>
                </c:pt>
                <c:pt idx="9">
                  <c:v>1.2809742854191144</c:v>
                </c:pt>
                <c:pt idx="10">
                  <c:v>1.3639894203142766</c:v>
                </c:pt>
                <c:pt idx="11">
                  <c:v>1.3940646169847148</c:v>
                </c:pt>
                <c:pt idx="12">
                  <c:v>1.4081271094623766</c:v>
                </c:pt>
                <c:pt idx="13">
                  <c:v>1.4913819677858013</c:v>
                </c:pt>
                <c:pt idx="14">
                  <c:v>1.5053560103646144</c:v>
                </c:pt>
                <c:pt idx="15">
                  <c:v>1.5636783306400508</c:v>
                </c:pt>
                <c:pt idx="16">
                  <c:v>1.657198161100532</c:v>
                </c:pt>
                <c:pt idx="17">
                  <c:v>1.7243229803314897</c:v>
                </c:pt>
                <c:pt idx="18">
                  <c:v>1.8444104236939127</c:v>
                </c:pt>
                <c:pt idx="19">
                  <c:v>2.0498326568109326</c:v>
                </c:pt>
                <c:pt idx="20">
                  <c:v>2.050165391889132</c:v>
                </c:pt>
                <c:pt idx="21">
                  <c:v>1.842176530423475</c:v>
                </c:pt>
                <c:pt idx="22">
                  <c:v>2.3236456314862006</c:v>
                </c:pt>
                <c:pt idx="23">
                  <c:v>3.2719740412670677</c:v>
                </c:pt>
                <c:pt idx="24">
                  <c:v>3.2327915733584969</c:v>
                </c:pt>
                <c:pt idx="25">
                  <c:v>3.16842789230413</c:v>
                </c:pt>
                <c:pt idx="26">
                  <c:v>3.064716701688611</c:v>
                </c:pt>
                <c:pt idx="27">
                  <c:v>2.9892310686420935</c:v>
                </c:pt>
              </c:numCache>
            </c:numRef>
          </c:val>
          <c:smooth val="0"/>
          <c:extLst>
            <c:ext xmlns:c16="http://schemas.microsoft.com/office/drawing/2014/chart" uri="{C3380CC4-5D6E-409C-BE32-E72D297353CC}">
              <c16:uniqueId val="{00000007-31FE-46BC-942B-2D64543C588E}"/>
            </c:ext>
          </c:extLst>
        </c:ser>
        <c:ser>
          <c:idx val="0"/>
          <c:order val="1"/>
          <c:tx>
            <c:strRef>
              <c:f>'AGS Stats'!$AE$156</c:f>
              <c:strCache>
                <c:ptCount val="1"/>
                <c:pt idx="0">
                  <c:v>Casino</c:v>
                </c:pt>
              </c:strCache>
            </c:strRef>
          </c:tx>
          <c:spPr>
            <a:ln w="19050" cap="rnd">
              <a:solidFill>
                <a:schemeClr val="bg2"/>
              </a:solidFill>
              <a:round/>
            </a:ln>
            <a:effectLst/>
          </c:spPr>
          <c:marker>
            <c:symbol val="none"/>
          </c:marker>
          <c:cat>
            <c:strRef>
              <c:f>'AGS Stats'!$B$157:$B$184</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Stats'!$AZ$157:$AZ$184</c:f>
              <c:numCache>
                <c:formatCode>#,##0.00</c:formatCode>
                <c:ptCount val="28"/>
                <c:pt idx="0">
                  <c:v>1</c:v>
                </c:pt>
                <c:pt idx="1">
                  <c:v>1.0624863195122052</c:v>
                </c:pt>
                <c:pt idx="2">
                  <c:v>1.126480351168262</c:v>
                </c:pt>
                <c:pt idx="3">
                  <c:v>1.1104341227499925</c:v>
                </c:pt>
                <c:pt idx="4">
                  <c:v>1.099454235815009</c:v>
                </c:pt>
                <c:pt idx="5">
                  <c:v>1.1443261420994515</c:v>
                </c:pt>
                <c:pt idx="6">
                  <c:v>1.1034767868845694</c:v>
                </c:pt>
                <c:pt idx="7">
                  <c:v>1.2069639258687341</c:v>
                </c:pt>
                <c:pt idx="8">
                  <c:v>1.2449032996524527</c:v>
                </c:pt>
                <c:pt idx="9">
                  <c:v>1.2666628634414592</c:v>
                </c:pt>
                <c:pt idx="10">
                  <c:v>1.3345850805651023</c:v>
                </c:pt>
                <c:pt idx="11">
                  <c:v>1.3329751526740883</c:v>
                </c:pt>
                <c:pt idx="12">
                  <c:v>1.376697191781858</c:v>
                </c:pt>
                <c:pt idx="13">
                  <c:v>1.493212835633176</c:v>
                </c:pt>
                <c:pt idx="14">
                  <c:v>1.4798035150296469</c:v>
                </c:pt>
                <c:pt idx="15">
                  <c:v>1.5517815741788568</c:v>
                </c:pt>
                <c:pt idx="16">
                  <c:v>1.8020008393278375</c:v>
                </c:pt>
                <c:pt idx="17">
                  <c:v>1.7805375007202151</c:v>
                </c:pt>
                <c:pt idx="18">
                  <c:v>1.6127421749628887</c:v>
                </c:pt>
                <c:pt idx="19">
                  <c:v>1.6887313054819231</c:v>
                </c:pt>
                <c:pt idx="20">
                  <c:v>1.5826141524628452</c:v>
                </c:pt>
                <c:pt idx="21">
                  <c:v>1.1285906293184478</c:v>
                </c:pt>
                <c:pt idx="22">
                  <c:v>0.87517069328002262</c:v>
                </c:pt>
                <c:pt idx="23">
                  <c:v>0.8952655480229007</c:v>
                </c:pt>
                <c:pt idx="24">
                  <c:v>1.1102370204728835</c:v>
                </c:pt>
                <c:pt idx="25">
                  <c:v>1.0407188636810096</c:v>
                </c:pt>
                <c:pt idx="26">
                  <c:v>0.9805157086312648</c:v>
                </c:pt>
                <c:pt idx="27">
                  <c:v>0.96684116447523027</c:v>
                </c:pt>
              </c:numCache>
            </c:numRef>
          </c:val>
          <c:smooth val="0"/>
          <c:extLst>
            <c:ext xmlns:c16="http://schemas.microsoft.com/office/drawing/2014/chart" uri="{C3380CC4-5D6E-409C-BE32-E72D297353CC}">
              <c16:uniqueId val="{0000000A-31FE-46BC-942B-2D64543C588E}"/>
            </c:ext>
          </c:extLst>
        </c:ser>
        <c:ser>
          <c:idx val="1"/>
          <c:order val="2"/>
          <c:tx>
            <c:strRef>
              <c:f>'AGS Stats'!$AF$156</c:f>
              <c:strCache>
                <c:ptCount val="1"/>
                <c:pt idx="0">
                  <c:v>Gaming Machines</c:v>
                </c:pt>
              </c:strCache>
            </c:strRef>
          </c:tx>
          <c:spPr>
            <a:ln w="19050" cap="rnd">
              <a:solidFill>
                <a:schemeClr val="accent1"/>
              </a:solidFill>
              <a:round/>
            </a:ln>
            <a:effectLst/>
          </c:spPr>
          <c:marker>
            <c:symbol val="none"/>
          </c:marker>
          <c:cat>
            <c:strRef>
              <c:f>'AGS Stats'!$B$157:$B$184</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Stats'!$BA$157:$BA$184</c:f>
              <c:numCache>
                <c:formatCode>#,##0.00</c:formatCode>
                <c:ptCount val="28"/>
                <c:pt idx="0">
                  <c:v>1</c:v>
                </c:pt>
                <c:pt idx="1">
                  <c:v>1.1018995465606127</c:v>
                </c:pt>
                <c:pt idx="2">
                  <c:v>1.1795648641752137</c:v>
                </c:pt>
                <c:pt idx="3">
                  <c:v>1.2461327265193183</c:v>
                </c:pt>
                <c:pt idx="4">
                  <c:v>1.2499642467099661</c:v>
                </c:pt>
                <c:pt idx="5">
                  <c:v>1.2969171776572819</c:v>
                </c:pt>
                <c:pt idx="6">
                  <c:v>1.3514897166433781</c:v>
                </c:pt>
                <c:pt idx="7">
                  <c:v>1.3681600384186168</c:v>
                </c:pt>
                <c:pt idx="8">
                  <c:v>1.3664301002127646</c:v>
                </c:pt>
                <c:pt idx="9">
                  <c:v>1.2860379005691533</c:v>
                </c:pt>
                <c:pt idx="10">
                  <c:v>1.2914436474791935</c:v>
                </c:pt>
                <c:pt idx="11">
                  <c:v>1.2392789278685907</c:v>
                </c:pt>
                <c:pt idx="12">
                  <c:v>1.2674029216356839</c:v>
                </c:pt>
                <c:pt idx="13">
                  <c:v>1.2779523135689241</c:v>
                </c:pt>
                <c:pt idx="14">
                  <c:v>1.2451289219270212</c:v>
                </c:pt>
                <c:pt idx="15">
                  <c:v>1.2509603841121888</c:v>
                </c:pt>
                <c:pt idx="16">
                  <c:v>1.2919514287184315</c:v>
                </c:pt>
                <c:pt idx="17">
                  <c:v>1.3247521712627308</c:v>
                </c:pt>
                <c:pt idx="18">
                  <c:v>1.3079977133106901</c:v>
                </c:pt>
                <c:pt idx="19">
                  <c:v>1.3269576523349067</c:v>
                </c:pt>
                <c:pt idx="20">
                  <c:v>1.3256900545500627</c:v>
                </c:pt>
                <c:pt idx="21">
                  <c:v>1.0483803922579806</c:v>
                </c:pt>
                <c:pt idx="22">
                  <c:v>1.2507385177411665</c:v>
                </c:pt>
                <c:pt idx="23">
                  <c:v>1.2992645218676728</c:v>
                </c:pt>
                <c:pt idx="24">
                  <c:v>1.5512669545690649</c:v>
                </c:pt>
                <c:pt idx="25">
                  <c:v>1.5664284276273301</c:v>
                </c:pt>
                <c:pt idx="26">
                  <c:v>1.6459044165814452</c:v>
                </c:pt>
                <c:pt idx="27">
                  <c:v>1.7610366467068472</c:v>
                </c:pt>
              </c:numCache>
            </c:numRef>
          </c:val>
          <c:smooth val="0"/>
          <c:extLst>
            <c:ext xmlns:c16="http://schemas.microsoft.com/office/drawing/2014/chart" uri="{C3380CC4-5D6E-409C-BE32-E72D297353CC}">
              <c16:uniqueId val="{0000000D-31FE-46BC-942B-2D64543C588E}"/>
            </c:ext>
          </c:extLst>
        </c:ser>
        <c:ser>
          <c:idx val="2"/>
          <c:order val="3"/>
          <c:tx>
            <c:strRef>
              <c:f>'AGS Stats'!$AG$156</c:f>
              <c:strCache>
                <c:ptCount val="1"/>
                <c:pt idx="0">
                  <c:v>Lotteries</c:v>
                </c:pt>
              </c:strCache>
            </c:strRef>
          </c:tx>
          <c:spPr>
            <a:ln w="19050" cap="rnd">
              <a:solidFill>
                <a:schemeClr val="accent2"/>
              </a:solidFill>
              <a:round/>
            </a:ln>
            <a:effectLst/>
          </c:spPr>
          <c:marker>
            <c:symbol val="none"/>
          </c:marker>
          <c:cat>
            <c:strRef>
              <c:f>'AGS Stats'!$B$157:$B$184</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Stats'!$BB$157:$BB$184</c:f>
              <c:numCache>
                <c:formatCode>#,##0.00</c:formatCode>
                <c:ptCount val="28"/>
                <c:pt idx="0">
                  <c:v>1</c:v>
                </c:pt>
                <c:pt idx="1">
                  <c:v>0.99375001086873938</c:v>
                </c:pt>
                <c:pt idx="2">
                  <c:v>1.0690425094377476</c:v>
                </c:pt>
                <c:pt idx="3">
                  <c:v>1.0631301838540375</c:v>
                </c:pt>
                <c:pt idx="4">
                  <c:v>1.1350281305139247</c:v>
                </c:pt>
                <c:pt idx="5">
                  <c:v>1.1489403054218095</c:v>
                </c:pt>
                <c:pt idx="6">
                  <c:v>1.1506309864806161</c:v>
                </c:pt>
                <c:pt idx="7">
                  <c:v>1.1717252000705125</c:v>
                </c:pt>
                <c:pt idx="8">
                  <c:v>1.1939034824502204</c:v>
                </c:pt>
                <c:pt idx="9">
                  <c:v>1.2382020915476033</c:v>
                </c:pt>
                <c:pt idx="10">
                  <c:v>1.3009134997009362</c:v>
                </c:pt>
                <c:pt idx="11">
                  <c:v>0.954030393991945</c:v>
                </c:pt>
                <c:pt idx="12">
                  <c:v>1.1188699452820419</c:v>
                </c:pt>
                <c:pt idx="13">
                  <c:v>1.2179229809868686</c:v>
                </c:pt>
                <c:pt idx="14">
                  <c:v>1.3083949818450218</c:v>
                </c:pt>
                <c:pt idx="15">
                  <c:v>1.1678907544492003</c:v>
                </c:pt>
                <c:pt idx="16">
                  <c:v>1.1739660962535445</c:v>
                </c:pt>
                <c:pt idx="17">
                  <c:v>1.239470323204616</c:v>
                </c:pt>
                <c:pt idx="18">
                  <c:v>1.1406339342317238</c:v>
                </c:pt>
                <c:pt idx="19">
                  <c:v>1.1732356511129058</c:v>
                </c:pt>
                <c:pt idx="20">
                  <c:v>1.4229610091363918</c:v>
                </c:pt>
                <c:pt idx="21">
                  <c:v>1.4251840787030183</c:v>
                </c:pt>
                <c:pt idx="22">
                  <c:v>1.5394487014672356</c:v>
                </c:pt>
                <c:pt idx="23">
                  <c:v>1.6809419963084664</c:v>
                </c:pt>
                <c:pt idx="24">
                  <c:v>1.6160382328585523</c:v>
                </c:pt>
                <c:pt idx="25">
                  <c:v>1.7659960213812005</c:v>
                </c:pt>
                <c:pt idx="26">
                  <c:v>1.5781249641601789</c:v>
                </c:pt>
                <c:pt idx="27">
                  <c:v>1.5237068619477592</c:v>
                </c:pt>
              </c:numCache>
            </c:numRef>
          </c:val>
          <c:smooth val="0"/>
          <c:extLst>
            <c:ext xmlns:c16="http://schemas.microsoft.com/office/drawing/2014/chart" uri="{C3380CC4-5D6E-409C-BE32-E72D297353CC}">
              <c16:uniqueId val="{00000010-31FE-46BC-942B-2D64543C588E}"/>
            </c:ext>
          </c:extLst>
        </c:ser>
        <c:ser>
          <c:idx val="4"/>
          <c:order val="4"/>
          <c:tx>
            <c:strRef>
              <c:f>'AGS Stats'!$AI$156</c:f>
              <c:strCache>
                <c:ptCount val="1"/>
                <c:pt idx="0">
                  <c:v>CPI</c:v>
                </c:pt>
              </c:strCache>
            </c:strRef>
          </c:tx>
          <c:spPr>
            <a:ln w="19050" cap="rnd">
              <a:solidFill>
                <a:schemeClr val="accent4"/>
              </a:solidFill>
              <a:prstDash val="sysDash"/>
              <a:round/>
            </a:ln>
            <a:effectLst/>
          </c:spPr>
          <c:marker>
            <c:symbol val="none"/>
          </c:marker>
          <c:cat>
            <c:strRef>
              <c:f>'AGS Stats'!$B$157:$B$184</c:f>
              <c:strCache>
                <c:ptCount val="28"/>
                <c:pt idx="0">
                  <c:v>FY99A</c:v>
                </c:pt>
                <c:pt idx="1">
                  <c:v>FY00A</c:v>
                </c:pt>
                <c:pt idx="2">
                  <c:v>FY01A</c:v>
                </c:pt>
                <c:pt idx="3">
                  <c:v>FY02A</c:v>
                </c:pt>
                <c:pt idx="4">
                  <c:v>FY03A</c:v>
                </c:pt>
                <c:pt idx="5">
                  <c:v>FY04A</c:v>
                </c:pt>
                <c:pt idx="6">
                  <c:v>FY05A</c:v>
                </c:pt>
                <c:pt idx="7">
                  <c:v>FY06A</c:v>
                </c:pt>
                <c:pt idx="8">
                  <c:v>FY07A</c:v>
                </c:pt>
                <c:pt idx="9">
                  <c:v>FY08A</c:v>
                </c:pt>
                <c:pt idx="10">
                  <c:v>FY09A</c:v>
                </c:pt>
                <c:pt idx="11">
                  <c:v>FY10A</c:v>
                </c:pt>
                <c:pt idx="12">
                  <c:v>FY11A</c:v>
                </c:pt>
                <c:pt idx="13">
                  <c:v>FY12A</c:v>
                </c:pt>
                <c:pt idx="14">
                  <c:v>FY13A</c:v>
                </c:pt>
                <c:pt idx="15">
                  <c:v>FY14A</c:v>
                </c:pt>
                <c:pt idx="16">
                  <c:v>FY15A</c:v>
                </c:pt>
                <c:pt idx="17">
                  <c:v>FY16A</c:v>
                </c:pt>
                <c:pt idx="18">
                  <c:v>FY17A</c:v>
                </c:pt>
                <c:pt idx="19">
                  <c:v>FY18A</c:v>
                </c:pt>
                <c:pt idx="20">
                  <c:v>FY19A</c:v>
                </c:pt>
                <c:pt idx="21">
                  <c:v>FY20A</c:v>
                </c:pt>
                <c:pt idx="22">
                  <c:v>FY21A</c:v>
                </c:pt>
                <c:pt idx="23">
                  <c:v>FY22A</c:v>
                </c:pt>
                <c:pt idx="24">
                  <c:v>FY23A</c:v>
                </c:pt>
                <c:pt idx="25">
                  <c:v>FY24A</c:v>
                </c:pt>
                <c:pt idx="26">
                  <c:v>FY25E</c:v>
                </c:pt>
                <c:pt idx="27">
                  <c:v>FY26E</c:v>
                </c:pt>
              </c:strCache>
            </c:strRef>
          </c:cat>
          <c:val>
            <c:numRef>
              <c:f>'AGS Stats'!$BD$157:$BD$184</c:f>
              <c:numCache>
                <c:formatCode>#,##0.00</c:formatCode>
                <c:ptCount val="28"/>
                <c:pt idx="0">
                  <c:v>1</c:v>
                </c:pt>
                <c:pt idx="1">
                  <c:v>1.0312962571368154</c:v>
                </c:pt>
                <c:pt idx="2">
                  <c:v>1.0938887714104462</c:v>
                </c:pt>
                <c:pt idx="3">
                  <c:v>1.1249735673503913</c:v>
                </c:pt>
                <c:pt idx="4">
                  <c:v>1.1550010573059843</c:v>
                </c:pt>
                <c:pt idx="5">
                  <c:v>1.1835483188834848</c:v>
                </c:pt>
                <c:pt idx="6">
                  <c:v>1.2127299640515965</c:v>
                </c:pt>
                <c:pt idx="7">
                  <c:v>1.2613660393317827</c:v>
                </c:pt>
                <c:pt idx="8">
                  <c:v>1.2877986889405795</c:v>
                </c:pt>
                <c:pt idx="9">
                  <c:v>1.3455275956861916</c:v>
                </c:pt>
                <c:pt idx="10">
                  <c:v>1.3649820257982659</c:v>
                </c:pt>
                <c:pt idx="11">
                  <c:v>1.4066398815817296</c:v>
                </c:pt>
                <c:pt idx="12">
                  <c:v>1.4576020300274901</c:v>
                </c:pt>
                <c:pt idx="13">
                  <c:v>1.4747303869739903</c:v>
                </c:pt>
                <c:pt idx="14">
                  <c:v>1.5094100232607315</c:v>
                </c:pt>
                <c:pt idx="15">
                  <c:v>1.5557200253753436</c:v>
                </c:pt>
                <c:pt idx="16">
                  <c:v>1.5794036794248256</c:v>
                </c:pt>
                <c:pt idx="17">
                  <c:v>1.5954747303869741</c:v>
                </c:pt>
                <c:pt idx="18">
                  <c:v>1.6257136815394375</c:v>
                </c:pt>
                <c:pt idx="19">
                  <c:v>1.6597589342355676</c:v>
                </c:pt>
                <c:pt idx="20">
                  <c:v>1.6853457390568831</c:v>
                </c:pt>
                <c:pt idx="21">
                  <c:v>1.6798477479382534</c:v>
                </c:pt>
                <c:pt idx="22">
                  <c:v>1.7439204905899768</c:v>
                </c:pt>
                <c:pt idx="23">
                  <c:v>1.8521886233876086</c:v>
                </c:pt>
                <c:pt idx="24">
                  <c:v>1.9638401353351662</c:v>
                </c:pt>
                <c:pt idx="25">
                  <c:v>2.0386973990272783</c:v>
                </c:pt>
                <c:pt idx="26">
                  <c:v>2.0814125607950942</c:v>
                </c:pt>
                <c:pt idx="27">
                  <c:v>2.1674772679213365</c:v>
                </c:pt>
              </c:numCache>
            </c:numRef>
          </c:val>
          <c:smooth val="0"/>
          <c:extLst>
            <c:ext xmlns:c16="http://schemas.microsoft.com/office/drawing/2014/chart" uri="{C3380CC4-5D6E-409C-BE32-E72D297353CC}">
              <c16:uniqueId val="{00000012-31FE-46BC-942B-2D64543C588E}"/>
            </c:ext>
          </c:extLst>
        </c:ser>
        <c:dLbls>
          <c:showLegendKey val="0"/>
          <c:showVal val="0"/>
          <c:showCatName val="0"/>
          <c:showSerName val="0"/>
          <c:showPercent val="0"/>
          <c:showBubbleSize val="0"/>
        </c:dLbls>
        <c:smooth val="0"/>
        <c:axId val="376400096"/>
        <c:axId val="376399616"/>
      </c:lineChart>
      <c:catAx>
        <c:axId val="376400096"/>
        <c:scaling>
          <c:orientation val="minMax"/>
          <c:min val="1"/>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6399616"/>
        <c:crossesAt val="1"/>
        <c:auto val="1"/>
        <c:lblAlgn val="ctr"/>
        <c:lblOffset val="100"/>
        <c:tickLblSkip val="1"/>
        <c:noMultiLvlLbl val="0"/>
      </c:catAx>
      <c:valAx>
        <c:axId val="376399616"/>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6400096"/>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landscape"/>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'AGS Stats'!$BK$158:$BK$184</c:f>
              <c:numCache>
                <c:formatCode>0.00%_);\(0.00%\);0.00%_);@_)</c:formatCode>
                <c:ptCount val="27"/>
                <c:pt idx="0">
                  <c:v>6.248631951220518E-2</c:v>
                </c:pt>
                <c:pt idx="1">
                  <c:v>6.0230452365200193E-2</c:v>
                </c:pt>
                <c:pt idx="2">
                  <c:v>-1.4244570179700156E-2</c:v>
                </c:pt>
                <c:pt idx="3">
                  <c:v>-9.8879228493012894E-3</c:v>
                </c:pt>
                <c:pt idx="4">
                  <c:v>4.0812891362576487E-2</c:v>
                </c:pt>
                <c:pt idx="5">
                  <c:v>-3.5697301417878413E-2</c:v>
                </c:pt>
                <c:pt idx="6">
                  <c:v>9.3782796533798063E-2</c:v>
                </c:pt>
                <c:pt idx="7">
                  <c:v>3.1433726369585635E-2</c:v>
                </c:pt>
                <c:pt idx="8">
                  <c:v>1.7478918880752481E-2</c:v>
                </c:pt>
                <c:pt idx="9">
                  <c:v>5.362296399777744E-2</c:v>
                </c:pt>
                <c:pt idx="10">
                  <c:v>-1.2063134186486302E-3</c:v>
                </c:pt>
                <c:pt idx="11">
                  <c:v>3.2800340666560013E-2</c:v>
                </c:pt>
                <c:pt idx="12">
                  <c:v>8.4634184297646131E-2</c:v>
                </c:pt>
                <c:pt idx="13">
                  <c:v>-8.9801803758557952E-3</c:v>
                </c:pt>
                <c:pt idx="14">
                  <c:v>4.8640281238802041E-2</c:v>
                </c:pt>
                <c:pt idx="15">
                  <c:v>0.16124644686632972</c:v>
                </c:pt>
                <c:pt idx="16">
                  <c:v>-1.19108371867509E-2</c:v>
                </c:pt>
                <c:pt idx="17">
                  <c:v>-9.4238580029600283E-2</c:v>
                </c:pt>
                <c:pt idx="18">
                  <c:v>4.711796572243987E-2</c:v>
                </c:pt>
                <c:pt idx="19">
                  <c:v>-6.2838388010338142E-2</c:v>
                </c:pt>
                <c:pt idx="20">
                  <c:v>-0.28688200622865101</c:v>
                </c:pt>
                <c:pt idx="21">
                  <c:v>-0.22454549014948377</c:v>
                </c:pt>
                <c:pt idx="22">
                  <c:v>2.2961069077353624E-2</c:v>
                </c:pt>
                <c:pt idx="23">
                  <c:v>0.24012034521458414</c:v>
                </c:pt>
                <c:pt idx="24">
                  <c:v>-6.2615599651202558E-2</c:v>
                </c:pt>
                <c:pt idx="25">
                  <c:v>-5.7847663908778379E-2</c:v>
                </c:pt>
                <c:pt idx="26">
                  <c:v>-1.3946277490162196E-2</c:v>
                </c:pt>
              </c:numCache>
            </c:numRef>
          </c:val>
          <c:smooth val="0"/>
          <c:extLst>
            <c:ext xmlns:c16="http://schemas.microsoft.com/office/drawing/2014/chart" uri="{C3380CC4-5D6E-409C-BE32-E72D297353CC}">
              <c16:uniqueId val="{00000000-0A1A-4093-AD42-A7B6E2898E47}"/>
            </c:ext>
          </c:extLst>
        </c:ser>
        <c:ser>
          <c:idx val="1"/>
          <c:order val="1"/>
          <c:spPr>
            <a:ln w="28575" cap="rnd">
              <a:solidFill>
                <a:schemeClr val="accent2"/>
              </a:solidFill>
              <a:round/>
            </a:ln>
            <a:effectLst/>
          </c:spPr>
          <c:marker>
            <c:symbol val="none"/>
          </c:marker>
          <c:val>
            <c:numRef>
              <c:f>'AGS Stats'!$BL$158:$BL$184</c:f>
              <c:numCache>
                <c:formatCode>0.00%_);\(0.00%\);0.00%_);@_)</c:formatCode>
                <c:ptCount val="27"/>
                <c:pt idx="0">
                  <c:v>0.10189954656061273</c:v>
                </c:pt>
                <c:pt idx="1">
                  <c:v>7.0483119679121131E-2</c:v>
                </c:pt>
                <c:pt idx="2">
                  <c:v>5.643425331310703E-2</c:v>
                </c:pt>
                <c:pt idx="3">
                  <c:v>3.074728806256477E-3</c:v>
                </c:pt>
                <c:pt idx="4">
                  <c:v>3.7563419170508983E-2</c:v>
                </c:pt>
                <c:pt idx="5">
                  <c:v>4.2078661556996799E-2</c:v>
                </c:pt>
                <c:pt idx="6">
                  <c:v>1.2334775152149646E-2</c:v>
                </c:pt>
                <c:pt idx="7">
                  <c:v>-1.2644267901961159E-3</c:v>
                </c:pt>
                <c:pt idx="8">
                  <c:v>-5.8833744683385869E-2</c:v>
                </c:pt>
                <c:pt idx="9">
                  <c:v>4.2034118183047475E-3</c:v>
                </c:pt>
                <c:pt idx="10">
                  <c:v>-4.0392563556624905E-2</c:v>
                </c:pt>
                <c:pt idx="11">
                  <c:v>2.2693836822887725E-2</c:v>
                </c:pt>
                <c:pt idx="12">
                  <c:v>8.323629173605962E-3</c:v>
                </c:pt>
                <c:pt idx="13">
                  <c:v>-2.5684363409646527E-2</c:v>
                </c:pt>
                <c:pt idx="14">
                  <c:v>4.6834203932413221E-3</c:v>
                </c:pt>
                <c:pt idx="15">
                  <c:v>3.2767660052907432E-2</c:v>
                </c:pt>
                <c:pt idx="16">
                  <c:v>2.538852608169373E-2</c:v>
                </c:pt>
                <c:pt idx="17">
                  <c:v>-1.2647239472776683E-2</c:v>
                </c:pt>
                <c:pt idx="18">
                  <c:v>1.4495391567793003E-2</c:v>
                </c:pt>
                <c:pt idx="19">
                  <c:v>-9.5526619301933291E-4</c:v>
                </c:pt>
                <c:pt idx="20">
                  <c:v>-0.20918137036654527</c:v>
                </c:pt>
                <c:pt idx="21">
                  <c:v>0.19301975406784466</c:v>
                </c:pt>
                <c:pt idx="22">
                  <c:v>3.8797880962476716E-2</c:v>
                </c:pt>
                <c:pt idx="23">
                  <c:v>0.19395775722340391</c:v>
                </c:pt>
                <c:pt idx="24">
                  <c:v>9.7736066726676896E-3</c:v>
                </c:pt>
                <c:pt idx="25">
                  <c:v>5.0737070109546867E-2</c:v>
                </c:pt>
                <c:pt idx="26">
                  <c:v>6.9950738916256361E-2</c:v>
                </c:pt>
              </c:numCache>
            </c:numRef>
          </c:val>
          <c:smooth val="0"/>
          <c:extLst>
            <c:ext xmlns:c16="http://schemas.microsoft.com/office/drawing/2014/chart" uri="{C3380CC4-5D6E-409C-BE32-E72D297353CC}">
              <c16:uniqueId val="{00000001-0A1A-4093-AD42-A7B6E2898E47}"/>
            </c:ext>
          </c:extLst>
        </c:ser>
        <c:ser>
          <c:idx val="2"/>
          <c:order val="2"/>
          <c:spPr>
            <a:ln w="28575" cap="rnd">
              <a:solidFill>
                <a:schemeClr val="accent3"/>
              </a:solidFill>
              <a:round/>
            </a:ln>
            <a:effectLst/>
          </c:spPr>
          <c:marker>
            <c:symbol val="none"/>
          </c:marker>
          <c:val>
            <c:numRef>
              <c:f>'AGS Stats'!$BM$158:$BM$184</c:f>
              <c:numCache>
                <c:formatCode>0.00%_);\(0.00%\);0.00%_);@_)</c:formatCode>
                <c:ptCount val="27"/>
                <c:pt idx="0">
                  <c:v>-6.2499891312606248E-3</c:v>
                </c:pt>
                <c:pt idx="1">
                  <c:v>7.5766035467196735E-2</c:v>
                </c:pt>
                <c:pt idx="2">
                  <c:v>-5.5304868903852666E-3</c:v>
                </c:pt>
                <c:pt idx="3">
                  <c:v>6.7628544228933718E-2</c:v>
                </c:pt>
                <c:pt idx="4">
                  <c:v>1.2257119038614039E-2</c:v>
                </c:pt>
                <c:pt idx="5">
                  <c:v>1.4715134031144661E-3</c:v>
                </c:pt>
                <c:pt idx="6">
                  <c:v>1.8332735549227985E-2</c:v>
                </c:pt>
                <c:pt idx="7">
                  <c:v>1.8927887168743274E-2</c:v>
                </c:pt>
                <c:pt idx="8">
                  <c:v>3.7104011964576689E-2</c:v>
                </c:pt>
                <c:pt idx="9">
                  <c:v>5.0647150882253023E-2</c:v>
                </c:pt>
                <c:pt idx="10">
                  <c:v>-0.26664578835467168</c:v>
                </c:pt>
                <c:pt idx="11">
                  <c:v>0.17278228484981439</c:v>
                </c:pt>
                <c:pt idx="12">
                  <c:v>8.8529534752904482E-2</c:v>
                </c:pt>
                <c:pt idx="13">
                  <c:v>7.4283844110441866E-2</c:v>
                </c:pt>
                <c:pt idx="14">
                  <c:v>-0.10738670611353973</c:v>
                </c:pt>
                <c:pt idx="15">
                  <c:v>5.2019778230107949E-3</c:v>
                </c:pt>
                <c:pt idx="16">
                  <c:v>5.5797375375757463E-2</c:v>
                </c:pt>
                <c:pt idx="17">
                  <c:v>-7.9740827289316196E-2</c:v>
                </c:pt>
                <c:pt idx="18">
                  <c:v>2.8582103252206892E-2</c:v>
                </c:pt>
                <c:pt idx="19">
                  <c:v>0.21285183226967397</c:v>
                </c:pt>
                <c:pt idx="20">
                  <c:v>1.5622842455647046E-3</c:v>
                </c:pt>
                <c:pt idx="21">
                  <c:v>8.0175343291936763E-2</c:v>
                </c:pt>
                <c:pt idx="22">
                  <c:v>9.1911665979109713E-2</c:v>
                </c:pt>
                <c:pt idx="23">
                  <c:v>-3.8611542571040491E-2</c:v>
                </c:pt>
                <c:pt idx="24">
                  <c:v>9.2793465818808762E-2</c:v>
                </c:pt>
                <c:pt idx="25">
                  <c:v>-0.10638249177599279</c:v>
                </c:pt>
                <c:pt idx="26">
                  <c:v>-3.4482758620689502E-2</c:v>
                </c:pt>
              </c:numCache>
            </c:numRef>
          </c:val>
          <c:smooth val="0"/>
          <c:extLst>
            <c:ext xmlns:c16="http://schemas.microsoft.com/office/drawing/2014/chart" uri="{C3380CC4-5D6E-409C-BE32-E72D297353CC}">
              <c16:uniqueId val="{00000002-0A1A-4093-AD42-A7B6E2898E47}"/>
            </c:ext>
          </c:extLst>
        </c:ser>
        <c:ser>
          <c:idx val="3"/>
          <c:order val="3"/>
          <c:spPr>
            <a:ln w="28575" cap="rnd">
              <a:solidFill>
                <a:schemeClr val="accent4"/>
              </a:solidFill>
              <a:round/>
            </a:ln>
            <a:effectLst/>
          </c:spPr>
          <c:marker>
            <c:symbol val="none"/>
          </c:marker>
          <c:val>
            <c:numRef>
              <c:f>'AGS Stats'!$BN$158:$BN$184</c:f>
              <c:numCache>
                <c:formatCode>0.00%_);\(0.00%\);0.00%_);@_)</c:formatCode>
                <c:ptCount val="27"/>
                <c:pt idx="0">
                  <c:v>-4.6108804323703456E-3</c:v>
                </c:pt>
                <c:pt idx="1">
                  <c:v>2.3641470424430988E-2</c:v>
                </c:pt>
                <c:pt idx="2">
                  <c:v>4.9559937019591382E-2</c:v>
                </c:pt>
                <c:pt idx="3">
                  <c:v>4.0776386151473831E-2</c:v>
                </c:pt>
                <c:pt idx="4">
                  <c:v>3.8907725449713215E-2</c:v>
                </c:pt>
                <c:pt idx="5">
                  <c:v>4.487365760427342E-2</c:v>
                </c:pt>
                <c:pt idx="6">
                  <c:v>1.3064481990262555E-2</c:v>
                </c:pt>
                <c:pt idx="7">
                  <c:v>5.998190900884004E-2</c:v>
                </c:pt>
                <c:pt idx="8">
                  <c:v>-1.2678311714977131E-2</c:v>
                </c:pt>
                <c:pt idx="9">
                  <c:v>6.4806246183155114E-2</c:v>
                </c:pt>
                <c:pt idx="10">
                  <c:v>2.2049435444674081E-2</c:v>
                </c:pt>
                <c:pt idx="11">
                  <c:v>1.0087403629882141E-2</c:v>
                </c:pt>
                <c:pt idx="12">
                  <c:v>5.9124533406086588E-2</c:v>
                </c:pt>
                <c:pt idx="13">
                  <c:v>9.3698615650823491E-3</c:v>
                </c:pt>
                <c:pt idx="14">
                  <c:v>3.8743207502994537E-2</c:v>
                </c:pt>
                <c:pt idx="15">
                  <c:v>5.9807588701572323E-2</c:v>
                </c:pt>
                <c:pt idx="16">
                  <c:v>4.0505004655798427E-2</c:v>
                </c:pt>
                <c:pt idx="17">
                  <c:v>6.9643242439033637E-2</c:v>
                </c:pt>
                <c:pt idx="18">
                  <c:v>0.1113755542031738</c:v>
                </c:pt>
                <c:pt idx="19">
                  <c:v>1.6232304480734427E-4</c:v>
                </c:pt>
                <c:pt idx="20">
                  <c:v>-0.10144979633765305</c:v>
                </c:pt>
                <c:pt idx="21">
                  <c:v>0.26135882914111752</c:v>
                </c:pt>
                <c:pt idx="22">
                  <c:v>0.40812092727509297</c:v>
                </c:pt>
                <c:pt idx="23">
                  <c:v>-1.1975176885387961E-2</c:v>
                </c:pt>
                <c:pt idx="24">
                  <c:v>-1.9909629060156253E-2</c:v>
                </c:pt>
                <c:pt idx="25">
                  <c:v>-3.2732697142145994E-2</c:v>
                </c:pt>
                <c:pt idx="26">
                  <c:v>-2.4630541871921152E-2</c:v>
                </c:pt>
              </c:numCache>
            </c:numRef>
          </c:val>
          <c:smooth val="0"/>
          <c:extLst>
            <c:ext xmlns:c16="http://schemas.microsoft.com/office/drawing/2014/chart" uri="{C3380CC4-5D6E-409C-BE32-E72D297353CC}">
              <c16:uniqueId val="{00000003-0A1A-4093-AD42-A7B6E2898E47}"/>
            </c:ext>
          </c:extLst>
        </c:ser>
        <c:dLbls>
          <c:showLegendKey val="0"/>
          <c:showVal val="0"/>
          <c:showCatName val="0"/>
          <c:showSerName val="0"/>
          <c:showPercent val="0"/>
          <c:showBubbleSize val="0"/>
        </c:dLbls>
        <c:smooth val="0"/>
        <c:axId val="2091765567"/>
        <c:axId val="441490047"/>
      </c:lineChart>
      <c:catAx>
        <c:axId val="20917655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90047"/>
        <c:crosses val="autoZero"/>
        <c:auto val="1"/>
        <c:lblAlgn val="ctr"/>
        <c:lblOffset val="100"/>
        <c:noMultiLvlLbl val="0"/>
      </c:catAx>
      <c:valAx>
        <c:axId val="441490047"/>
        <c:scaling>
          <c:orientation val="minMax"/>
        </c:scaling>
        <c:delete val="0"/>
        <c:axPos val="l"/>
        <c:majorGridlines>
          <c:spPr>
            <a:ln w="9525" cap="flat" cmpd="sng" algn="ctr">
              <a:solidFill>
                <a:schemeClr val="tx1">
                  <a:lumMod val="15000"/>
                  <a:lumOff val="85000"/>
                </a:schemeClr>
              </a:solidFill>
              <a:round/>
            </a:ln>
            <a:effectLst/>
          </c:spPr>
        </c:majorGridlines>
        <c:numFmt formatCode="0.00%_);\(0.00%\);0.0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765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'AGS Stats'!$AC$156</c:f>
              <c:strCache>
                <c:ptCount val="1"/>
                <c:pt idx="0">
                  <c:v>Wagering</c:v>
                </c:pt>
              </c:strCache>
            </c:strRef>
          </c:tx>
          <c:spPr>
            <a:solidFill>
              <a:schemeClr val="tx2"/>
            </a:solidFill>
            <a:ln>
              <a:noFill/>
            </a:ln>
            <a:effectLst/>
          </c:spPr>
          <c:invertIfNegative val="0"/>
          <c:cat>
            <c:strRef>
              <c:f>'AGS Stats'!$B$180:$B$184</c:f>
              <c:strCache>
                <c:ptCount val="5"/>
                <c:pt idx="0">
                  <c:v>FY22A</c:v>
                </c:pt>
                <c:pt idx="1">
                  <c:v>FY23A</c:v>
                </c:pt>
                <c:pt idx="2">
                  <c:v>FY24A</c:v>
                </c:pt>
                <c:pt idx="3">
                  <c:v>FY25E</c:v>
                </c:pt>
                <c:pt idx="4">
                  <c:v>FY26E</c:v>
                </c:pt>
              </c:strCache>
            </c:strRef>
          </c:cat>
          <c:val>
            <c:numRef>
              <c:f>'AGS Stats'!$Y$180:$Y$184</c:f>
              <c:numCache>
                <c:formatCode>#,##0.00</c:formatCode>
                <c:ptCount val="5"/>
                <c:pt idx="0">
                  <c:v>2477.3890437828704</c:v>
                </c:pt>
                <c:pt idx="1">
                  <c:v>136.76219519999904</c:v>
                </c:pt>
                <c:pt idx="2">
                  <c:v>26.339731890000621</c:v>
                </c:pt>
                <c:pt idx="3">
                  <c:v>-126.43463116860039</c:v>
                </c:pt>
                <c:pt idx="4">
                  <c:v>-83.025407800714675</c:v>
                </c:pt>
              </c:numCache>
            </c:numRef>
          </c:val>
          <c:extLst>
            <c:ext xmlns:c16="http://schemas.microsoft.com/office/drawing/2014/chart" uri="{C3380CC4-5D6E-409C-BE32-E72D297353CC}">
              <c16:uniqueId val="{00000003-1AE0-4FBB-8BB5-D3CEBA8D1E76}"/>
            </c:ext>
          </c:extLst>
        </c:ser>
        <c:ser>
          <c:idx val="0"/>
          <c:order val="1"/>
          <c:tx>
            <c:strRef>
              <c:f>'AGS Stats'!$Z$156</c:f>
              <c:strCache>
                <c:ptCount val="1"/>
                <c:pt idx="0">
                  <c:v>Casino</c:v>
                </c:pt>
              </c:strCache>
            </c:strRef>
          </c:tx>
          <c:spPr>
            <a:solidFill>
              <a:schemeClr val="bg2"/>
            </a:solidFill>
            <a:ln>
              <a:noFill/>
            </a:ln>
            <a:effectLst/>
          </c:spPr>
          <c:invertIfNegative val="0"/>
          <c:cat>
            <c:strRef>
              <c:f>'AGS Stats'!$B$180:$B$184</c:f>
              <c:strCache>
                <c:ptCount val="5"/>
                <c:pt idx="0">
                  <c:v>FY22A</c:v>
                </c:pt>
                <c:pt idx="1">
                  <c:v>FY23A</c:v>
                </c:pt>
                <c:pt idx="2">
                  <c:v>FY24A</c:v>
                </c:pt>
                <c:pt idx="3">
                  <c:v>FY25E</c:v>
                </c:pt>
                <c:pt idx="4">
                  <c:v>FY26E</c:v>
                </c:pt>
              </c:strCache>
            </c:strRef>
          </c:cat>
          <c:val>
            <c:numRef>
              <c:f>'AGS Stats'!$V$180:$V$184</c:f>
              <c:numCache>
                <c:formatCode>#,##0.00</c:formatCode>
                <c:ptCount val="5"/>
                <c:pt idx="0">
                  <c:v>102.03027936000035</c:v>
                </c:pt>
                <c:pt idx="1">
                  <c:v>781.03316140176958</c:v>
                </c:pt>
                <c:pt idx="2">
                  <c:v>-146.54634008176981</c:v>
                </c:pt>
                <c:pt idx="3">
                  <c:v>-140.60016461017403</c:v>
                </c:pt>
                <c:pt idx="4">
                  <c:v>2.8076836236868985</c:v>
                </c:pt>
              </c:numCache>
            </c:numRef>
          </c:val>
          <c:extLst>
            <c:ext xmlns:c16="http://schemas.microsoft.com/office/drawing/2014/chart" uri="{C3380CC4-5D6E-409C-BE32-E72D297353CC}">
              <c16:uniqueId val="{00000000-1AE0-4FBB-8BB5-D3CEBA8D1E76}"/>
            </c:ext>
          </c:extLst>
        </c:ser>
        <c:ser>
          <c:idx val="1"/>
          <c:order val="2"/>
          <c:tx>
            <c:strRef>
              <c:f>'AGS Stats'!$AA$156</c:f>
              <c:strCache>
                <c:ptCount val="1"/>
                <c:pt idx="0">
                  <c:v>Gaming Machines</c:v>
                </c:pt>
              </c:strCache>
            </c:strRef>
          </c:tx>
          <c:spPr>
            <a:solidFill>
              <a:schemeClr val="accent1"/>
            </a:solidFill>
            <a:ln>
              <a:noFill/>
            </a:ln>
            <a:effectLst/>
          </c:spPr>
          <c:invertIfNegative val="0"/>
          <c:cat>
            <c:strRef>
              <c:f>'AGS Stats'!$B$180:$B$184</c:f>
              <c:strCache>
                <c:ptCount val="5"/>
                <c:pt idx="0">
                  <c:v>FY22A</c:v>
                </c:pt>
                <c:pt idx="1">
                  <c:v>FY23A</c:v>
                </c:pt>
                <c:pt idx="2">
                  <c:v>FY24A</c:v>
                </c:pt>
                <c:pt idx="3">
                  <c:v>FY25E</c:v>
                </c:pt>
                <c:pt idx="4">
                  <c:v>FY26E</c:v>
                </c:pt>
              </c:strCache>
            </c:strRef>
          </c:cat>
          <c:val>
            <c:numRef>
              <c:f>'AGS Stats'!$W$180:$W$184</c:f>
              <c:numCache>
                <c:formatCode>#,##0.00</c:formatCode>
                <c:ptCount val="5"/>
                <c:pt idx="0">
                  <c:v>651.16555657999925</c:v>
                </c:pt>
                <c:pt idx="1">
                  <c:v>2931.4155336099993</c:v>
                </c:pt>
                <c:pt idx="2">
                  <c:v>528.36750145000042</c:v>
                </c:pt>
                <c:pt idx="3">
                  <c:v>1140.5147678945996</c:v>
                </c:pt>
                <c:pt idx="4">
                  <c:v>1499.2881277380184</c:v>
                </c:pt>
              </c:numCache>
            </c:numRef>
          </c:val>
          <c:extLst>
            <c:ext xmlns:c16="http://schemas.microsoft.com/office/drawing/2014/chart" uri="{C3380CC4-5D6E-409C-BE32-E72D297353CC}">
              <c16:uniqueId val="{00000001-1AE0-4FBB-8BB5-D3CEBA8D1E76}"/>
            </c:ext>
          </c:extLst>
        </c:ser>
        <c:ser>
          <c:idx val="2"/>
          <c:order val="3"/>
          <c:tx>
            <c:strRef>
              <c:f>'AGS Stats'!$AB$156</c:f>
              <c:strCache>
                <c:ptCount val="1"/>
                <c:pt idx="0">
                  <c:v>Lotteries</c:v>
                </c:pt>
              </c:strCache>
            </c:strRef>
          </c:tx>
          <c:spPr>
            <a:solidFill>
              <a:schemeClr val="accent2"/>
            </a:solidFill>
            <a:ln>
              <a:noFill/>
            </a:ln>
            <a:effectLst/>
          </c:spPr>
          <c:invertIfNegative val="0"/>
          <c:cat>
            <c:strRef>
              <c:f>'AGS Stats'!$B$180:$B$184</c:f>
              <c:strCache>
                <c:ptCount val="5"/>
                <c:pt idx="0">
                  <c:v>FY22A</c:v>
                </c:pt>
                <c:pt idx="1">
                  <c:v>FY23A</c:v>
                </c:pt>
                <c:pt idx="2">
                  <c:v>FY24A</c:v>
                </c:pt>
                <c:pt idx="3">
                  <c:v>FY25E</c:v>
                </c:pt>
                <c:pt idx="4">
                  <c:v>FY26E</c:v>
                </c:pt>
              </c:strCache>
            </c:strRef>
          </c:cat>
          <c:val>
            <c:numRef>
              <c:f>'AGS Stats'!$X$180:$X$184</c:f>
              <c:numCache>
                <c:formatCode>#,##0.00</c:formatCode>
                <c:ptCount val="5"/>
                <c:pt idx="0">
                  <c:v>304.57338930248989</c:v>
                </c:pt>
                <c:pt idx="1">
                  <c:v>-34.129068034229931</c:v>
                </c:pt>
                <c:pt idx="2">
                  <c:v>368.32527016544009</c:v>
                </c:pt>
                <c:pt idx="3">
                  <c:v>-312.91897851579961</c:v>
                </c:pt>
                <c:pt idx="4">
                  <c:v>-63.279171210972891</c:v>
                </c:pt>
              </c:numCache>
            </c:numRef>
          </c:val>
          <c:extLst>
            <c:ext xmlns:c16="http://schemas.microsoft.com/office/drawing/2014/chart" uri="{C3380CC4-5D6E-409C-BE32-E72D297353CC}">
              <c16:uniqueId val="{00000002-1AE0-4FBB-8BB5-D3CEBA8D1E76}"/>
            </c:ext>
          </c:extLst>
        </c:ser>
        <c:dLbls>
          <c:showLegendKey val="0"/>
          <c:showVal val="0"/>
          <c:showCatName val="0"/>
          <c:showSerName val="0"/>
          <c:showPercent val="0"/>
          <c:showBubbleSize val="0"/>
        </c:dLbls>
        <c:gapWidth val="150"/>
        <c:overlap val="100"/>
        <c:axId val="82228447"/>
        <c:axId val="81985567"/>
      </c:barChart>
      <c:catAx>
        <c:axId val="8222844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1985567"/>
        <c:crosses val="autoZero"/>
        <c:auto val="1"/>
        <c:lblAlgn val="ctr"/>
        <c:lblOffset val="100"/>
        <c:noMultiLvlLbl val="0"/>
      </c:catAx>
      <c:valAx>
        <c:axId val="81985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2228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'AGS Stats'!$AS$156</c:f>
              <c:strCache>
                <c:ptCount val="1"/>
                <c:pt idx="0">
                  <c:v>Wagering</c:v>
                </c:pt>
              </c:strCache>
            </c:strRef>
          </c:tx>
          <c:spPr>
            <a:solidFill>
              <a:schemeClr val="tx2"/>
            </a:solidFill>
            <a:ln>
              <a:noFill/>
            </a:ln>
            <a:effectLst/>
          </c:spPr>
          <c:invertIfNegative val="0"/>
          <c:cat>
            <c:strRef>
              <c:extLst>
                <c:ext xmlns:c15="http://schemas.microsoft.com/office/drawing/2012/chart" uri="{02D57815-91ED-43cb-92C2-25804820EDAC}">
                  <c15:fullRef>
                    <c15:sqref>'AGS Stats'!$B$158:$B$184</c15:sqref>
                  </c15:fullRef>
                </c:ext>
              </c:extLst>
              <c:f>'AGS Stats'!$B$180:$B$184</c:f>
              <c:strCache>
                <c:ptCount val="5"/>
                <c:pt idx="0">
                  <c:v>FY22A</c:v>
                </c:pt>
                <c:pt idx="1">
                  <c:v>FY23A</c:v>
                </c:pt>
                <c:pt idx="2">
                  <c:v>FY24A</c:v>
                </c:pt>
                <c:pt idx="3">
                  <c:v>FY25E</c:v>
                </c:pt>
                <c:pt idx="4">
                  <c:v>FY26E</c:v>
                </c:pt>
              </c:strCache>
            </c:strRef>
          </c:cat>
          <c:val>
            <c:numRef>
              <c:extLst>
                <c:ext xmlns:c15="http://schemas.microsoft.com/office/drawing/2012/chart" uri="{02D57815-91ED-43cb-92C2-25804820EDAC}">
                  <c15:fullRef>
                    <c15:sqref>'AGS Stats'!$AU$158:$AU$184</c15:sqref>
                  </c15:fullRef>
                </c:ext>
              </c:extLst>
              <c:f>'AGS Stats'!$AU$180:$AU$184</c:f>
              <c:numCache>
                <c:formatCode>#,##0.0</c:formatCode>
                <c:ptCount val="5"/>
                <c:pt idx="0">
                  <c:v>117.8898606516305</c:v>
                </c:pt>
                <c:pt idx="1">
                  <c:v>-4.8709029847537408</c:v>
                </c:pt>
                <c:pt idx="2">
                  <c:v>-8.0012633938475233</c:v>
                </c:pt>
                <c:pt idx="3">
                  <c:v>-12.892683255691395</c:v>
                </c:pt>
                <c:pt idx="4">
                  <c:v>-9.3838702597872725</c:v>
                </c:pt>
              </c:numCache>
            </c:numRef>
          </c:val>
          <c:extLst>
            <c:ext xmlns:c16="http://schemas.microsoft.com/office/drawing/2014/chart" uri="{C3380CC4-5D6E-409C-BE32-E72D297353CC}">
              <c16:uniqueId val="{00000005-6598-4682-9CFD-1DDEC154605C}"/>
            </c:ext>
          </c:extLst>
        </c:ser>
        <c:ser>
          <c:idx val="0"/>
          <c:order val="1"/>
          <c:tx>
            <c:strRef>
              <c:f>'AGS Stats'!$AP$156</c:f>
              <c:strCache>
                <c:ptCount val="1"/>
                <c:pt idx="0">
                  <c:v>Casino</c:v>
                </c:pt>
              </c:strCache>
            </c:strRef>
          </c:tx>
          <c:spPr>
            <a:solidFill>
              <a:schemeClr val="bg2"/>
            </a:solidFill>
            <a:ln>
              <a:noFill/>
            </a:ln>
            <a:effectLst/>
          </c:spPr>
          <c:invertIfNegative val="0"/>
          <c:cat>
            <c:strRef>
              <c:extLst>
                <c:ext xmlns:c15="http://schemas.microsoft.com/office/drawing/2012/chart" uri="{02D57815-91ED-43cb-92C2-25804820EDAC}">
                  <c15:fullRef>
                    <c15:sqref>'AGS Stats'!$B$158:$B$184</c15:sqref>
                  </c15:fullRef>
                </c:ext>
              </c:extLst>
              <c:f>'AGS Stats'!$B$180:$B$184</c:f>
              <c:strCache>
                <c:ptCount val="5"/>
                <c:pt idx="0">
                  <c:v>FY22A</c:v>
                </c:pt>
                <c:pt idx="1">
                  <c:v>FY23A</c:v>
                </c:pt>
                <c:pt idx="2">
                  <c:v>FY24A</c:v>
                </c:pt>
                <c:pt idx="3">
                  <c:v>FY25E</c:v>
                </c:pt>
                <c:pt idx="4">
                  <c:v>FY26E</c:v>
                </c:pt>
              </c:strCache>
            </c:strRef>
          </c:cat>
          <c:val>
            <c:numRef>
              <c:extLst>
                <c:ext xmlns:c15="http://schemas.microsoft.com/office/drawing/2012/chart" uri="{02D57815-91ED-43cb-92C2-25804820EDAC}">
                  <c15:fullRef>
                    <c15:sqref>'AGS Stats'!$AR$158:$AR$184</c15:sqref>
                  </c15:fullRef>
                </c:ext>
              </c:extLst>
              <c:f>'AGS Stats'!$AR$180:$AR$184</c:f>
              <c:numCache>
                <c:formatCode>#,##0.0</c:formatCode>
                <c:ptCount val="5"/>
                <c:pt idx="0">
                  <c:v>3.1265203761695943</c:v>
                </c:pt>
                <c:pt idx="1">
                  <c:v>33.447004096820194</c:v>
                </c:pt>
                <c:pt idx="2">
                  <c:v>-10.816198300740552</c:v>
                </c:pt>
                <c:pt idx="3">
                  <c:v>-9.3668948286095031</c:v>
                </c:pt>
                <c:pt idx="4">
                  <c:v>-2.1275964163824312</c:v>
                </c:pt>
              </c:numCache>
            </c:numRef>
          </c:val>
          <c:extLst>
            <c:ext xmlns:c16="http://schemas.microsoft.com/office/drawing/2014/chart" uri="{C3380CC4-5D6E-409C-BE32-E72D297353CC}">
              <c16:uniqueId val="{00000007-6598-4682-9CFD-1DDEC154605C}"/>
            </c:ext>
          </c:extLst>
        </c:ser>
        <c:ser>
          <c:idx val="1"/>
          <c:order val="2"/>
          <c:tx>
            <c:strRef>
              <c:f>'AGS Stats'!$AQ$156</c:f>
              <c:strCache>
                <c:ptCount val="1"/>
                <c:pt idx="0">
                  <c:v>Gaming Machines</c:v>
                </c:pt>
              </c:strCache>
            </c:strRef>
          </c:tx>
          <c:spPr>
            <a:solidFill>
              <a:schemeClr val="accent1"/>
            </a:solidFill>
            <a:ln>
              <a:noFill/>
            </a:ln>
            <a:effectLst/>
          </c:spPr>
          <c:invertIfNegative val="0"/>
          <c:cat>
            <c:strRef>
              <c:extLst>
                <c:ext xmlns:c15="http://schemas.microsoft.com/office/drawing/2012/chart" uri="{02D57815-91ED-43cb-92C2-25804820EDAC}">
                  <c15:fullRef>
                    <c15:sqref>'AGS Stats'!$B$158:$B$184</c15:sqref>
                  </c15:fullRef>
                </c:ext>
              </c:extLst>
              <c:f>'AGS Stats'!$B$180:$B$184</c:f>
              <c:strCache>
                <c:ptCount val="5"/>
                <c:pt idx="0">
                  <c:v>FY22A</c:v>
                </c:pt>
                <c:pt idx="1">
                  <c:v>FY23A</c:v>
                </c:pt>
                <c:pt idx="2">
                  <c:v>FY24A</c:v>
                </c:pt>
                <c:pt idx="3">
                  <c:v>FY25E</c:v>
                </c:pt>
                <c:pt idx="4">
                  <c:v>FY26E</c:v>
                </c:pt>
              </c:strCache>
            </c:strRef>
          </c:cat>
          <c:val>
            <c:numRef>
              <c:extLst>
                <c:ext xmlns:c15="http://schemas.microsoft.com/office/drawing/2012/chart" uri="{02D57815-91ED-43cb-92C2-25804820EDAC}">
                  <c15:fullRef>
                    <c15:sqref>'AGS Stats'!$AS$158:$AS$184</c15:sqref>
                  </c15:fullRef>
                </c:ext>
              </c:extLst>
              <c:f>'AGS Stats'!$AS$180:$AS$184</c:f>
              <c:numCache>
                <c:formatCode>#,##0.0</c:formatCode>
                <c:ptCount val="5"/>
                <c:pt idx="0">
                  <c:v>23.585961308052219</c:v>
                </c:pt>
                <c:pt idx="1">
                  <c:v>122.48524753315587</c:v>
                </c:pt>
                <c:pt idx="2">
                  <c:v>7.3692017993706713</c:v>
                </c:pt>
                <c:pt idx="3">
                  <c:v>38.629135741408163</c:v>
                </c:pt>
                <c:pt idx="4">
                  <c:v>55.959776081464156</c:v>
                </c:pt>
              </c:numCache>
            </c:numRef>
          </c:val>
          <c:extLst>
            <c:ext xmlns:c16="http://schemas.microsoft.com/office/drawing/2014/chart" uri="{C3380CC4-5D6E-409C-BE32-E72D297353CC}">
              <c16:uniqueId val="{00000009-6598-4682-9CFD-1DDEC154605C}"/>
            </c:ext>
          </c:extLst>
        </c:ser>
        <c:ser>
          <c:idx val="2"/>
          <c:order val="3"/>
          <c:tx>
            <c:strRef>
              <c:f>'AGS Stats'!$AR$156</c:f>
              <c:strCache>
                <c:ptCount val="1"/>
                <c:pt idx="0">
                  <c:v>Lotteries</c:v>
                </c:pt>
              </c:strCache>
            </c:strRef>
          </c:tx>
          <c:spPr>
            <a:solidFill>
              <a:schemeClr val="accent2"/>
            </a:solidFill>
            <a:ln>
              <a:noFill/>
            </a:ln>
            <a:effectLst/>
          </c:spPr>
          <c:invertIfNegative val="0"/>
          <c:cat>
            <c:strRef>
              <c:extLst>
                <c:ext xmlns:c15="http://schemas.microsoft.com/office/drawing/2012/chart" uri="{02D57815-91ED-43cb-92C2-25804820EDAC}">
                  <c15:fullRef>
                    <c15:sqref>'AGS Stats'!$B$158:$B$184</c15:sqref>
                  </c15:fullRef>
                </c:ext>
              </c:extLst>
              <c:f>'AGS Stats'!$B$180:$B$184</c:f>
              <c:strCache>
                <c:ptCount val="5"/>
                <c:pt idx="0">
                  <c:v>FY22A</c:v>
                </c:pt>
                <c:pt idx="1">
                  <c:v>FY23A</c:v>
                </c:pt>
                <c:pt idx="2">
                  <c:v>FY24A</c:v>
                </c:pt>
                <c:pt idx="3">
                  <c:v>FY25E</c:v>
                </c:pt>
                <c:pt idx="4">
                  <c:v>FY26E</c:v>
                </c:pt>
              </c:strCache>
            </c:strRef>
          </c:cat>
          <c:val>
            <c:numRef>
              <c:extLst>
                <c:ext xmlns:c15="http://schemas.microsoft.com/office/drawing/2012/chart" uri="{02D57815-91ED-43cb-92C2-25804820EDAC}">
                  <c15:fullRef>
                    <c15:sqref>'AGS Stats'!$AT$158:$AT$184</c15:sqref>
                  </c15:fullRef>
                </c:ext>
              </c:extLst>
              <c:f>'AGS Stats'!$AT$180:$AT$184</c:f>
              <c:numCache>
                <c:formatCode>#,##0.0</c:formatCode>
                <c:ptCount val="5"/>
                <c:pt idx="0">
                  <c:v>13.017340571230136</c:v>
                </c:pt>
                <c:pt idx="1">
                  <c:v>-5.9711267175601677</c:v>
                </c:pt>
                <c:pt idx="2">
                  <c:v>13.796071444220786</c:v>
                </c:pt>
                <c:pt idx="3">
                  <c:v>-17.284080762040929</c:v>
                </c:pt>
                <c:pt idx="4">
                  <c:v>-5.0064490372773491</c:v>
                </c:pt>
              </c:numCache>
            </c:numRef>
          </c:val>
          <c:extLst>
            <c:ext xmlns:c16="http://schemas.microsoft.com/office/drawing/2014/chart" uri="{C3380CC4-5D6E-409C-BE32-E72D297353CC}">
              <c16:uniqueId val="{0000000B-6598-4682-9CFD-1DDEC154605C}"/>
            </c:ext>
          </c:extLst>
        </c:ser>
        <c:dLbls>
          <c:showLegendKey val="0"/>
          <c:showVal val="0"/>
          <c:showCatName val="0"/>
          <c:showSerName val="0"/>
          <c:showPercent val="0"/>
          <c:showBubbleSize val="0"/>
        </c:dLbls>
        <c:gapWidth val="150"/>
        <c:overlap val="100"/>
        <c:axId val="82228447"/>
        <c:axId val="81985567"/>
      </c:barChart>
      <c:catAx>
        <c:axId val="82228447"/>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1985567"/>
        <c:crosses val="autoZero"/>
        <c:auto val="1"/>
        <c:lblAlgn val="ctr"/>
        <c:lblOffset val="100"/>
        <c:noMultiLvlLbl val="0"/>
      </c:catAx>
      <c:valAx>
        <c:axId val="81985567"/>
        <c:scaling>
          <c:orientation val="minMax"/>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2228447"/>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ln>
      <a:noFill/>
    </a:ln>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Online Betting</c:v>
          </c:tx>
          <c:spPr>
            <a:ln w="19050" cap="rnd">
              <a:solidFill>
                <a:schemeClr val="tx2">
                  <a:lumMod val="20000"/>
                  <a:lumOff val="80000"/>
                </a:schemeClr>
              </a:solidFill>
              <a:round/>
            </a:ln>
            <a:effectLst/>
          </c:spPr>
          <c:marker>
            <c:symbol val="diamond"/>
            <c:size val="8"/>
            <c:spPr>
              <a:solidFill>
                <a:schemeClr val="tx2"/>
              </a:solidFill>
              <a:ln w="9525">
                <a:noFill/>
              </a:ln>
              <a:effectLst/>
            </c:spPr>
          </c:marker>
          <c:cat>
            <c:numRef>
              <c:f>UK!$B$17:$B$25</c:f>
              <c:numCache>
                <c:formatCode>mmm\-yy</c:formatCode>
                <c:ptCount val="9"/>
                <c:pt idx="0">
                  <c:v>42825</c:v>
                </c:pt>
                <c:pt idx="1">
                  <c:v>43190</c:v>
                </c:pt>
                <c:pt idx="2">
                  <c:v>43555</c:v>
                </c:pt>
                <c:pt idx="3">
                  <c:v>43921</c:v>
                </c:pt>
                <c:pt idx="4">
                  <c:v>44286</c:v>
                </c:pt>
                <c:pt idx="5">
                  <c:v>44651</c:v>
                </c:pt>
                <c:pt idx="6">
                  <c:v>45016</c:v>
                </c:pt>
                <c:pt idx="7">
                  <c:v>45382</c:v>
                </c:pt>
                <c:pt idx="8">
                  <c:v>45747</c:v>
                </c:pt>
              </c:numCache>
            </c:numRef>
          </c:cat>
          <c:val>
            <c:numRef>
              <c:f>UK!$H$17:$H$25</c:f>
              <c:numCache>
                <c:formatCode>0%</c:formatCode>
                <c:ptCount val="9"/>
                <c:pt idx="0">
                  <c:v>0.11989124892828951</c:v>
                </c:pt>
                <c:pt idx="1">
                  <c:v>0.15290253031871481</c:v>
                </c:pt>
                <c:pt idx="2">
                  <c:v>-0.10248358394832913</c:v>
                </c:pt>
                <c:pt idx="3">
                  <c:v>0.15090499124395307</c:v>
                </c:pt>
                <c:pt idx="4">
                  <c:v>0.13487907994718484</c:v>
                </c:pt>
                <c:pt idx="5">
                  <c:v>-0.13451007287674144</c:v>
                </c:pt>
                <c:pt idx="6">
                  <c:v>1.3274175466671645E-2</c:v>
                </c:pt>
                <c:pt idx="7">
                  <c:v>2.5176699349190423E-2</c:v>
                </c:pt>
                <c:pt idx="8">
                  <c:v>0.10855624949847087</c:v>
                </c:pt>
              </c:numCache>
            </c:numRef>
          </c:val>
          <c:smooth val="0"/>
          <c:extLst>
            <c:ext xmlns:c16="http://schemas.microsoft.com/office/drawing/2014/chart" uri="{C3380CC4-5D6E-409C-BE32-E72D297353CC}">
              <c16:uniqueId val="{00000000-56FA-44C9-8051-8C5D84F61F3B}"/>
            </c:ext>
          </c:extLst>
        </c:ser>
        <c:ser>
          <c:idx val="1"/>
          <c:order val="1"/>
          <c:tx>
            <c:v>Online Casino</c:v>
          </c:tx>
          <c:spPr>
            <a:ln w="19050" cap="rnd">
              <a:solidFill>
                <a:schemeClr val="accent1">
                  <a:lumMod val="20000"/>
                  <a:lumOff val="80000"/>
                </a:schemeClr>
              </a:solidFill>
              <a:round/>
            </a:ln>
            <a:effectLst/>
          </c:spPr>
          <c:marker>
            <c:symbol val="diamond"/>
            <c:size val="8"/>
            <c:spPr>
              <a:solidFill>
                <a:schemeClr val="accent1"/>
              </a:solidFill>
              <a:ln w="9525">
                <a:noFill/>
              </a:ln>
              <a:effectLst/>
            </c:spPr>
          </c:marker>
          <c:cat>
            <c:numRef>
              <c:f>UK!$B$17:$B$25</c:f>
              <c:numCache>
                <c:formatCode>mmm\-yy</c:formatCode>
                <c:ptCount val="9"/>
                <c:pt idx="0">
                  <c:v>42825</c:v>
                </c:pt>
                <c:pt idx="1">
                  <c:v>43190</c:v>
                </c:pt>
                <c:pt idx="2">
                  <c:v>43555</c:v>
                </c:pt>
                <c:pt idx="3">
                  <c:v>43921</c:v>
                </c:pt>
                <c:pt idx="4">
                  <c:v>44286</c:v>
                </c:pt>
                <c:pt idx="5">
                  <c:v>44651</c:v>
                </c:pt>
                <c:pt idx="6">
                  <c:v>45016</c:v>
                </c:pt>
                <c:pt idx="7">
                  <c:v>45382</c:v>
                </c:pt>
                <c:pt idx="8">
                  <c:v>45747</c:v>
                </c:pt>
              </c:numCache>
            </c:numRef>
          </c:cat>
          <c:val>
            <c:numRef>
              <c:f>UK!$I$17:$I$25</c:f>
              <c:numCache>
                <c:formatCode>0%</c:formatCode>
                <c:ptCount val="9"/>
                <c:pt idx="0">
                  <c:v>0.12544356979376592</c:v>
                </c:pt>
                <c:pt idx="1">
                  <c:v>0.10149645838006927</c:v>
                </c:pt>
                <c:pt idx="2">
                  <c:v>6.0491254297382557E-2</c:v>
                </c:pt>
                <c:pt idx="3">
                  <c:v>3.9799104305886512E-2</c:v>
                </c:pt>
                <c:pt idx="4">
                  <c:v>0.24193814449197015</c:v>
                </c:pt>
                <c:pt idx="5">
                  <c:v>-4.5802042958615119E-2</c:v>
                </c:pt>
                <c:pt idx="6">
                  <c:v>3.7073828006652709E-2</c:v>
                </c:pt>
                <c:pt idx="7">
                  <c:v>9.6781021814591917E-2</c:v>
                </c:pt>
                <c:pt idx="8">
                  <c:v>0.14887637223508343</c:v>
                </c:pt>
              </c:numCache>
            </c:numRef>
          </c:val>
          <c:smooth val="0"/>
          <c:extLst>
            <c:ext xmlns:c16="http://schemas.microsoft.com/office/drawing/2014/chart" uri="{C3380CC4-5D6E-409C-BE32-E72D297353CC}">
              <c16:uniqueId val="{00000001-56FA-44C9-8051-8C5D84F61F3B}"/>
            </c:ext>
          </c:extLst>
        </c:ser>
        <c:dLbls>
          <c:showLegendKey val="0"/>
          <c:showVal val="0"/>
          <c:showCatName val="0"/>
          <c:showSerName val="0"/>
          <c:showPercent val="0"/>
          <c:showBubbleSize val="0"/>
        </c:dLbls>
        <c:marker val="1"/>
        <c:smooth val="0"/>
        <c:axId val="594801136"/>
        <c:axId val="594802576"/>
      </c:lineChart>
      <c:catAx>
        <c:axId val="594801136"/>
        <c:scaling>
          <c:orientation val="minMax"/>
          <c:max val="9"/>
          <c:min val="1"/>
        </c:scaling>
        <c:delete val="0"/>
        <c:axPos val="b"/>
        <c:numFmt formatCode="mmm\-yy"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94802576"/>
        <c:crosses val="autoZero"/>
        <c:auto val="0"/>
        <c:lblAlgn val="ctr"/>
        <c:lblOffset val="100"/>
        <c:noMultiLvlLbl val="0"/>
      </c:catAx>
      <c:valAx>
        <c:axId val="594802576"/>
        <c:scaling>
          <c:orientation val="minMax"/>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9480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portrait"/>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Online Betting</c:v>
          </c:tx>
          <c:spPr>
            <a:ln w="19050" cap="rnd">
              <a:solidFill>
                <a:schemeClr val="tx2">
                  <a:lumMod val="20000"/>
                  <a:lumOff val="80000"/>
                </a:schemeClr>
              </a:solidFill>
              <a:round/>
            </a:ln>
            <a:effectLst/>
          </c:spPr>
          <c:marker>
            <c:symbol val="diamond"/>
            <c:size val="8"/>
            <c:spPr>
              <a:solidFill>
                <a:schemeClr val="tx2"/>
              </a:solidFill>
              <a:ln w="9525">
                <a:noFill/>
              </a:ln>
              <a:effectLst/>
            </c:spPr>
          </c:marker>
          <c:cat>
            <c:numRef>
              <c:f>UK!$B$16:$B$25</c:f>
              <c:numCache>
                <c:formatCode>mmm\-yy</c:formatCode>
                <c:ptCount val="10"/>
                <c:pt idx="0">
                  <c:v>42460</c:v>
                </c:pt>
                <c:pt idx="1">
                  <c:v>42825</c:v>
                </c:pt>
                <c:pt idx="2">
                  <c:v>43190</c:v>
                </c:pt>
                <c:pt idx="3">
                  <c:v>43555</c:v>
                </c:pt>
                <c:pt idx="4">
                  <c:v>43921</c:v>
                </c:pt>
                <c:pt idx="5">
                  <c:v>44286</c:v>
                </c:pt>
                <c:pt idx="6">
                  <c:v>44651</c:v>
                </c:pt>
                <c:pt idx="7">
                  <c:v>45016</c:v>
                </c:pt>
                <c:pt idx="8">
                  <c:v>45382</c:v>
                </c:pt>
                <c:pt idx="9">
                  <c:v>45747</c:v>
                </c:pt>
              </c:numCache>
            </c:numRef>
          </c:cat>
          <c:val>
            <c:numRef>
              <c:f>UK!$E$16:$E$25</c:f>
              <c:numCache>
                <c:formatCode>_(* #,##0.00_);_(* \(#,##0.00\);_(* "-"??_);_(@_)</c:formatCode>
                <c:ptCount val="10"/>
                <c:pt idx="0">
                  <c:v>1743.9130597481492</c:v>
                </c:pt>
                <c:pt idx="1">
                  <c:v>1952.9929745037095</c:v>
                </c:pt>
                <c:pt idx="2">
                  <c:v>2251.6105419999999</c:v>
                </c:pt>
                <c:pt idx="3">
                  <c:v>2020.857424</c:v>
                </c:pt>
                <c:pt idx="4">
                  <c:v>2325.8148958739976</c:v>
                </c:pt>
                <c:pt idx="5">
                  <c:v>2639.5186691569397</c:v>
                </c:pt>
                <c:pt idx="6">
                  <c:v>2284.4768206091203</c:v>
                </c:pt>
                <c:pt idx="7">
                  <c:v>2314.8013667754299</c:v>
                </c:pt>
                <c:pt idx="8">
                  <c:v>2373.0804248398299</c:v>
                </c:pt>
                <c:pt idx="9">
                  <c:v>2630.6931355186798</c:v>
                </c:pt>
              </c:numCache>
            </c:numRef>
          </c:val>
          <c:smooth val="0"/>
          <c:extLst>
            <c:ext xmlns:c16="http://schemas.microsoft.com/office/drawing/2014/chart" uri="{C3380CC4-5D6E-409C-BE32-E72D297353CC}">
              <c16:uniqueId val="{00000000-3385-47FF-8A7C-39020D222A3D}"/>
            </c:ext>
          </c:extLst>
        </c:ser>
        <c:ser>
          <c:idx val="2"/>
          <c:order val="1"/>
          <c:tx>
            <c:v>Online Casino</c:v>
          </c:tx>
          <c:spPr>
            <a:ln w="19050" cap="rnd">
              <a:solidFill>
                <a:schemeClr val="accent1">
                  <a:lumMod val="20000"/>
                  <a:lumOff val="80000"/>
                </a:schemeClr>
              </a:solidFill>
              <a:round/>
            </a:ln>
            <a:effectLst/>
          </c:spPr>
          <c:marker>
            <c:symbol val="diamond"/>
            <c:size val="8"/>
            <c:spPr>
              <a:solidFill>
                <a:schemeClr val="accent1"/>
              </a:solidFill>
              <a:ln w="9525">
                <a:noFill/>
              </a:ln>
              <a:effectLst/>
            </c:spPr>
          </c:marker>
          <c:cat>
            <c:numRef>
              <c:f>UK!$B$16:$B$25</c:f>
              <c:numCache>
                <c:formatCode>mmm\-yy</c:formatCode>
                <c:ptCount val="10"/>
                <c:pt idx="0">
                  <c:v>42460</c:v>
                </c:pt>
                <c:pt idx="1">
                  <c:v>42825</c:v>
                </c:pt>
                <c:pt idx="2">
                  <c:v>43190</c:v>
                </c:pt>
                <c:pt idx="3">
                  <c:v>43555</c:v>
                </c:pt>
                <c:pt idx="4">
                  <c:v>43921</c:v>
                </c:pt>
                <c:pt idx="5">
                  <c:v>44286</c:v>
                </c:pt>
                <c:pt idx="6">
                  <c:v>44651</c:v>
                </c:pt>
                <c:pt idx="7">
                  <c:v>45016</c:v>
                </c:pt>
                <c:pt idx="8">
                  <c:v>45382</c:v>
                </c:pt>
                <c:pt idx="9">
                  <c:v>45747</c:v>
                </c:pt>
              </c:numCache>
            </c:numRef>
          </c:cat>
          <c:val>
            <c:numRef>
              <c:f>UK!$F$16:$F$25</c:f>
              <c:numCache>
                <c:formatCode>_(* #,##0.00_);_(* \(#,##0.00\);_(* "-"??_);_(@_)</c:formatCode>
                <c:ptCount val="10"/>
                <c:pt idx="0">
                  <c:v>2364.4358893444723</c:v>
                </c:pt>
                <c:pt idx="1">
                  <c:v>2661.0391678523406</c:v>
                </c:pt>
                <c:pt idx="2">
                  <c:v>2931.125219</c:v>
                </c:pt>
                <c:pt idx="3">
                  <c:v>3108.4326600000004</c:v>
                </c:pt>
                <c:pt idx="4">
                  <c:v>3232.1454956631646</c:v>
                </c:pt>
                <c:pt idx="5">
                  <c:v>4014.1247796119897</c:v>
                </c:pt>
                <c:pt idx="6">
                  <c:v>3830.2696640149597</c:v>
                </c:pt>
                <c:pt idx="7">
                  <c:v>3972.2724227577501</c:v>
                </c:pt>
                <c:pt idx="8">
                  <c:v>4356.7130067581702</c:v>
                </c:pt>
                <c:pt idx="9">
                  <c:v>5005.3246340737287</c:v>
                </c:pt>
              </c:numCache>
            </c:numRef>
          </c:val>
          <c:smooth val="0"/>
          <c:extLst>
            <c:ext xmlns:c16="http://schemas.microsoft.com/office/drawing/2014/chart" uri="{C3380CC4-5D6E-409C-BE32-E72D297353CC}">
              <c16:uniqueId val="{00000002-3385-47FF-8A7C-39020D222A3D}"/>
            </c:ext>
          </c:extLst>
        </c:ser>
        <c:dLbls>
          <c:showLegendKey val="0"/>
          <c:showVal val="0"/>
          <c:showCatName val="0"/>
          <c:showSerName val="0"/>
          <c:showPercent val="0"/>
          <c:showBubbleSize val="0"/>
        </c:dLbls>
        <c:marker val="1"/>
        <c:smooth val="0"/>
        <c:axId val="594801136"/>
        <c:axId val="594802576"/>
      </c:lineChart>
      <c:catAx>
        <c:axId val="594801136"/>
        <c:scaling>
          <c:orientation val="minMax"/>
        </c:scaling>
        <c:delete val="0"/>
        <c:axPos val="b"/>
        <c:numFmt formatCode="mmm\-yy" sourceLinked="1"/>
        <c:majorTickMark val="none"/>
        <c:minorTickMark val="none"/>
        <c:tickLblPos val="low"/>
        <c:spPr>
          <a:noFill/>
          <a:ln w="9525" cap="flat" cmpd="sng" algn="ctr">
            <a:no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94802576"/>
        <c:crosses val="autoZero"/>
        <c:auto val="0"/>
        <c:lblAlgn val="ctr"/>
        <c:lblOffset val="100"/>
        <c:noMultiLvlLbl val="0"/>
      </c:catAx>
      <c:valAx>
        <c:axId val="5948025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94801136"/>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'State Budgets'!$J$16:$AG$16</c:f>
              <c:numCache>
                <c:formatCode>#,##0</c:formatCode>
                <c:ptCount val="24"/>
                <c:pt idx="0">
                  <c:v>150</c:v>
                </c:pt>
                <c:pt idx="1">
                  <c:v>153</c:v>
                </c:pt>
                <c:pt idx="2">
                  <c:v>147</c:v>
                </c:pt>
                <c:pt idx="3">
                  <c:v>159</c:v>
                </c:pt>
                <c:pt idx="4">
                  <c:v>164</c:v>
                </c:pt>
                <c:pt idx="5">
                  <c:v>165</c:v>
                </c:pt>
                <c:pt idx="6">
                  <c:v>158</c:v>
                </c:pt>
                <c:pt idx="7">
                  <c:v>156</c:v>
                </c:pt>
                <c:pt idx="8">
                  <c:v>156</c:v>
                </c:pt>
                <c:pt idx="9">
                  <c:v>160</c:v>
                </c:pt>
                <c:pt idx="10">
                  <c:v>134</c:v>
                </c:pt>
                <c:pt idx="11">
                  <c:v>111</c:v>
                </c:pt>
                <c:pt idx="12">
                  <c:v>112</c:v>
                </c:pt>
                <c:pt idx="13">
                  <c:v>127</c:v>
                </c:pt>
                <c:pt idx="14">
                  <c:v>174</c:v>
                </c:pt>
                <c:pt idx="15">
                  <c:v>215</c:v>
                </c:pt>
                <c:pt idx="16">
                  <c:v>256</c:v>
                </c:pt>
                <c:pt idx="17">
                  <c:v>371</c:v>
                </c:pt>
                <c:pt idx="18">
                  <c:v>346</c:v>
                </c:pt>
                <c:pt idx="19">
                  <c:v>347</c:v>
                </c:pt>
                <c:pt idx="20" formatCode="General">
                  <c:v>348</c:v>
                </c:pt>
                <c:pt idx="21" formatCode="General">
                  <c:v>361</c:v>
                </c:pt>
                <c:pt idx="22" formatCode="General">
                  <c:v>377</c:v>
                </c:pt>
                <c:pt idx="23" formatCode="General">
                  <c:v>395</c:v>
                </c:pt>
              </c:numCache>
            </c:numRef>
          </c:val>
          <c:smooth val="0"/>
          <c:extLst>
            <c:ext xmlns:c16="http://schemas.microsoft.com/office/drawing/2014/chart" uri="{C3380CC4-5D6E-409C-BE32-E72D297353CC}">
              <c16:uniqueId val="{00000000-F109-4B38-8408-B3A6DA934CD6}"/>
            </c:ext>
          </c:extLst>
        </c:ser>
        <c:dLbls>
          <c:showLegendKey val="0"/>
          <c:showVal val="0"/>
          <c:showCatName val="0"/>
          <c:showSerName val="0"/>
          <c:showPercent val="0"/>
          <c:showBubbleSize val="0"/>
        </c:dLbls>
        <c:smooth val="0"/>
        <c:axId val="1019562992"/>
        <c:axId val="1116838048"/>
      </c:lineChart>
      <c:catAx>
        <c:axId val="10195629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838048"/>
        <c:crosses val="autoZero"/>
        <c:auto val="1"/>
        <c:lblAlgn val="ctr"/>
        <c:lblOffset val="100"/>
        <c:noMultiLvlLbl val="0"/>
      </c:catAx>
      <c:valAx>
        <c:axId val="1116838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56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tx2"/>
              </a:solidFill>
              <a:round/>
            </a:ln>
            <a:effectLst/>
          </c:spPr>
          <c:marker>
            <c:symbol val="none"/>
          </c:marker>
          <c:cat>
            <c:strRef>
              <c:f>'State Budgets'!$Q$2:$AG$2</c:f>
              <c:strCache>
                <c:ptCount val="17"/>
                <c:pt idx="0">
                  <c:v>FY13A</c:v>
                </c:pt>
                <c:pt idx="1">
                  <c:v>FY14A</c:v>
                </c:pt>
                <c:pt idx="2">
                  <c:v>FY15A</c:v>
                </c:pt>
                <c:pt idx="3">
                  <c:v>FY16A</c:v>
                </c:pt>
                <c:pt idx="4">
                  <c:v>FY17A</c:v>
                </c:pt>
                <c:pt idx="5">
                  <c:v>FY18A</c:v>
                </c:pt>
                <c:pt idx="6">
                  <c:v>FY19A</c:v>
                </c:pt>
                <c:pt idx="7">
                  <c:v>FY20A</c:v>
                </c:pt>
                <c:pt idx="8">
                  <c:v>FY21A</c:v>
                </c:pt>
                <c:pt idx="9">
                  <c:v>FY22A</c:v>
                </c:pt>
                <c:pt idx="10">
                  <c:v>FY23A</c:v>
                </c:pt>
                <c:pt idx="11">
                  <c:v>FY24A</c:v>
                </c:pt>
                <c:pt idx="12">
                  <c:v>FY25A</c:v>
                </c:pt>
                <c:pt idx="13">
                  <c:v>FY26E</c:v>
                </c:pt>
                <c:pt idx="14">
                  <c:v>FY27E</c:v>
                </c:pt>
                <c:pt idx="15">
                  <c:v>FY28E</c:v>
                </c:pt>
                <c:pt idx="16">
                  <c:v>FY29E</c:v>
                </c:pt>
              </c:strCache>
            </c:strRef>
          </c:cat>
          <c:val>
            <c:numRef>
              <c:f>'State Budgets'!$Q$16:$AG$16</c:f>
              <c:numCache>
                <c:formatCode>#,##0</c:formatCode>
                <c:ptCount val="17"/>
                <c:pt idx="0">
                  <c:v>156</c:v>
                </c:pt>
                <c:pt idx="1">
                  <c:v>156</c:v>
                </c:pt>
                <c:pt idx="2">
                  <c:v>160</c:v>
                </c:pt>
                <c:pt idx="3">
                  <c:v>134</c:v>
                </c:pt>
                <c:pt idx="4">
                  <c:v>111</c:v>
                </c:pt>
                <c:pt idx="5">
                  <c:v>112</c:v>
                </c:pt>
                <c:pt idx="6">
                  <c:v>127</c:v>
                </c:pt>
                <c:pt idx="7">
                  <c:v>174</c:v>
                </c:pt>
                <c:pt idx="8">
                  <c:v>215</c:v>
                </c:pt>
                <c:pt idx="9">
                  <c:v>256</c:v>
                </c:pt>
                <c:pt idx="10">
                  <c:v>371</c:v>
                </c:pt>
                <c:pt idx="11">
                  <c:v>346</c:v>
                </c:pt>
                <c:pt idx="12">
                  <c:v>347</c:v>
                </c:pt>
                <c:pt idx="13" formatCode="General">
                  <c:v>348</c:v>
                </c:pt>
                <c:pt idx="14" formatCode="General">
                  <c:v>361</c:v>
                </c:pt>
                <c:pt idx="15" formatCode="General">
                  <c:v>377</c:v>
                </c:pt>
                <c:pt idx="16" formatCode="General">
                  <c:v>395</c:v>
                </c:pt>
              </c:numCache>
            </c:numRef>
          </c:val>
          <c:smooth val="0"/>
          <c:extLst>
            <c:ext xmlns:c16="http://schemas.microsoft.com/office/drawing/2014/chart" uri="{C3380CC4-5D6E-409C-BE32-E72D297353CC}">
              <c16:uniqueId val="{00000002-EF4C-4017-9600-C0E42861E6ED}"/>
            </c:ext>
          </c:extLst>
        </c:ser>
        <c:dLbls>
          <c:showLegendKey val="0"/>
          <c:showVal val="0"/>
          <c:showCatName val="0"/>
          <c:showSerName val="0"/>
          <c:showPercent val="0"/>
          <c:showBubbleSize val="0"/>
        </c:dLbls>
        <c:smooth val="0"/>
        <c:axId val="400223120"/>
        <c:axId val="132320224"/>
      </c:lineChart>
      <c:catAx>
        <c:axId val="40022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32320224"/>
        <c:crosses val="autoZero"/>
        <c:auto val="1"/>
        <c:lblAlgn val="ctr"/>
        <c:lblOffset val="100"/>
        <c:noMultiLvlLbl val="0"/>
      </c:catAx>
      <c:valAx>
        <c:axId val="132320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00223120"/>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a:solidFill>
                <a:schemeClr val="tx2">
                  <a:lumMod val="40000"/>
                  <a:lumOff val="60000"/>
                </a:schemeClr>
              </a:solidFill>
            </a:ln>
            <a:effectLst/>
          </c:spPr>
          <c:marker>
            <c:symbol val="diamond"/>
            <c:size val="8"/>
            <c:spPr>
              <a:solidFill>
                <a:schemeClr val="tx2"/>
              </a:solidFill>
              <a:ln>
                <a:noFill/>
              </a:ln>
            </c:spPr>
          </c:marker>
          <c:dLbls>
            <c:dLbl>
              <c:idx val="0"/>
              <c:tx>
                <c:rich>
                  <a:bodyPr/>
                  <a:lstStyle/>
                  <a:p>
                    <a:fld id="{F056CDBE-09F1-4A57-96FA-057AC264FD58}" type="CELLRANGE">
                      <a:rPr lang="en-US"/>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CE7-4B46-ABDD-C6DB68DE69D4}"/>
                </c:ext>
              </c:extLst>
            </c:dLbl>
            <c:dLbl>
              <c:idx val="1"/>
              <c:tx>
                <c:rich>
                  <a:bodyPr/>
                  <a:lstStyle/>
                  <a:p>
                    <a:fld id="{D40D2E84-97A2-4A55-A59F-12E312197EE9}"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CE7-4B46-ABDD-C6DB68DE69D4}"/>
                </c:ext>
              </c:extLst>
            </c:dLbl>
            <c:dLbl>
              <c:idx val="2"/>
              <c:tx>
                <c:rich>
                  <a:bodyPr/>
                  <a:lstStyle/>
                  <a:p>
                    <a:fld id="{D76EF33E-2420-478F-9B7D-EFA7656F6177}"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CE7-4B46-ABDD-C6DB68DE69D4}"/>
                </c:ext>
              </c:extLst>
            </c:dLbl>
            <c:dLbl>
              <c:idx val="3"/>
              <c:tx>
                <c:rich>
                  <a:bodyPr/>
                  <a:lstStyle/>
                  <a:p>
                    <a:fld id="{5625C30E-749C-4D78-BD2F-23D1F50A3646}"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CE7-4B46-ABDD-C6DB68DE69D4}"/>
                </c:ext>
              </c:extLst>
            </c:dLbl>
            <c:dLbl>
              <c:idx val="4"/>
              <c:tx>
                <c:rich>
                  <a:bodyPr/>
                  <a:lstStyle/>
                  <a:p>
                    <a:fld id="{6F5AC6B7-F12F-4AED-95C0-E2C202734043}"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CE7-4B46-ABDD-C6DB68DE69D4}"/>
                </c:ext>
              </c:extLst>
            </c:dLbl>
            <c:dLbl>
              <c:idx val="5"/>
              <c:tx>
                <c:rich>
                  <a:bodyPr/>
                  <a:lstStyle/>
                  <a:p>
                    <a:fld id="{CF2395D1-C4BC-4D80-B580-E15EAC82F4F4}"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CE7-4B46-ABDD-C6DB68DE69D4}"/>
                </c:ext>
              </c:extLst>
            </c:dLbl>
            <c:dLbl>
              <c:idx val="6"/>
              <c:tx>
                <c:rich>
                  <a:bodyPr/>
                  <a:lstStyle/>
                  <a:p>
                    <a:fld id="{B62EAF07-0965-4988-A65A-2CEDA79B676D}"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CE7-4B46-ABDD-C6DB68DE69D4}"/>
                </c:ext>
              </c:extLst>
            </c:dLbl>
            <c:dLbl>
              <c:idx val="7"/>
              <c:tx>
                <c:rich>
                  <a:bodyPr/>
                  <a:lstStyle/>
                  <a:p>
                    <a:fld id="{8B094CB6-F5AD-4968-BCAA-9D6F6C86253C}"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CE7-4B46-ABDD-C6DB68DE69D4}"/>
                </c:ext>
              </c:extLst>
            </c:dLbl>
            <c:dLbl>
              <c:idx val="8"/>
              <c:tx>
                <c:rich>
                  <a:bodyPr/>
                  <a:lstStyle/>
                  <a:p>
                    <a:fld id="{482C1EE6-6FC0-4E53-87E9-BCA40097CAE6}"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CE7-4B46-ABDD-C6DB68DE69D4}"/>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numRef>
              <c:f>BetStop!$AB$8:$AB$16</c:f>
              <c:numCache>
                <c:formatCode>mmm\-yy</c:formatCode>
                <c:ptCount val="9"/>
                <c:pt idx="0">
                  <c:v>45139</c:v>
                </c:pt>
                <c:pt idx="1">
                  <c:v>45170</c:v>
                </c:pt>
                <c:pt idx="2">
                  <c:v>45200</c:v>
                </c:pt>
                <c:pt idx="3">
                  <c:v>45231</c:v>
                </c:pt>
                <c:pt idx="4">
                  <c:v>45261</c:v>
                </c:pt>
                <c:pt idx="5">
                  <c:v>45292</c:v>
                </c:pt>
                <c:pt idx="6">
                  <c:v>45323</c:v>
                </c:pt>
                <c:pt idx="7">
                  <c:v>45352</c:v>
                </c:pt>
                <c:pt idx="8">
                  <c:v>45383</c:v>
                </c:pt>
              </c:numCache>
            </c:numRef>
          </c:cat>
          <c:val>
            <c:numRef>
              <c:f>BetStop!$AD$8:$AD$16</c:f>
              <c:numCache>
                <c:formatCode>#,##0</c:formatCode>
                <c:ptCount val="9"/>
                <c:pt idx="0">
                  <c:v>3878</c:v>
                </c:pt>
                <c:pt idx="1">
                  <c:v>7496</c:v>
                </c:pt>
                <c:pt idx="2">
                  <c:v>10617</c:v>
                </c:pt>
                <c:pt idx="3">
                  <c:v>13608</c:v>
                </c:pt>
                <c:pt idx="4">
                  <c:v>15440</c:v>
                </c:pt>
                <c:pt idx="5">
                  <c:v>17423</c:v>
                </c:pt>
                <c:pt idx="6">
                  <c:v>19127</c:v>
                </c:pt>
                <c:pt idx="7">
                  <c:v>20885</c:v>
                </c:pt>
                <c:pt idx="8">
                  <c:v>22666</c:v>
                </c:pt>
              </c:numCache>
            </c:numRef>
          </c:val>
          <c:smooth val="0"/>
          <c:extLst>
            <c:ext xmlns:c15="http://schemas.microsoft.com/office/drawing/2012/chart" uri="{02D57815-91ED-43cb-92C2-25804820EDAC}">
              <c15:datalabelsRange>
                <c15:f>BetStop!$AF$8:$AF$16</c15:f>
                <c15:dlblRangeCache>
                  <c:ptCount val="9"/>
                  <c:pt idx="0">
                    <c:v>0.02%</c:v>
                  </c:pt>
                  <c:pt idx="1">
                    <c:v>0.04%</c:v>
                  </c:pt>
                  <c:pt idx="2">
                    <c:v>0.06%</c:v>
                  </c:pt>
                  <c:pt idx="3">
                    <c:v>0.07%</c:v>
                  </c:pt>
                  <c:pt idx="4">
                    <c:v>0.08%</c:v>
                  </c:pt>
                  <c:pt idx="5">
                    <c:v>0.09%</c:v>
                  </c:pt>
                  <c:pt idx="6">
                    <c:v>0.10%</c:v>
                  </c:pt>
                  <c:pt idx="7">
                    <c:v>0.11%</c:v>
                  </c:pt>
                  <c:pt idx="8">
                    <c:v>0.12%</c:v>
                  </c:pt>
                </c15:dlblRangeCache>
              </c15:datalabelsRange>
            </c:ext>
            <c:ext xmlns:c16="http://schemas.microsoft.com/office/drawing/2014/chart" uri="{C3380CC4-5D6E-409C-BE32-E72D297353CC}">
              <c16:uniqueId val="{00000009-2CE7-4B46-ABDD-C6DB68DE69D4}"/>
            </c:ext>
          </c:extLst>
        </c:ser>
        <c:dLbls>
          <c:showLegendKey val="0"/>
          <c:showVal val="1"/>
          <c:showCatName val="0"/>
          <c:showSerName val="0"/>
          <c:showPercent val="0"/>
          <c:showBubbleSize val="0"/>
        </c:dLbls>
        <c:marker val="1"/>
        <c:smooth val="0"/>
        <c:axId val="909613744"/>
        <c:axId val="909611824"/>
      </c:lineChart>
      <c:catAx>
        <c:axId val="909613744"/>
        <c:scaling>
          <c:orientation val="minMax"/>
          <c:min val="1"/>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09611824"/>
        <c:crosses val="autoZero"/>
        <c:auto val="0"/>
        <c:lblAlgn val="ctr"/>
        <c:lblOffset val="100"/>
        <c:noMultiLvlLbl val="0"/>
      </c:catAx>
      <c:valAx>
        <c:axId val="909611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09613744"/>
        <c:crosses val="autoZero"/>
        <c:crossBetween val="between"/>
        <c:dispUnits>
          <c:builtInUnit val="thousands"/>
        </c:dispUnits>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1">
                <a:lumMod val="75000"/>
              </a:schemeClr>
            </a:solidFill>
            <a:ln>
              <a:noFill/>
            </a:ln>
            <a:effectLst/>
          </c:spPr>
          <c:invertIfNegative val="0"/>
          <c:dPt>
            <c:idx val="4"/>
            <c:invertIfNegative val="0"/>
            <c:bubble3D val="0"/>
            <c:spPr>
              <a:solidFill>
                <a:schemeClr val="tx2"/>
              </a:solidFill>
              <a:ln>
                <a:noFill/>
              </a:ln>
              <a:effectLst/>
            </c:spPr>
            <c:extLst>
              <c:ext xmlns:c16="http://schemas.microsoft.com/office/drawing/2014/chart" uri="{C3380CC4-5D6E-409C-BE32-E72D297353CC}">
                <c16:uniqueId val="{00000001-AB55-41F5-A934-7F7E46ED36FA}"/>
              </c:ext>
            </c:extLst>
          </c:dPt>
          <c:cat>
            <c:strRef>
              <c:f>BetStop!$AK$3:$AK$7</c:f>
              <c:strCache>
                <c:ptCount val="5"/>
                <c:pt idx="0">
                  <c:v>DEN
Jan-12</c:v>
                </c:pt>
                <c:pt idx="1">
                  <c:v>UK
Apr-18</c:v>
                </c:pt>
                <c:pt idx="2">
                  <c:v>SWE
Jan-19</c:v>
                </c:pt>
                <c:pt idx="3">
                  <c:v>GER
Aug-21</c:v>
                </c:pt>
                <c:pt idx="4">
                  <c:v>AUS
Aug-23</c:v>
                </c:pt>
              </c:strCache>
            </c:strRef>
          </c:cat>
          <c:val>
            <c:numRef>
              <c:f>BetStop!$AL$3:$AL$7</c:f>
              <c:numCache>
                <c:formatCode>0.0%</c:formatCode>
                <c:ptCount val="5"/>
                <c:pt idx="0">
                  <c:v>9.9524009045833615E-3</c:v>
                </c:pt>
                <c:pt idx="1">
                  <c:v>9.5834115075861537E-3</c:v>
                </c:pt>
                <c:pt idx="2">
                  <c:v>1.1871076569554257E-2</c:v>
                </c:pt>
                <c:pt idx="3">
                  <c:v>2.7959179520014497E-3</c:v>
                </c:pt>
                <c:pt idx="4">
                  <c:v>1.215529018704056E-3</c:v>
                </c:pt>
              </c:numCache>
            </c:numRef>
          </c:val>
          <c:extLst>
            <c:ext xmlns:c16="http://schemas.microsoft.com/office/drawing/2014/chart" uri="{C3380CC4-5D6E-409C-BE32-E72D297353CC}">
              <c16:uniqueId val="{00000002-AB55-41F5-A934-7F7E46ED36FA}"/>
            </c:ext>
          </c:extLst>
        </c:ser>
        <c:dLbls>
          <c:showLegendKey val="0"/>
          <c:showVal val="0"/>
          <c:showCatName val="0"/>
          <c:showSerName val="0"/>
          <c:showPercent val="0"/>
          <c:showBubbleSize val="0"/>
        </c:dLbls>
        <c:gapWidth val="219"/>
        <c:overlap val="-27"/>
        <c:axId val="1669435920"/>
        <c:axId val="1669432560"/>
      </c:barChart>
      <c:catAx>
        <c:axId val="166943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669432560"/>
        <c:crosses val="autoZero"/>
        <c:auto val="1"/>
        <c:lblAlgn val="ctr"/>
        <c:lblOffset val="100"/>
        <c:noMultiLvlLbl val="0"/>
      </c:catAx>
      <c:valAx>
        <c:axId val="16694325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66943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landscape"/>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'Aus BetStop Data'!$D$19:$N$19</c:f>
              <c:numCache>
                <c:formatCode>#,##0</c:formatCode>
                <c:ptCount val="11"/>
                <c:pt idx="0">
                  <c:v>7496</c:v>
                </c:pt>
                <c:pt idx="1">
                  <c:v>7944</c:v>
                </c:pt>
                <c:pt idx="2">
                  <c:v>5445</c:v>
                </c:pt>
                <c:pt idx="3">
                  <c:v>5087</c:v>
                </c:pt>
                <c:pt idx="4">
                  <c:v>4521</c:v>
                </c:pt>
                <c:pt idx="5">
                  <c:v>5178</c:v>
                </c:pt>
                <c:pt idx="6">
                  <c:v>4450</c:v>
                </c:pt>
                <c:pt idx="7">
                  <c:v>4720</c:v>
                </c:pt>
                <c:pt idx="8">
                  <c:v>4541</c:v>
                </c:pt>
                <c:pt idx="9">
                  <c:v>5477</c:v>
                </c:pt>
                <c:pt idx="10">
                  <c:v>4971</c:v>
                </c:pt>
              </c:numCache>
            </c:numRef>
          </c:val>
          <c:smooth val="0"/>
          <c:extLst>
            <c:ext xmlns:c16="http://schemas.microsoft.com/office/drawing/2014/chart" uri="{C3380CC4-5D6E-409C-BE32-E72D297353CC}">
              <c16:uniqueId val="{00000000-FA57-488D-AD13-47F76BAE35CD}"/>
            </c:ext>
          </c:extLst>
        </c:ser>
        <c:dLbls>
          <c:showLegendKey val="0"/>
          <c:showVal val="0"/>
          <c:showCatName val="0"/>
          <c:showSerName val="0"/>
          <c:showPercent val="0"/>
          <c:showBubbleSize val="0"/>
        </c:dLbls>
        <c:smooth val="0"/>
        <c:axId val="1881008815"/>
        <c:axId val="1881003055"/>
      </c:lineChart>
      <c:catAx>
        <c:axId val="18810088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03055"/>
        <c:crosses val="autoZero"/>
        <c:auto val="1"/>
        <c:lblAlgn val="ctr"/>
        <c:lblOffset val="100"/>
        <c:noMultiLvlLbl val="0"/>
      </c:catAx>
      <c:valAx>
        <c:axId val="1881003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0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a:solidFill>
                <a:schemeClr val="tx2">
                  <a:lumMod val="40000"/>
                  <a:lumOff val="60000"/>
                </a:schemeClr>
              </a:solidFill>
            </a:ln>
            <a:effectLst/>
          </c:spPr>
          <c:marker>
            <c:symbol val="diamond"/>
            <c:size val="8"/>
            <c:spPr>
              <a:solidFill>
                <a:schemeClr val="tx2"/>
              </a:solidFill>
              <a:ln>
                <a:noFill/>
              </a:ln>
            </c:spPr>
          </c:marker>
          <c:dLbls>
            <c:dLbl>
              <c:idx val="0"/>
              <c:tx>
                <c:rich>
                  <a:bodyPr/>
                  <a:lstStyle/>
                  <a:p>
                    <a:fld id="{A92B28B6-DB13-4B62-9F20-35841F4305FA}" type="CELLRANGE">
                      <a:rPr lang="en-US"/>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EED-401B-A7FC-1C24B7A94D9D}"/>
                </c:ext>
              </c:extLst>
            </c:dLbl>
            <c:dLbl>
              <c:idx val="1"/>
              <c:tx>
                <c:rich>
                  <a:bodyPr/>
                  <a:lstStyle/>
                  <a:p>
                    <a:fld id="{9921681B-F7D1-4FBC-9E3F-769F2FE1BBE9}"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EED-401B-A7FC-1C24B7A94D9D}"/>
                </c:ext>
              </c:extLst>
            </c:dLbl>
            <c:dLbl>
              <c:idx val="2"/>
              <c:tx>
                <c:rich>
                  <a:bodyPr/>
                  <a:lstStyle/>
                  <a:p>
                    <a:fld id="{702C2457-5783-4067-B2F0-B57B713D7F0E}"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EED-401B-A7FC-1C24B7A94D9D}"/>
                </c:ext>
              </c:extLst>
            </c:dLbl>
            <c:dLbl>
              <c:idx val="3"/>
              <c:tx>
                <c:rich>
                  <a:bodyPr/>
                  <a:lstStyle/>
                  <a:p>
                    <a:fld id="{60FE1386-B78A-4C48-AB15-AE2A5CF96690}"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EED-401B-A7FC-1C24B7A94D9D}"/>
                </c:ext>
              </c:extLst>
            </c:dLbl>
            <c:dLbl>
              <c:idx val="4"/>
              <c:tx>
                <c:rich>
                  <a:bodyPr/>
                  <a:lstStyle/>
                  <a:p>
                    <a:fld id="{F956A99F-1D21-418A-8972-DA9D883975CF}"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EED-401B-A7FC-1C24B7A94D9D}"/>
                </c:ext>
              </c:extLst>
            </c:dLbl>
            <c:dLbl>
              <c:idx val="5"/>
              <c:tx>
                <c:rich>
                  <a:bodyPr/>
                  <a:lstStyle/>
                  <a:p>
                    <a:fld id="{AA81360F-63FD-4696-AACF-54AE355CF52D}"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EED-401B-A7FC-1C24B7A94D9D}"/>
                </c:ext>
              </c:extLst>
            </c:dLbl>
            <c:dLbl>
              <c:idx val="6"/>
              <c:tx>
                <c:rich>
                  <a:bodyPr/>
                  <a:lstStyle/>
                  <a:p>
                    <a:fld id="{95ACA42B-04A5-4725-93EB-5544AD95E4E1}"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EED-401B-A7FC-1C24B7A94D9D}"/>
                </c:ext>
              </c:extLst>
            </c:dLbl>
            <c:dLbl>
              <c:idx val="7"/>
              <c:tx>
                <c:rich>
                  <a:bodyPr/>
                  <a:lstStyle/>
                  <a:p>
                    <a:fld id="{6A39C2AC-2C19-4486-B246-0E8BA6D11286}"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EED-401B-A7FC-1C24B7A94D9D}"/>
                </c:ext>
              </c:extLst>
            </c:dLbl>
            <c:dLbl>
              <c:idx val="8"/>
              <c:tx>
                <c:rich>
                  <a:bodyPr/>
                  <a:lstStyle/>
                  <a:p>
                    <a:fld id="{64BF1D9A-B4A8-40FA-8BF2-85DD8D5FC09E}"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EED-401B-A7FC-1C24B7A94D9D}"/>
                </c:ext>
              </c:extLst>
            </c:dLbl>
            <c:dLbl>
              <c:idx val="9"/>
              <c:tx>
                <c:rich>
                  <a:bodyPr/>
                  <a:lstStyle/>
                  <a:p>
                    <a:fld id="{00DF87A5-5D41-428F-928E-53F147A551E8}"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EED-401B-A7FC-1C24B7A94D9D}"/>
                </c:ext>
              </c:extLst>
            </c:dLbl>
            <c:dLbl>
              <c:idx val="10"/>
              <c:tx>
                <c:rich>
                  <a:bodyPr/>
                  <a:lstStyle/>
                  <a:p>
                    <a:fld id="{2ADFAC80-2051-4DA9-8C26-F79588298ABD}" type="CELLRANGE">
                      <a:rPr lang="en-AU"/>
                      <a:pPr/>
                      <a:t>[CELLRANGE]</a:t>
                    </a:fld>
                    <a:endParaRPr lang="en-AU"/>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EED-401B-A7FC-1C24B7A94D9D}"/>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numRef>
              <c:f>'Aus BetStop Data'!$D$17:$N$17</c:f>
              <c:numCache>
                <c:formatCode>mmm\-yy</c:formatCode>
                <c:ptCount val="11"/>
                <c:pt idx="0">
                  <c:v>45199</c:v>
                </c:pt>
                <c:pt idx="1">
                  <c:v>45291</c:v>
                </c:pt>
                <c:pt idx="2">
                  <c:v>45382</c:v>
                </c:pt>
                <c:pt idx="3">
                  <c:v>45473</c:v>
                </c:pt>
                <c:pt idx="4">
                  <c:v>45565</c:v>
                </c:pt>
                <c:pt idx="5">
                  <c:v>45657</c:v>
                </c:pt>
                <c:pt idx="6">
                  <c:v>45747</c:v>
                </c:pt>
                <c:pt idx="7">
                  <c:v>45838</c:v>
                </c:pt>
                <c:pt idx="8">
                  <c:v>45930</c:v>
                </c:pt>
                <c:pt idx="9">
                  <c:v>46022</c:v>
                </c:pt>
                <c:pt idx="10">
                  <c:v>46112</c:v>
                </c:pt>
              </c:numCache>
            </c:numRef>
          </c:cat>
          <c:val>
            <c:numRef>
              <c:f>'Aus BetStop Data'!$D$20:$N$20</c:f>
              <c:numCache>
                <c:formatCode>#,##0</c:formatCode>
                <c:ptCount val="11"/>
                <c:pt idx="0">
                  <c:v>7496</c:v>
                </c:pt>
                <c:pt idx="1">
                  <c:v>15440</c:v>
                </c:pt>
                <c:pt idx="2">
                  <c:v>20885</c:v>
                </c:pt>
                <c:pt idx="3">
                  <c:v>25972</c:v>
                </c:pt>
                <c:pt idx="4">
                  <c:v>30493</c:v>
                </c:pt>
                <c:pt idx="5">
                  <c:v>35671</c:v>
                </c:pt>
                <c:pt idx="6">
                  <c:v>40121</c:v>
                </c:pt>
                <c:pt idx="7">
                  <c:v>44841</c:v>
                </c:pt>
                <c:pt idx="8">
                  <c:v>49382</c:v>
                </c:pt>
                <c:pt idx="9">
                  <c:v>54859</c:v>
                </c:pt>
                <c:pt idx="10">
                  <c:v>59830</c:v>
                </c:pt>
              </c:numCache>
            </c:numRef>
          </c:val>
          <c:smooth val="0"/>
          <c:extLst>
            <c:ext xmlns:c15="http://schemas.microsoft.com/office/drawing/2012/chart" uri="{02D57815-91ED-43cb-92C2-25804820EDAC}">
              <c15:datalabelsRange>
                <c15:f>'Aus BetStop Data'!$D$22:$N$22</c15:f>
                <c15:dlblRangeCache>
                  <c:ptCount val="11"/>
                  <c:pt idx="0">
                    <c:v>0.03%</c:v>
                  </c:pt>
                  <c:pt idx="1">
                    <c:v>0.07%</c:v>
                  </c:pt>
                  <c:pt idx="2">
                    <c:v>0.09%</c:v>
                  </c:pt>
                  <c:pt idx="3">
                    <c:v>0.12%</c:v>
                  </c:pt>
                  <c:pt idx="4">
                    <c:v>0.14%</c:v>
                  </c:pt>
                  <c:pt idx="5">
                    <c:v>0.16%</c:v>
                  </c:pt>
                  <c:pt idx="6">
                    <c:v>0.18%</c:v>
                  </c:pt>
                  <c:pt idx="7">
                    <c:v>0.20%</c:v>
                  </c:pt>
                  <c:pt idx="8">
                    <c:v>0.22%</c:v>
                  </c:pt>
                  <c:pt idx="9">
                    <c:v>0.25%</c:v>
                  </c:pt>
                  <c:pt idx="10">
                    <c:v>0.27%</c:v>
                  </c:pt>
                </c15:dlblRangeCache>
              </c15:datalabelsRange>
            </c:ext>
            <c:ext xmlns:c16="http://schemas.microsoft.com/office/drawing/2014/chart" uri="{C3380CC4-5D6E-409C-BE32-E72D297353CC}">
              <c16:uniqueId val="{0000000B-4EED-401B-A7FC-1C24B7A94D9D}"/>
            </c:ext>
          </c:extLst>
        </c:ser>
        <c:dLbls>
          <c:showLegendKey val="0"/>
          <c:showVal val="1"/>
          <c:showCatName val="0"/>
          <c:showSerName val="0"/>
          <c:showPercent val="0"/>
          <c:showBubbleSize val="0"/>
        </c:dLbls>
        <c:marker val="1"/>
        <c:smooth val="0"/>
        <c:axId val="909613744"/>
        <c:axId val="909611824"/>
      </c:lineChart>
      <c:catAx>
        <c:axId val="909613744"/>
        <c:scaling>
          <c:orientation val="minMax"/>
          <c:min val="1"/>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09611824"/>
        <c:crosses val="autoZero"/>
        <c:auto val="0"/>
        <c:lblAlgn val="ctr"/>
        <c:lblOffset val="100"/>
        <c:noMultiLvlLbl val="0"/>
      </c:catAx>
      <c:valAx>
        <c:axId val="909611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09613744"/>
        <c:crosses val="autoZero"/>
        <c:crossBetween val="between"/>
        <c:dispUnits>
          <c:builtInUnit val="thousands"/>
        </c:dispUnits>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7.xml"/><Relationship Id="rId7" Type="http://schemas.openxmlformats.org/officeDocument/2006/relationships/chart" Target="../charts/chart20.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image" Target="../media/image5.png"/><Relationship Id="rId5" Type="http://schemas.openxmlformats.org/officeDocument/2006/relationships/chart" Target="../charts/chart19.xml"/><Relationship Id="rId4" Type="http://schemas.openxmlformats.org/officeDocument/2006/relationships/chart" Target="../charts/chart18.xml"/><Relationship Id="rId9"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chart" Target="../charts/chart2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_rels/drawing8.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s>
</file>

<file path=xl/drawings/_rels/drawing13.xml.rels><?xml version="1.0" encoding="UTF-8" standalone="yes"?>
<Relationships xmlns="http://schemas.openxmlformats.org/package/2006/relationships"><Relationship Id="rId8" Type="http://schemas.openxmlformats.org/officeDocument/2006/relationships/image" Target="../media/image28.png"/><Relationship Id="rId13" Type="http://schemas.openxmlformats.org/officeDocument/2006/relationships/image" Target="../media/image33.png"/><Relationship Id="rId18" Type="http://schemas.openxmlformats.org/officeDocument/2006/relationships/image" Target="../media/image38.png"/><Relationship Id="rId26" Type="http://schemas.openxmlformats.org/officeDocument/2006/relationships/image" Target="../media/image46.png"/><Relationship Id="rId3" Type="http://schemas.openxmlformats.org/officeDocument/2006/relationships/image" Target="../media/image23.png"/><Relationship Id="rId21" Type="http://schemas.openxmlformats.org/officeDocument/2006/relationships/image" Target="../media/image41.png"/><Relationship Id="rId7" Type="http://schemas.openxmlformats.org/officeDocument/2006/relationships/image" Target="../media/image27.png"/><Relationship Id="rId12" Type="http://schemas.openxmlformats.org/officeDocument/2006/relationships/image" Target="../media/image32.png"/><Relationship Id="rId17" Type="http://schemas.openxmlformats.org/officeDocument/2006/relationships/image" Target="../media/image37.png"/><Relationship Id="rId25" Type="http://schemas.openxmlformats.org/officeDocument/2006/relationships/image" Target="../media/image45.png"/><Relationship Id="rId2" Type="http://schemas.openxmlformats.org/officeDocument/2006/relationships/image" Target="../media/image22.png"/><Relationship Id="rId16" Type="http://schemas.openxmlformats.org/officeDocument/2006/relationships/image" Target="../media/image36.png"/><Relationship Id="rId20" Type="http://schemas.openxmlformats.org/officeDocument/2006/relationships/image" Target="../media/image40.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24" Type="http://schemas.openxmlformats.org/officeDocument/2006/relationships/image" Target="../media/image44.png"/><Relationship Id="rId5" Type="http://schemas.openxmlformats.org/officeDocument/2006/relationships/image" Target="../media/image25.png"/><Relationship Id="rId15" Type="http://schemas.openxmlformats.org/officeDocument/2006/relationships/image" Target="../media/image35.png"/><Relationship Id="rId23" Type="http://schemas.openxmlformats.org/officeDocument/2006/relationships/image" Target="../media/image43.png"/><Relationship Id="rId28" Type="http://schemas.openxmlformats.org/officeDocument/2006/relationships/image" Target="../media/image48.png"/><Relationship Id="rId10" Type="http://schemas.openxmlformats.org/officeDocument/2006/relationships/image" Target="../media/image30.png"/><Relationship Id="rId19" Type="http://schemas.openxmlformats.org/officeDocument/2006/relationships/image" Target="../media/image39.png"/><Relationship Id="rId4" Type="http://schemas.openxmlformats.org/officeDocument/2006/relationships/image" Target="../media/image24.png"/><Relationship Id="rId9" Type="http://schemas.openxmlformats.org/officeDocument/2006/relationships/image" Target="../media/image29.png"/><Relationship Id="rId14" Type="http://schemas.openxmlformats.org/officeDocument/2006/relationships/image" Target="../media/image34.png"/><Relationship Id="rId22" Type="http://schemas.openxmlformats.org/officeDocument/2006/relationships/image" Target="../media/image42.png"/><Relationship Id="rId27" Type="http://schemas.openxmlformats.org/officeDocument/2006/relationships/image" Target="../media/image47.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image" Target="../media/image50.png"/><Relationship Id="rId1" Type="http://schemas.openxmlformats.org/officeDocument/2006/relationships/image" Target="../media/image49.png"/><Relationship Id="rId4" Type="http://schemas.openxmlformats.org/officeDocument/2006/relationships/chart" Target="../charts/chart3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9.xml.rels><?xml version="1.0" encoding="UTF-8" standalone="yes"?>
<Relationships xmlns="http://schemas.openxmlformats.org/package/2006/relationships"><Relationship Id="rId8" Type="http://schemas.openxmlformats.org/officeDocument/2006/relationships/chart" Target="../charts/chart44.xml"/><Relationship Id="rId13" Type="http://schemas.openxmlformats.org/officeDocument/2006/relationships/chart" Target="../charts/chart49.xml"/><Relationship Id="rId18" Type="http://schemas.openxmlformats.org/officeDocument/2006/relationships/chart" Target="../charts/chart54.xml"/><Relationship Id="rId3" Type="http://schemas.openxmlformats.org/officeDocument/2006/relationships/chart" Target="../charts/chart39.xml"/><Relationship Id="rId21" Type="http://schemas.openxmlformats.org/officeDocument/2006/relationships/chart" Target="../charts/chart57.xml"/><Relationship Id="rId7" Type="http://schemas.openxmlformats.org/officeDocument/2006/relationships/chart" Target="../charts/chart43.xml"/><Relationship Id="rId12" Type="http://schemas.openxmlformats.org/officeDocument/2006/relationships/chart" Target="../charts/chart48.xml"/><Relationship Id="rId17" Type="http://schemas.openxmlformats.org/officeDocument/2006/relationships/chart" Target="../charts/chart53.xml"/><Relationship Id="rId2" Type="http://schemas.openxmlformats.org/officeDocument/2006/relationships/chart" Target="../charts/chart38.xml"/><Relationship Id="rId16" Type="http://schemas.openxmlformats.org/officeDocument/2006/relationships/chart" Target="../charts/chart52.xml"/><Relationship Id="rId20" Type="http://schemas.openxmlformats.org/officeDocument/2006/relationships/chart" Target="../charts/chart56.xml"/><Relationship Id="rId1" Type="http://schemas.openxmlformats.org/officeDocument/2006/relationships/chart" Target="../charts/chart37.xml"/><Relationship Id="rId6" Type="http://schemas.openxmlformats.org/officeDocument/2006/relationships/chart" Target="../charts/chart42.xml"/><Relationship Id="rId11" Type="http://schemas.openxmlformats.org/officeDocument/2006/relationships/chart" Target="../charts/chart47.xml"/><Relationship Id="rId5" Type="http://schemas.openxmlformats.org/officeDocument/2006/relationships/chart" Target="../charts/chart41.xml"/><Relationship Id="rId15" Type="http://schemas.openxmlformats.org/officeDocument/2006/relationships/chart" Target="../charts/chart51.xml"/><Relationship Id="rId10" Type="http://schemas.openxmlformats.org/officeDocument/2006/relationships/chart" Target="../charts/chart46.xml"/><Relationship Id="rId19" Type="http://schemas.openxmlformats.org/officeDocument/2006/relationships/chart" Target="../charts/chart55.xml"/><Relationship Id="rId4" Type="http://schemas.openxmlformats.org/officeDocument/2006/relationships/chart" Target="../charts/chart40.xml"/><Relationship Id="rId9" Type="http://schemas.openxmlformats.org/officeDocument/2006/relationships/chart" Target="../charts/chart45.xml"/><Relationship Id="rId14" Type="http://schemas.openxmlformats.org/officeDocument/2006/relationships/chart" Target="../charts/chart50.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59.xml"/><Relationship Id="rId1" Type="http://schemas.openxmlformats.org/officeDocument/2006/relationships/chart" Target="../charts/chart58.xml"/></Relationships>
</file>

<file path=xl/drawings/_rels/drawing21.xml.rels><?xml version="1.0" encoding="UTF-8" standalone="yes"?>
<Relationships xmlns="http://schemas.openxmlformats.org/package/2006/relationships"><Relationship Id="rId1" Type="http://schemas.openxmlformats.org/officeDocument/2006/relationships/image" Target="../media/image51.png"/></Relationships>
</file>

<file path=xl/drawings/_rels/drawing22.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52.png"/></Relationships>
</file>

<file path=xl/drawings/_rels/drawing23.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image" Target="../media/image48.png"/><Relationship Id="rId1" Type="http://schemas.openxmlformats.org/officeDocument/2006/relationships/image" Target="../media/image55.png"/><Relationship Id="rId5" Type="http://schemas.openxmlformats.org/officeDocument/2006/relationships/image" Target="../media/image56.png"/><Relationship Id="rId4" Type="http://schemas.openxmlformats.org/officeDocument/2006/relationships/chart" Target="../charts/chart61.xml"/></Relationships>
</file>

<file path=xl/drawings/_rels/drawing24.xml.rels><?xml version="1.0" encoding="UTF-8" standalone="yes"?>
<Relationships xmlns="http://schemas.openxmlformats.org/package/2006/relationships"><Relationship Id="rId2" Type="http://schemas.openxmlformats.org/officeDocument/2006/relationships/image" Target="../media/image58.png"/><Relationship Id="rId1" Type="http://schemas.openxmlformats.org/officeDocument/2006/relationships/image" Target="../media/image5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60.png"/><Relationship Id="rId1" Type="http://schemas.openxmlformats.org/officeDocument/2006/relationships/image" Target="../media/image5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1.png"/></Relationships>
</file>

<file path=xl/drawings/_rels/drawing27.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65.xml"/><Relationship Id="rId1" Type="http://schemas.openxmlformats.org/officeDocument/2006/relationships/chart" Target="../charts/chart64.xml"/></Relationships>
</file>

<file path=xl/drawings/drawing1.xml><?xml version="1.0" encoding="utf-8"?>
<xdr:wsDr xmlns:xdr="http://schemas.openxmlformats.org/drawingml/2006/spreadsheetDrawing" xmlns:a="http://schemas.openxmlformats.org/drawingml/2006/main">
  <xdr:twoCellAnchor editAs="oneCell">
    <xdr:from>
      <xdr:col>4</xdr:col>
      <xdr:colOff>209550</xdr:colOff>
      <xdr:row>40</xdr:row>
      <xdr:rowOff>171450</xdr:rowOff>
    </xdr:from>
    <xdr:to>
      <xdr:col>20</xdr:col>
      <xdr:colOff>474998</xdr:colOff>
      <xdr:row>73</xdr:row>
      <xdr:rowOff>132569</xdr:rowOff>
    </xdr:to>
    <xdr:pic>
      <xdr:nvPicPr>
        <xdr:cNvPr id="2" name="Picture 1">
          <a:extLst>
            <a:ext uri="{FF2B5EF4-FFF2-40B4-BE49-F238E27FC236}">
              <a16:creationId xmlns:a16="http://schemas.microsoft.com/office/drawing/2014/main" id="{DFA3D86D-4EAF-A0A5-1298-274F5EDBED7A}"/>
            </a:ext>
          </a:extLst>
        </xdr:cNvPr>
        <xdr:cNvPicPr>
          <a:picLocks noChangeAspect="1"/>
        </xdr:cNvPicPr>
      </xdr:nvPicPr>
      <xdr:blipFill>
        <a:blip xmlns:r="http://schemas.openxmlformats.org/officeDocument/2006/relationships" r:embed="rId1"/>
        <a:stretch>
          <a:fillRect/>
        </a:stretch>
      </xdr:blipFill>
      <xdr:spPr>
        <a:xfrm>
          <a:off x="4362450" y="7791450"/>
          <a:ext cx="10019048" cy="6247619"/>
        </a:xfrm>
        <a:prstGeom prst="rect">
          <a:avLst/>
        </a:prstGeom>
      </xdr:spPr>
    </xdr:pic>
    <xdr:clientData/>
  </xdr:twoCellAnchor>
  <xdr:twoCellAnchor editAs="oneCell">
    <xdr:from>
      <xdr:col>6</xdr:col>
      <xdr:colOff>552450</xdr:colOff>
      <xdr:row>15</xdr:row>
      <xdr:rowOff>76200</xdr:rowOff>
    </xdr:from>
    <xdr:to>
      <xdr:col>17</xdr:col>
      <xdr:colOff>142088</xdr:colOff>
      <xdr:row>43</xdr:row>
      <xdr:rowOff>18390</xdr:rowOff>
    </xdr:to>
    <xdr:pic>
      <xdr:nvPicPr>
        <xdr:cNvPr id="3" name="Picture 2">
          <a:extLst>
            <a:ext uri="{FF2B5EF4-FFF2-40B4-BE49-F238E27FC236}">
              <a16:creationId xmlns:a16="http://schemas.microsoft.com/office/drawing/2014/main" id="{DA6E006F-28B7-EC7B-A071-B16902C21184}"/>
            </a:ext>
          </a:extLst>
        </xdr:cNvPr>
        <xdr:cNvPicPr>
          <a:picLocks noChangeAspect="1"/>
        </xdr:cNvPicPr>
      </xdr:nvPicPr>
      <xdr:blipFill>
        <a:blip xmlns:r="http://schemas.openxmlformats.org/officeDocument/2006/relationships" r:embed="rId2"/>
        <a:stretch>
          <a:fillRect/>
        </a:stretch>
      </xdr:blipFill>
      <xdr:spPr>
        <a:xfrm>
          <a:off x="5924550" y="2933700"/>
          <a:ext cx="6295238" cy="5276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210792</xdr:colOff>
      <xdr:row>18</xdr:row>
      <xdr:rowOff>77028</xdr:rowOff>
    </xdr:from>
    <xdr:to>
      <xdr:col>12</xdr:col>
      <xdr:colOff>597088</xdr:colOff>
      <xdr:row>38</xdr:row>
      <xdr:rowOff>140941</xdr:rowOff>
    </xdr:to>
    <xdr:graphicFrame macro="">
      <xdr:nvGraphicFramePr>
        <xdr:cNvPr id="3" name="Chart 2">
          <a:extLst>
            <a:ext uri="{FF2B5EF4-FFF2-40B4-BE49-F238E27FC236}">
              <a16:creationId xmlns:a16="http://schemas.microsoft.com/office/drawing/2014/main" id="{D1473907-7B8B-4925-8B45-879E9D8A6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390525</xdr:colOff>
      <xdr:row>95</xdr:row>
      <xdr:rowOff>104775</xdr:rowOff>
    </xdr:from>
    <xdr:to>
      <xdr:col>7</xdr:col>
      <xdr:colOff>298500</xdr:colOff>
      <xdr:row>115</xdr:row>
      <xdr:rowOff>127275</xdr:rowOff>
    </xdr:to>
    <xdr:graphicFrame macro="">
      <xdr:nvGraphicFramePr>
        <xdr:cNvPr id="6" name="Chart 5">
          <a:extLst>
            <a:ext uri="{FF2B5EF4-FFF2-40B4-BE49-F238E27FC236}">
              <a16:creationId xmlns:a16="http://schemas.microsoft.com/office/drawing/2014/main" id="{839712D3-1B41-43F8-A460-9A967AB7B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128587</xdr:colOff>
      <xdr:row>97</xdr:row>
      <xdr:rowOff>23812</xdr:rowOff>
    </xdr:from>
    <xdr:to>
      <xdr:col>27</xdr:col>
      <xdr:colOff>541387</xdr:colOff>
      <xdr:row>117</xdr:row>
      <xdr:rowOff>46312</xdr:rowOff>
    </xdr:to>
    <xdr:graphicFrame macro="">
      <xdr:nvGraphicFramePr>
        <xdr:cNvPr id="10" name="Chart 9">
          <a:extLst>
            <a:ext uri="{FF2B5EF4-FFF2-40B4-BE49-F238E27FC236}">
              <a16:creationId xmlns:a16="http://schemas.microsoft.com/office/drawing/2014/main" id="{9305B150-5597-17E8-1569-011D4E61E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161925</xdr:colOff>
      <xdr:row>76</xdr:row>
      <xdr:rowOff>47625</xdr:rowOff>
    </xdr:from>
    <xdr:to>
      <xdr:col>27</xdr:col>
      <xdr:colOff>574725</xdr:colOff>
      <xdr:row>96</xdr:row>
      <xdr:rowOff>22500</xdr:rowOff>
    </xdr:to>
    <xdr:graphicFrame macro="">
      <xdr:nvGraphicFramePr>
        <xdr:cNvPr id="11" name="Chart 10">
          <a:extLst>
            <a:ext uri="{FF2B5EF4-FFF2-40B4-BE49-F238E27FC236}">
              <a16:creationId xmlns:a16="http://schemas.microsoft.com/office/drawing/2014/main" id="{627F9796-98F4-4BB7-8403-13D93A9FF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76200</xdr:colOff>
      <xdr:row>55</xdr:row>
      <xdr:rowOff>104775</xdr:rowOff>
    </xdr:from>
    <xdr:to>
      <xdr:col>27</xdr:col>
      <xdr:colOff>489000</xdr:colOff>
      <xdr:row>75</xdr:row>
      <xdr:rowOff>127275</xdr:rowOff>
    </xdr:to>
    <xdr:graphicFrame macro="">
      <xdr:nvGraphicFramePr>
        <xdr:cNvPr id="13" name="Chart 12">
          <a:extLst>
            <a:ext uri="{FF2B5EF4-FFF2-40B4-BE49-F238E27FC236}">
              <a16:creationId xmlns:a16="http://schemas.microsoft.com/office/drawing/2014/main" id="{2EB1CC95-59FE-4588-B7E8-E140FFEB2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95250</xdr:colOff>
      <xdr:row>97</xdr:row>
      <xdr:rowOff>23812</xdr:rowOff>
    </xdr:from>
    <xdr:to>
      <xdr:col>35</xdr:col>
      <xdr:colOff>508050</xdr:colOff>
      <xdr:row>117</xdr:row>
      <xdr:rowOff>46312</xdr:rowOff>
    </xdr:to>
    <xdr:graphicFrame macro="">
      <xdr:nvGraphicFramePr>
        <xdr:cNvPr id="14" name="Chart 13">
          <a:extLst>
            <a:ext uri="{FF2B5EF4-FFF2-40B4-BE49-F238E27FC236}">
              <a16:creationId xmlns:a16="http://schemas.microsoft.com/office/drawing/2014/main" id="{3E1ACF3F-D205-47C4-9E58-327C67816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128588</xdr:colOff>
      <xdr:row>76</xdr:row>
      <xdr:rowOff>47625</xdr:rowOff>
    </xdr:from>
    <xdr:to>
      <xdr:col>35</xdr:col>
      <xdr:colOff>541388</xdr:colOff>
      <xdr:row>96</xdr:row>
      <xdr:rowOff>22500</xdr:rowOff>
    </xdr:to>
    <xdr:graphicFrame macro="">
      <xdr:nvGraphicFramePr>
        <xdr:cNvPr id="15" name="Chart 14">
          <a:extLst>
            <a:ext uri="{FF2B5EF4-FFF2-40B4-BE49-F238E27FC236}">
              <a16:creationId xmlns:a16="http://schemas.microsoft.com/office/drawing/2014/main" id="{7ABD6FDB-FEDA-4143-B726-EAC95F302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42863</xdr:colOff>
      <xdr:row>55</xdr:row>
      <xdr:rowOff>104775</xdr:rowOff>
    </xdr:from>
    <xdr:to>
      <xdr:col>35</xdr:col>
      <xdr:colOff>455663</xdr:colOff>
      <xdr:row>75</xdr:row>
      <xdr:rowOff>127275</xdr:rowOff>
    </xdr:to>
    <xdr:graphicFrame macro="">
      <xdr:nvGraphicFramePr>
        <xdr:cNvPr id="16" name="Chart 15">
          <a:extLst>
            <a:ext uri="{FF2B5EF4-FFF2-40B4-BE49-F238E27FC236}">
              <a16:creationId xmlns:a16="http://schemas.microsoft.com/office/drawing/2014/main" id="{60B07EF9-8536-4C38-8D49-9D92924B3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390525</xdr:colOff>
      <xdr:row>119</xdr:row>
      <xdr:rowOff>95250</xdr:rowOff>
    </xdr:from>
    <xdr:to>
      <xdr:col>8</xdr:col>
      <xdr:colOff>271996</xdr:colOff>
      <xdr:row>137</xdr:row>
      <xdr:rowOff>16288</xdr:rowOff>
    </xdr:to>
    <xdr:graphicFrame macro="">
      <xdr:nvGraphicFramePr>
        <xdr:cNvPr id="2" name="Chart 1">
          <a:extLst>
            <a:ext uri="{FF2B5EF4-FFF2-40B4-BE49-F238E27FC236}">
              <a16:creationId xmlns:a16="http://schemas.microsoft.com/office/drawing/2014/main" id="{AA49E09E-A0BD-4900-87AA-4A6DA26FA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95250</xdr:colOff>
      <xdr:row>118</xdr:row>
      <xdr:rowOff>9525</xdr:rowOff>
    </xdr:from>
    <xdr:to>
      <xdr:col>27</xdr:col>
      <xdr:colOff>508050</xdr:colOff>
      <xdr:row>138</xdr:row>
      <xdr:rowOff>32025</xdr:rowOff>
    </xdr:to>
    <xdr:graphicFrame macro="">
      <xdr:nvGraphicFramePr>
        <xdr:cNvPr id="4" name="Chart 3">
          <a:extLst>
            <a:ext uri="{FF2B5EF4-FFF2-40B4-BE49-F238E27FC236}">
              <a16:creationId xmlns:a16="http://schemas.microsoft.com/office/drawing/2014/main" id="{12B452F8-04C9-4B68-9073-D3DE6E370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233362</xdr:colOff>
      <xdr:row>24</xdr:row>
      <xdr:rowOff>4762</xdr:rowOff>
    </xdr:from>
    <xdr:to>
      <xdr:col>25</xdr:col>
      <xdr:colOff>538162</xdr:colOff>
      <xdr:row>43</xdr:row>
      <xdr:rowOff>33337</xdr:rowOff>
    </xdr:to>
    <xdr:graphicFrame macro="">
      <xdr:nvGraphicFramePr>
        <xdr:cNvPr id="8" name="Chart 7">
          <a:extLst>
            <a:ext uri="{FF2B5EF4-FFF2-40B4-BE49-F238E27FC236}">
              <a16:creationId xmlns:a16="http://schemas.microsoft.com/office/drawing/2014/main" id="{3EB5B7B9-EA36-C344-EF3C-3431A2CE1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333375</xdr:colOff>
      <xdr:row>24</xdr:row>
      <xdr:rowOff>123825</xdr:rowOff>
    </xdr:from>
    <xdr:to>
      <xdr:col>34</xdr:col>
      <xdr:colOff>28575</xdr:colOff>
      <xdr:row>44</xdr:row>
      <xdr:rowOff>9525</xdr:rowOff>
    </xdr:to>
    <xdr:graphicFrame macro="">
      <xdr:nvGraphicFramePr>
        <xdr:cNvPr id="9" name="Chart 8">
          <a:extLst>
            <a:ext uri="{FF2B5EF4-FFF2-40B4-BE49-F238E27FC236}">
              <a16:creationId xmlns:a16="http://schemas.microsoft.com/office/drawing/2014/main" id="{69A2FD65-BEB7-46CF-9531-EA1AC38C0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18</xdr:col>
      <xdr:colOff>581025</xdr:colOff>
      <xdr:row>2</xdr:row>
      <xdr:rowOff>0</xdr:rowOff>
    </xdr:from>
    <xdr:ext cx="5647619" cy="7733333"/>
    <xdr:pic>
      <xdr:nvPicPr>
        <xdr:cNvPr id="2" name="Picture 1">
          <a:extLst>
            <a:ext uri="{FF2B5EF4-FFF2-40B4-BE49-F238E27FC236}">
              <a16:creationId xmlns:a16="http://schemas.microsoft.com/office/drawing/2014/main" id="{552224AB-5FF3-44DF-BAA8-34E0F697C43D}"/>
            </a:ext>
          </a:extLst>
        </xdr:cNvPr>
        <xdr:cNvPicPr>
          <a:picLocks noChangeAspect="1"/>
        </xdr:cNvPicPr>
      </xdr:nvPicPr>
      <xdr:blipFill>
        <a:blip xmlns:r="http://schemas.openxmlformats.org/officeDocument/2006/relationships" r:embed="rId1"/>
        <a:stretch>
          <a:fillRect/>
        </a:stretch>
      </xdr:blipFill>
      <xdr:spPr>
        <a:xfrm>
          <a:off x="13858875" y="381000"/>
          <a:ext cx="5647619" cy="7733333"/>
        </a:xfrm>
        <a:prstGeom prst="rect">
          <a:avLst/>
        </a:prstGeom>
      </xdr:spPr>
    </xdr:pic>
    <xdr:clientData/>
  </xdr:oneCellAnchor>
  <xdr:twoCellAnchor editAs="oneCell">
    <xdr:from>
      <xdr:col>18</xdr:col>
      <xdr:colOff>0</xdr:colOff>
      <xdr:row>44</xdr:row>
      <xdr:rowOff>0</xdr:rowOff>
    </xdr:from>
    <xdr:to>
      <xdr:col>30</xdr:col>
      <xdr:colOff>191548</xdr:colOff>
      <xdr:row>59</xdr:row>
      <xdr:rowOff>76609</xdr:rowOff>
    </xdr:to>
    <xdr:pic>
      <xdr:nvPicPr>
        <xdr:cNvPr id="3" name="Picture 2">
          <a:extLst>
            <a:ext uri="{FF2B5EF4-FFF2-40B4-BE49-F238E27FC236}">
              <a16:creationId xmlns:a16="http://schemas.microsoft.com/office/drawing/2014/main" id="{66C8EF58-08B0-153F-2335-DD97D498265A}"/>
            </a:ext>
          </a:extLst>
        </xdr:cNvPr>
        <xdr:cNvPicPr>
          <a:picLocks noChangeAspect="1"/>
        </xdr:cNvPicPr>
      </xdr:nvPicPr>
      <xdr:blipFill>
        <a:blip xmlns:r="http://schemas.openxmlformats.org/officeDocument/2006/relationships" r:embed="rId2"/>
        <a:stretch>
          <a:fillRect/>
        </a:stretch>
      </xdr:blipFill>
      <xdr:spPr>
        <a:xfrm>
          <a:off x="13277850" y="8382000"/>
          <a:ext cx="7506748" cy="2934109"/>
        </a:xfrm>
        <a:prstGeom prst="rect">
          <a:avLst/>
        </a:prstGeom>
      </xdr:spPr>
    </xdr:pic>
    <xdr:clientData/>
  </xdr:twoCellAnchor>
  <xdr:twoCellAnchor editAs="oneCell">
    <xdr:from>
      <xdr:col>18</xdr:col>
      <xdr:colOff>152400</xdr:colOff>
      <xdr:row>44</xdr:row>
      <xdr:rowOff>152400</xdr:rowOff>
    </xdr:from>
    <xdr:to>
      <xdr:col>30</xdr:col>
      <xdr:colOff>343948</xdr:colOff>
      <xdr:row>60</xdr:row>
      <xdr:rowOff>38509</xdr:rowOff>
    </xdr:to>
    <xdr:pic>
      <xdr:nvPicPr>
        <xdr:cNvPr id="4" name="Picture 3">
          <a:extLst>
            <a:ext uri="{FF2B5EF4-FFF2-40B4-BE49-F238E27FC236}">
              <a16:creationId xmlns:a16="http://schemas.microsoft.com/office/drawing/2014/main" id="{60DA5151-B1D5-8BB3-4172-F5A2D47CD915}"/>
            </a:ext>
          </a:extLst>
        </xdr:cNvPr>
        <xdr:cNvPicPr>
          <a:picLocks noChangeAspect="1"/>
        </xdr:cNvPicPr>
      </xdr:nvPicPr>
      <xdr:blipFill>
        <a:blip xmlns:r="http://schemas.openxmlformats.org/officeDocument/2006/relationships" r:embed="rId2"/>
        <a:stretch>
          <a:fillRect/>
        </a:stretch>
      </xdr:blipFill>
      <xdr:spPr>
        <a:xfrm>
          <a:off x="13430250" y="8534400"/>
          <a:ext cx="7506748" cy="2934109"/>
        </a:xfrm>
        <a:prstGeom prst="rect">
          <a:avLst/>
        </a:prstGeom>
      </xdr:spPr>
    </xdr:pic>
    <xdr:clientData/>
  </xdr:twoCellAnchor>
  <xdr:twoCellAnchor editAs="oneCell">
    <xdr:from>
      <xdr:col>18</xdr:col>
      <xdr:colOff>304800</xdr:colOff>
      <xdr:row>45</xdr:row>
      <xdr:rowOff>114300</xdr:rowOff>
    </xdr:from>
    <xdr:to>
      <xdr:col>30</xdr:col>
      <xdr:colOff>496348</xdr:colOff>
      <xdr:row>61</xdr:row>
      <xdr:rowOff>409</xdr:rowOff>
    </xdr:to>
    <xdr:pic>
      <xdr:nvPicPr>
        <xdr:cNvPr id="5" name="Picture 4">
          <a:extLst>
            <a:ext uri="{FF2B5EF4-FFF2-40B4-BE49-F238E27FC236}">
              <a16:creationId xmlns:a16="http://schemas.microsoft.com/office/drawing/2014/main" id="{344FAC46-D651-B801-A655-55B641333A1A}"/>
            </a:ext>
          </a:extLst>
        </xdr:cNvPr>
        <xdr:cNvPicPr>
          <a:picLocks noChangeAspect="1"/>
        </xdr:cNvPicPr>
      </xdr:nvPicPr>
      <xdr:blipFill>
        <a:blip xmlns:r="http://schemas.openxmlformats.org/officeDocument/2006/relationships" r:embed="rId2"/>
        <a:stretch>
          <a:fillRect/>
        </a:stretch>
      </xdr:blipFill>
      <xdr:spPr>
        <a:xfrm>
          <a:off x="13582650" y="8686800"/>
          <a:ext cx="7506748" cy="2934109"/>
        </a:xfrm>
        <a:prstGeom prst="rect">
          <a:avLst/>
        </a:prstGeom>
      </xdr:spPr>
    </xdr:pic>
    <xdr:clientData/>
  </xdr:twoCellAnchor>
  <xdr:twoCellAnchor editAs="oneCell">
    <xdr:from>
      <xdr:col>18</xdr:col>
      <xdr:colOff>457200</xdr:colOff>
      <xdr:row>46</xdr:row>
      <xdr:rowOff>76200</xdr:rowOff>
    </xdr:from>
    <xdr:to>
      <xdr:col>31</xdr:col>
      <xdr:colOff>39148</xdr:colOff>
      <xdr:row>61</xdr:row>
      <xdr:rowOff>152809</xdr:rowOff>
    </xdr:to>
    <xdr:pic>
      <xdr:nvPicPr>
        <xdr:cNvPr id="6" name="Picture 5">
          <a:extLst>
            <a:ext uri="{FF2B5EF4-FFF2-40B4-BE49-F238E27FC236}">
              <a16:creationId xmlns:a16="http://schemas.microsoft.com/office/drawing/2014/main" id="{47BF734A-8673-819C-DD39-62C41EC4DA05}"/>
            </a:ext>
          </a:extLst>
        </xdr:cNvPr>
        <xdr:cNvPicPr>
          <a:picLocks noChangeAspect="1"/>
        </xdr:cNvPicPr>
      </xdr:nvPicPr>
      <xdr:blipFill>
        <a:blip xmlns:r="http://schemas.openxmlformats.org/officeDocument/2006/relationships" r:embed="rId2"/>
        <a:stretch>
          <a:fillRect/>
        </a:stretch>
      </xdr:blipFill>
      <xdr:spPr>
        <a:xfrm>
          <a:off x="13735050" y="8839200"/>
          <a:ext cx="7506748" cy="2934109"/>
        </a:xfrm>
        <a:prstGeom prst="rect">
          <a:avLst/>
        </a:prstGeom>
      </xdr:spPr>
    </xdr:pic>
    <xdr:clientData/>
  </xdr:twoCellAnchor>
  <xdr:twoCellAnchor editAs="oneCell">
    <xdr:from>
      <xdr:col>19</xdr:col>
      <xdr:colOff>0</xdr:colOff>
      <xdr:row>47</xdr:row>
      <xdr:rowOff>38100</xdr:rowOff>
    </xdr:from>
    <xdr:to>
      <xdr:col>31</xdr:col>
      <xdr:colOff>191548</xdr:colOff>
      <xdr:row>62</xdr:row>
      <xdr:rowOff>114709</xdr:rowOff>
    </xdr:to>
    <xdr:pic>
      <xdr:nvPicPr>
        <xdr:cNvPr id="7" name="Picture 6">
          <a:extLst>
            <a:ext uri="{FF2B5EF4-FFF2-40B4-BE49-F238E27FC236}">
              <a16:creationId xmlns:a16="http://schemas.microsoft.com/office/drawing/2014/main" id="{5029261B-DFA1-7C8F-1324-A465B0D71A33}"/>
            </a:ext>
          </a:extLst>
        </xdr:cNvPr>
        <xdr:cNvPicPr>
          <a:picLocks noChangeAspect="1"/>
        </xdr:cNvPicPr>
      </xdr:nvPicPr>
      <xdr:blipFill>
        <a:blip xmlns:r="http://schemas.openxmlformats.org/officeDocument/2006/relationships" r:embed="rId2"/>
        <a:stretch>
          <a:fillRect/>
        </a:stretch>
      </xdr:blipFill>
      <xdr:spPr>
        <a:xfrm>
          <a:off x="13887450" y="8991600"/>
          <a:ext cx="7506748" cy="2934109"/>
        </a:xfrm>
        <a:prstGeom prst="rect">
          <a:avLst/>
        </a:prstGeom>
      </xdr:spPr>
    </xdr:pic>
    <xdr:clientData/>
  </xdr:twoCellAnchor>
  <xdr:twoCellAnchor editAs="oneCell">
    <xdr:from>
      <xdr:col>19</xdr:col>
      <xdr:colOff>152400</xdr:colOff>
      <xdr:row>48</xdr:row>
      <xdr:rowOff>0</xdr:rowOff>
    </xdr:from>
    <xdr:to>
      <xdr:col>31</xdr:col>
      <xdr:colOff>343948</xdr:colOff>
      <xdr:row>63</xdr:row>
      <xdr:rowOff>76609</xdr:rowOff>
    </xdr:to>
    <xdr:pic>
      <xdr:nvPicPr>
        <xdr:cNvPr id="8" name="Picture 7">
          <a:extLst>
            <a:ext uri="{FF2B5EF4-FFF2-40B4-BE49-F238E27FC236}">
              <a16:creationId xmlns:a16="http://schemas.microsoft.com/office/drawing/2014/main" id="{A933118B-1EF4-A779-0B42-7CF262B6278E}"/>
            </a:ext>
          </a:extLst>
        </xdr:cNvPr>
        <xdr:cNvPicPr>
          <a:picLocks noChangeAspect="1"/>
        </xdr:cNvPicPr>
      </xdr:nvPicPr>
      <xdr:blipFill>
        <a:blip xmlns:r="http://schemas.openxmlformats.org/officeDocument/2006/relationships" r:embed="rId2"/>
        <a:stretch>
          <a:fillRect/>
        </a:stretch>
      </xdr:blipFill>
      <xdr:spPr>
        <a:xfrm>
          <a:off x="14039850" y="9144000"/>
          <a:ext cx="7506748" cy="2934109"/>
        </a:xfrm>
        <a:prstGeom prst="rect">
          <a:avLst/>
        </a:prstGeom>
      </xdr:spPr>
    </xdr:pic>
    <xdr:clientData/>
  </xdr:twoCellAnchor>
  <xdr:twoCellAnchor editAs="oneCell">
    <xdr:from>
      <xdr:col>19</xdr:col>
      <xdr:colOff>304800</xdr:colOff>
      <xdr:row>48</xdr:row>
      <xdr:rowOff>152400</xdr:rowOff>
    </xdr:from>
    <xdr:to>
      <xdr:col>31</xdr:col>
      <xdr:colOff>496348</xdr:colOff>
      <xdr:row>64</xdr:row>
      <xdr:rowOff>38509</xdr:rowOff>
    </xdr:to>
    <xdr:pic>
      <xdr:nvPicPr>
        <xdr:cNvPr id="9" name="Picture 8">
          <a:extLst>
            <a:ext uri="{FF2B5EF4-FFF2-40B4-BE49-F238E27FC236}">
              <a16:creationId xmlns:a16="http://schemas.microsoft.com/office/drawing/2014/main" id="{4D19E243-3CE4-5466-CD8E-9C81651F1626}"/>
            </a:ext>
          </a:extLst>
        </xdr:cNvPr>
        <xdr:cNvPicPr>
          <a:picLocks noChangeAspect="1"/>
        </xdr:cNvPicPr>
      </xdr:nvPicPr>
      <xdr:blipFill>
        <a:blip xmlns:r="http://schemas.openxmlformats.org/officeDocument/2006/relationships" r:embed="rId2"/>
        <a:stretch>
          <a:fillRect/>
        </a:stretch>
      </xdr:blipFill>
      <xdr:spPr>
        <a:xfrm>
          <a:off x="14192250" y="9296400"/>
          <a:ext cx="7506748" cy="2934109"/>
        </a:xfrm>
        <a:prstGeom prst="rect">
          <a:avLst/>
        </a:prstGeom>
      </xdr:spPr>
    </xdr:pic>
    <xdr:clientData/>
  </xdr:twoCellAnchor>
  <xdr:twoCellAnchor editAs="oneCell">
    <xdr:from>
      <xdr:col>19</xdr:col>
      <xdr:colOff>457200</xdr:colOff>
      <xdr:row>49</xdr:row>
      <xdr:rowOff>114300</xdr:rowOff>
    </xdr:from>
    <xdr:to>
      <xdr:col>32</xdr:col>
      <xdr:colOff>39148</xdr:colOff>
      <xdr:row>65</xdr:row>
      <xdr:rowOff>409</xdr:rowOff>
    </xdr:to>
    <xdr:pic>
      <xdr:nvPicPr>
        <xdr:cNvPr id="10" name="Picture 9">
          <a:extLst>
            <a:ext uri="{FF2B5EF4-FFF2-40B4-BE49-F238E27FC236}">
              <a16:creationId xmlns:a16="http://schemas.microsoft.com/office/drawing/2014/main" id="{9E4DF764-552C-99E5-6393-522D8C26A282}"/>
            </a:ext>
          </a:extLst>
        </xdr:cNvPr>
        <xdr:cNvPicPr>
          <a:picLocks noChangeAspect="1"/>
        </xdr:cNvPicPr>
      </xdr:nvPicPr>
      <xdr:blipFill>
        <a:blip xmlns:r="http://schemas.openxmlformats.org/officeDocument/2006/relationships" r:embed="rId2"/>
        <a:stretch>
          <a:fillRect/>
        </a:stretch>
      </xdr:blipFill>
      <xdr:spPr>
        <a:xfrm>
          <a:off x="14344650" y="9448800"/>
          <a:ext cx="7506748" cy="2934109"/>
        </a:xfrm>
        <a:prstGeom prst="rect">
          <a:avLst/>
        </a:prstGeom>
      </xdr:spPr>
    </xdr:pic>
    <xdr:clientData/>
  </xdr:twoCellAnchor>
  <xdr:twoCellAnchor editAs="oneCell">
    <xdr:from>
      <xdr:col>20</xdr:col>
      <xdr:colOff>0</xdr:colOff>
      <xdr:row>50</xdr:row>
      <xdr:rowOff>76200</xdr:rowOff>
    </xdr:from>
    <xdr:to>
      <xdr:col>32</xdr:col>
      <xdr:colOff>191548</xdr:colOff>
      <xdr:row>65</xdr:row>
      <xdr:rowOff>152809</xdr:rowOff>
    </xdr:to>
    <xdr:pic>
      <xdr:nvPicPr>
        <xdr:cNvPr id="11" name="Picture 10">
          <a:extLst>
            <a:ext uri="{FF2B5EF4-FFF2-40B4-BE49-F238E27FC236}">
              <a16:creationId xmlns:a16="http://schemas.microsoft.com/office/drawing/2014/main" id="{0AC6F9B1-47A6-925F-6B52-EA790D78A678}"/>
            </a:ext>
          </a:extLst>
        </xdr:cNvPr>
        <xdr:cNvPicPr>
          <a:picLocks noChangeAspect="1"/>
        </xdr:cNvPicPr>
      </xdr:nvPicPr>
      <xdr:blipFill>
        <a:blip xmlns:r="http://schemas.openxmlformats.org/officeDocument/2006/relationships" r:embed="rId2"/>
        <a:stretch>
          <a:fillRect/>
        </a:stretch>
      </xdr:blipFill>
      <xdr:spPr>
        <a:xfrm>
          <a:off x="14497050" y="9601200"/>
          <a:ext cx="7506748" cy="2934109"/>
        </a:xfrm>
        <a:prstGeom prst="rect">
          <a:avLst/>
        </a:prstGeom>
      </xdr:spPr>
    </xdr:pic>
    <xdr:clientData/>
  </xdr:twoCellAnchor>
  <xdr:twoCellAnchor editAs="oneCell">
    <xdr:from>
      <xdr:col>20</xdr:col>
      <xdr:colOff>152400</xdr:colOff>
      <xdr:row>51</xdr:row>
      <xdr:rowOff>38100</xdr:rowOff>
    </xdr:from>
    <xdr:to>
      <xdr:col>32</xdr:col>
      <xdr:colOff>343948</xdr:colOff>
      <xdr:row>66</xdr:row>
      <xdr:rowOff>114709</xdr:rowOff>
    </xdr:to>
    <xdr:pic>
      <xdr:nvPicPr>
        <xdr:cNvPr id="12" name="Picture 11">
          <a:extLst>
            <a:ext uri="{FF2B5EF4-FFF2-40B4-BE49-F238E27FC236}">
              <a16:creationId xmlns:a16="http://schemas.microsoft.com/office/drawing/2014/main" id="{E5EA66F0-D41C-31AE-C97A-31787864BF74}"/>
            </a:ext>
          </a:extLst>
        </xdr:cNvPr>
        <xdr:cNvPicPr>
          <a:picLocks noChangeAspect="1"/>
        </xdr:cNvPicPr>
      </xdr:nvPicPr>
      <xdr:blipFill>
        <a:blip xmlns:r="http://schemas.openxmlformats.org/officeDocument/2006/relationships" r:embed="rId2"/>
        <a:stretch>
          <a:fillRect/>
        </a:stretch>
      </xdr:blipFill>
      <xdr:spPr>
        <a:xfrm>
          <a:off x="14649450" y="9753600"/>
          <a:ext cx="7506748" cy="29341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493059</xdr:colOff>
      <xdr:row>60</xdr:row>
      <xdr:rowOff>44823</xdr:rowOff>
    </xdr:from>
    <xdr:to>
      <xdr:col>30</xdr:col>
      <xdr:colOff>89502</xdr:colOff>
      <xdr:row>100</xdr:row>
      <xdr:rowOff>158156</xdr:rowOff>
    </xdr:to>
    <xdr:pic>
      <xdr:nvPicPr>
        <xdr:cNvPr id="2" name="Picture 1">
          <a:extLst>
            <a:ext uri="{FF2B5EF4-FFF2-40B4-BE49-F238E27FC236}">
              <a16:creationId xmlns:a16="http://schemas.microsoft.com/office/drawing/2014/main" id="{CC242A06-D37E-6410-33A7-5B8898B91DCC}"/>
            </a:ext>
          </a:extLst>
        </xdr:cNvPr>
        <xdr:cNvPicPr>
          <a:picLocks noChangeAspect="1"/>
        </xdr:cNvPicPr>
      </xdr:nvPicPr>
      <xdr:blipFill>
        <a:blip xmlns:r="http://schemas.openxmlformats.org/officeDocument/2006/relationships" r:embed="rId1"/>
        <a:stretch>
          <a:fillRect/>
        </a:stretch>
      </xdr:blipFill>
      <xdr:spPr>
        <a:xfrm>
          <a:off x="14197853" y="11093823"/>
          <a:ext cx="5647619" cy="77333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20</xdr:row>
      <xdr:rowOff>0</xdr:rowOff>
    </xdr:from>
    <xdr:to>
      <xdr:col>15</xdr:col>
      <xdr:colOff>273600</xdr:colOff>
      <xdr:row>35</xdr:row>
      <xdr:rowOff>22500</xdr:rowOff>
    </xdr:to>
    <xdr:graphicFrame macro="">
      <xdr:nvGraphicFramePr>
        <xdr:cNvPr id="3" name="Chart 2">
          <a:extLst>
            <a:ext uri="{FF2B5EF4-FFF2-40B4-BE49-F238E27FC236}">
              <a16:creationId xmlns:a16="http://schemas.microsoft.com/office/drawing/2014/main" id="{6970B316-AD2E-473D-8B2E-5762EF51E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36</xdr:row>
      <xdr:rowOff>0</xdr:rowOff>
    </xdr:from>
    <xdr:to>
      <xdr:col>15</xdr:col>
      <xdr:colOff>273600</xdr:colOff>
      <xdr:row>51</xdr:row>
      <xdr:rowOff>22500</xdr:rowOff>
    </xdr:to>
    <xdr:graphicFrame macro="">
      <xdr:nvGraphicFramePr>
        <xdr:cNvPr id="2" name="Chart 1">
          <a:extLst>
            <a:ext uri="{FF2B5EF4-FFF2-40B4-BE49-F238E27FC236}">
              <a16:creationId xmlns:a16="http://schemas.microsoft.com/office/drawing/2014/main" id="{35129865-7518-4277-A10C-62AE2B9E5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44</xdr:col>
      <xdr:colOff>476250</xdr:colOff>
      <xdr:row>85</xdr:row>
      <xdr:rowOff>42862</xdr:rowOff>
    </xdr:from>
    <xdr:to>
      <xdr:col>52</xdr:col>
      <xdr:colOff>171450</xdr:colOff>
      <xdr:row>104</xdr:row>
      <xdr:rowOff>71437</xdr:rowOff>
    </xdr:to>
    <xdr:graphicFrame macro="">
      <xdr:nvGraphicFramePr>
        <xdr:cNvPr id="3" name="Chart 2">
          <a:extLst>
            <a:ext uri="{FF2B5EF4-FFF2-40B4-BE49-F238E27FC236}">
              <a16:creationId xmlns:a16="http://schemas.microsoft.com/office/drawing/2014/main" id="{6D3BC2BE-92E7-2D34-B84C-B63D64A74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542925</xdr:colOff>
      <xdr:row>91</xdr:row>
      <xdr:rowOff>138112</xdr:rowOff>
    </xdr:from>
    <xdr:to>
      <xdr:col>7</xdr:col>
      <xdr:colOff>447675</xdr:colOff>
      <xdr:row>115</xdr:row>
      <xdr:rowOff>23812</xdr:rowOff>
    </xdr:to>
    <xdr:graphicFrame macro="">
      <xdr:nvGraphicFramePr>
        <xdr:cNvPr id="5" name="Chart 4">
          <a:extLst>
            <a:ext uri="{FF2B5EF4-FFF2-40B4-BE49-F238E27FC236}">
              <a16:creationId xmlns:a16="http://schemas.microsoft.com/office/drawing/2014/main" id="{E90953BA-11F8-DDFD-59A0-217F9F7DD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409575</xdr:colOff>
      <xdr:row>86</xdr:row>
      <xdr:rowOff>66675</xdr:rowOff>
    </xdr:from>
    <xdr:to>
      <xdr:col>35</xdr:col>
      <xdr:colOff>352425</xdr:colOff>
      <xdr:row>105</xdr:row>
      <xdr:rowOff>95250</xdr:rowOff>
    </xdr:to>
    <xdr:graphicFrame macro="">
      <xdr:nvGraphicFramePr>
        <xdr:cNvPr id="6" name="Chart 5">
          <a:extLst>
            <a:ext uri="{FF2B5EF4-FFF2-40B4-BE49-F238E27FC236}">
              <a16:creationId xmlns:a16="http://schemas.microsoft.com/office/drawing/2014/main" id="{EAB5B562-510B-4EA2-94A1-3A61A11F2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4762</xdr:colOff>
      <xdr:row>86</xdr:row>
      <xdr:rowOff>128587</xdr:rowOff>
    </xdr:from>
    <xdr:to>
      <xdr:col>44</xdr:col>
      <xdr:colOff>80962</xdr:colOff>
      <xdr:row>106</xdr:row>
      <xdr:rowOff>14287</xdr:rowOff>
    </xdr:to>
    <xdr:graphicFrame macro="">
      <xdr:nvGraphicFramePr>
        <xdr:cNvPr id="7" name="Chart 6">
          <a:extLst>
            <a:ext uri="{FF2B5EF4-FFF2-40B4-BE49-F238E27FC236}">
              <a16:creationId xmlns:a16="http://schemas.microsoft.com/office/drawing/2014/main" id="{3AED69CD-E8D7-CCAC-6F3B-07D7717BB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257175</xdr:colOff>
      <xdr:row>63</xdr:row>
      <xdr:rowOff>76200</xdr:rowOff>
    </xdr:from>
    <xdr:to>
      <xdr:col>16</xdr:col>
      <xdr:colOff>200025</xdr:colOff>
      <xdr:row>82</xdr:row>
      <xdr:rowOff>104775</xdr:rowOff>
    </xdr:to>
    <xdr:graphicFrame macro="">
      <xdr:nvGraphicFramePr>
        <xdr:cNvPr id="8" name="Chart 7">
          <a:extLst>
            <a:ext uri="{FF2B5EF4-FFF2-40B4-BE49-F238E27FC236}">
              <a16:creationId xmlns:a16="http://schemas.microsoft.com/office/drawing/2014/main" id="{366D7148-8E94-4E5C-A595-A8E8EB74E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95250</xdr:colOff>
      <xdr:row>88</xdr:row>
      <xdr:rowOff>95250</xdr:rowOff>
    </xdr:from>
    <xdr:to>
      <xdr:col>17</xdr:col>
      <xdr:colOff>38496</xdr:colOff>
      <xdr:row>107</xdr:row>
      <xdr:rowOff>124063</xdr:rowOff>
    </xdr:to>
    <xdr:pic>
      <xdr:nvPicPr>
        <xdr:cNvPr id="11" name="Picture 10">
          <a:extLst>
            <a:ext uri="{FF2B5EF4-FFF2-40B4-BE49-F238E27FC236}">
              <a16:creationId xmlns:a16="http://schemas.microsoft.com/office/drawing/2014/main" id="{166D9F3F-F4B0-3FF0-F7C2-711AB41924EF}"/>
            </a:ext>
          </a:extLst>
        </xdr:cNvPr>
        <xdr:cNvPicPr>
          <a:picLocks noChangeAspect="1"/>
        </xdr:cNvPicPr>
      </xdr:nvPicPr>
      <xdr:blipFill>
        <a:blip xmlns:r="http://schemas.openxmlformats.org/officeDocument/2006/relationships" r:embed="rId6"/>
        <a:stretch>
          <a:fillRect/>
        </a:stretch>
      </xdr:blipFill>
      <xdr:spPr>
        <a:xfrm>
          <a:off x="5276850" y="11525250"/>
          <a:ext cx="4572396" cy="2743438"/>
        </a:xfrm>
        <a:prstGeom prst="rect">
          <a:avLst/>
        </a:prstGeom>
      </xdr:spPr>
    </xdr:pic>
    <xdr:clientData/>
  </xdr:twoCellAnchor>
  <xdr:twoCellAnchor>
    <xdr:from>
      <xdr:col>4</xdr:col>
      <xdr:colOff>361950</xdr:colOff>
      <xdr:row>14</xdr:row>
      <xdr:rowOff>138112</xdr:rowOff>
    </xdr:from>
    <xdr:to>
      <xdr:col>13</xdr:col>
      <xdr:colOff>304800</xdr:colOff>
      <xdr:row>34</xdr:row>
      <xdr:rowOff>23812</xdr:rowOff>
    </xdr:to>
    <xdr:graphicFrame macro="">
      <xdr:nvGraphicFramePr>
        <xdr:cNvPr id="2" name="Chart 1">
          <a:extLst>
            <a:ext uri="{FF2B5EF4-FFF2-40B4-BE49-F238E27FC236}">
              <a16:creationId xmlns:a16="http://schemas.microsoft.com/office/drawing/2014/main" id="{16CB1F6D-6B15-A459-0ADD-08DD1964C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15</xdr:row>
      <xdr:rowOff>0</xdr:rowOff>
    </xdr:from>
    <xdr:to>
      <xdr:col>22</xdr:col>
      <xdr:colOff>457200</xdr:colOff>
      <xdr:row>34</xdr:row>
      <xdr:rowOff>28575</xdr:rowOff>
    </xdr:to>
    <xdr:graphicFrame macro="">
      <xdr:nvGraphicFramePr>
        <xdr:cNvPr id="4" name="Chart 3">
          <a:extLst>
            <a:ext uri="{FF2B5EF4-FFF2-40B4-BE49-F238E27FC236}">
              <a16:creationId xmlns:a16="http://schemas.microsoft.com/office/drawing/2014/main" id="{A9C6BC73-95A0-491C-BBE9-D20446311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447675</xdr:colOff>
      <xdr:row>8</xdr:row>
      <xdr:rowOff>19050</xdr:rowOff>
    </xdr:from>
    <xdr:to>
      <xdr:col>18</xdr:col>
      <xdr:colOff>390525</xdr:colOff>
      <xdr:row>27</xdr:row>
      <xdr:rowOff>47625</xdr:rowOff>
    </xdr:to>
    <xdr:graphicFrame macro="">
      <xdr:nvGraphicFramePr>
        <xdr:cNvPr id="9" name="Chart 8">
          <a:extLst>
            <a:ext uri="{FF2B5EF4-FFF2-40B4-BE49-F238E27FC236}">
              <a16:creationId xmlns:a16="http://schemas.microsoft.com/office/drawing/2014/main" id="{5D8EF51C-4A4E-416C-A494-C3F110F3A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314325</xdr:colOff>
      <xdr:row>126</xdr:row>
      <xdr:rowOff>66675</xdr:rowOff>
    </xdr:from>
    <xdr:to>
      <xdr:col>24</xdr:col>
      <xdr:colOff>400050</xdr:colOff>
      <xdr:row>158</xdr:row>
      <xdr:rowOff>170675</xdr:rowOff>
    </xdr:to>
    <xdr:pic>
      <xdr:nvPicPr>
        <xdr:cNvPr id="2" name="Picture 1">
          <a:extLst>
            <a:ext uri="{FF2B5EF4-FFF2-40B4-BE49-F238E27FC236}">
              <a16:creationId xmlns:a16="http://schemas.microsoft.com/office/drawing/2014/main" id="{71E9203A-9BCF-7A6A-2436-C4126648F8EE}"/>
            </a:ext>
          </a:extLst>
        </xdr:cNvPr>
        <xdr:cNvPicPr>
          <a:picLocks noChangeAspect="1"/>
        </xdr:cNvPicPr>
      </xdr:nvPicPr>
      <xdr:blipFill>
        <a:blip xmlns:r="http://schemas.openxmlformats.org/officeDocument/2006/relationships" r:embed="rId1"/>
        <a:stretch>
          <a:fillRect/>
        </a:stretch>
      </xdr:blipFill>
      <xdr:spPr>
        <a:xfrm>
          <a:off x="9734550" y="18116550"/>
          <a:ext cx="6477000" cy="6200000"/>
        </a:xfrm>
        <a:prstGeom prst="rect">
          <a:avLst/>
        </a:prstGeom>
      </xdr:spPr>
    </xdr:pic>
    <xdr:clientData/>
  </xdr:twoCellAnchor>
  <xdr:twoCellAnchor editAs="oneCell">
    <xdr:from>
      <xdr:col>3</xdr:col>
      <xdr:colOff>561975</xdr:colOff>
      <xdr:row>132</xdr:row>
      <xdr:rowOff>85725</xdr:rowOff>
    </xdr:from>
    <xdr:to>
      <xdr:col>4</xdr:col>
      <xdr:colOff>561559</xdr:colOff>
      <xdr:row>153</xdr:row>
      <xdr:rowOff>170939</xdr:rowOff>
    </xdr:to>
    <xdr:pic>
      <xdr:nvPicPr>
        <xdr:cNvPr id="4" name="Picture 3">
          <a:extLst>
            <a:ext uri="{FF2B5EF4-FFF2-40B4-BE49-F238E27FC236}">
              <a16:creationId xmlns:a16="http://schemas.microsoft.com/office/drawing/2014/main" id="{376A09A1-29AB-A29B-5784-C87F623046A9}"/>
            </a:ext>
          </a:extLst>
        </xdr:cNvPr>
        <xdr:cNvPicPr>
          <a:picLocks noChangeAspect="1"/>
        </xdr:cNvPicPr>
      </xdr:nvPicPr>
      <xdr:blipFill>
        <a:blip xmlns:r="http://schemas.openxmlformats.org/officeDocument/2006/relationships" r:embed="rId2"/>
        <a:stretch>
          <a:fillRect/>
        </a:stretch>
      </xdr:blipFill>
      <xdr:spPr>
        <a:xfrm>
          <a:off x="3886200" y="24926925"/>
          <a:ext cx="609184" cy="4085714"/>
        </a:xfrm>
        <a:prstGeom prst="rect">
          <a:avLst/>
        </a:prstGeom>
      </xdr:spPr>
    </xdr:pic>
    <xdr:clientData/>
  </xdr:twoCellAnchor>
  <xdr:twoCellAnchor editAs="oneCell">
    <xdr:from>
      <xdr:col>0</xdr:col>
      <xdr:colOff>123825</xdr:colOff>
      <xdr:row>130</xdr:row>
      <xdr:rowOff>171450</xdr:rowOff>
    </xdr:from>
    <xdr:to>
      <xdr:col>1</xdr:col>
      <xdr:colOff>1685925</xdr:colOff>
      <xdr:row>147</xdr:row>
      <xdr:rowOff>151998</xdr:rowOff>
    </xdr:to>
    <xdr:pic>
      <xdr:nvPicPr>
        <xdr:cNvPr id="5" name="Picture 4">
          <a:extLst>
            <a:ext uri="{FF2B5EF4-FFF2-40B4-BE49-F238E27FC236}">
              <a16:creationId xmlns:a16="http://schemas.microsoft.com/office/drawing/2014/main" id="{530D5DB2-F818-F9D7-4E84-B5DB226B6C1E}"/>
            </a:ext>
          </a:extLst>
        </xdr:cNvPr>
        <xdr:cNvPicPr>
          <a:picLocks noChangeAspect="1"/>
        </xdr:cNvPicPr>
      </xdr:nvPicPr>
      <xdr:blipFill>
        <a:blip xmlns:r="http://schemas.openxmlformats.org/officeDocument/2006/relationships" r:embed="rId3"/>
        <a:stretch>
          <a:fillRect/>
        </a:stretch>
      </xdr:blipFill>
      <xdr:spPr>
        <a:xfrm>
          <a:off x="123825" y="24631650"/>
          <a:ext cx="2171700" cy="3219048"/>
        </a:xfrm>
        <a:prstGeom prst="rect">
          <a:avLst/>
        </a:prstGeom>
      </xdr:spPr>
    </xdr:pic>
    <xdr:clientData/>
  </xdr:twoCellAnchor>
  <xdr:twoCellAnchor editAs="oneCell">
    <xdr:from>
      <xdr:col>46</xdr:col>
      <xdr:colOff>266701</xdr:colOff>
      <xdr:row>42</xdr:row>
      <xdr:rowOff>66675</xdr:rowOff>
    </xdr:from>
    <xdr:to>
      <xdr:col>51</xdr:col>
      <xdr:colOff>596251</xdr:colOff>
      <xdr:row>71</xdr:row>
      <xdr:rowOff>46905</xdr:rowOff>
    </xdr:to>
    <xdr:pic>
      <xdr:nvPicPr>
        <xdr:cNvPr id="6" name="Picture 5">
          <a:extLst>
            <a:ext uri="{FF2B5EF4-FFF2-40B4-BE49-F238E27FC236}">
              <a16:creationId xmlns:a16="http://schemas.microsoft.com/office/drawing/2014/main" id="{80BD1964-8FD5-5F30-C4CE-B4733146AA32}"/>
            </a:ext>
          </a:extLst>
        </xdr:cNvPr>
        <xdr:cNvPicPr>
          <a:picLocks noChangeAspect="1"/>
        </xdr:cNvPicPr>
      </xdr:nvPicPr>
      <xdr:blipFill>
        <a:blip xmlns:r="http://schemas.openxmlformats.org/officeDocument/2006/relationships" r:embed="rId4"/>
        <a:stretch>
          <a:fillRect/>
        </a:stretch>
      </xdr:blipFill>
      <xdr:spPr>
        <a:xfrm>
          <a:off x="29375101" y="7639050"/>
          <a:ext cx="3377550" cy="5504730"/>
        </a:xfrm>
        <a:prstGeom prst="rect">
          <a:avLst/>
        </a:prstGeom>
      </xdr:spPr>
    </xdr:pic>
    <xdr:clientData/>
  </xdr:twoCellAnchor>
  <xdr:twoCellAnchor editAs="oneCell">
    <xdr:from>
      <xdr:col>14</xdr:col>
      <xdr:colOff>438150</xdr:colOff>
      <xdr:row>157</xdr:row>
      <xdr:rowOff>152400</xdr:rowOff>
    </xdr:from>
    <xdr:to>
      <xdr:col>22</xdr:col>
      <xdr:colOff>501867</xdr:colOff>
      <xdr:row>180</xdr:row>
      <xdr:rowOff>123825</xdr:rowOff>
    </xdr:to>
    <xdr:pic>
      <xdr:nvPicPr>
        <xdr:cNvPr id="7" name="Picture 6">
          <a:extLst>
            <a:ext uri="{FF2B5EF4-FFF2-40B4-BE49-F238E27FC236}">
              <a16:creationId xmlns:a16="http://schemas.microsoft.com/office/drawing/2014/main" id="{9C6F8D56-D3E7-EE44-8CCD-6037B1756FF7}"/>
            </a:ext>
          </a:extLst>
        </xdr:cNvPr>
        <xdr:cNvPicPr>
          <a:picLocks noChangeAspect="1"/>
        </xdr:cNvPicPr>
      </xdr:nvPicPr>
      <xdr:blipFill>
        <a:blip xmlns:r="http://schemas.openxmlformats.org/officeDocument/2006/relationships" r:embed="rId5"/>
        <a:stretch>
          <a:fillRect/>
        </a:stretch>
      </xdr:blipFill>
      <xdr:spPr>
        <a:xfrm>
          <a:off x="10467975" y="24107775"/>
          <a:ext cx="4511892" cy="4352925"/>
        </a:xfrm>
        <a:prstGeom prst="rect">
          <a:avLst/>
        </a:prstGeom>
      </xdr:spPr>
    </xdr:pic>
    <xdr:clientData/>
  </xdr:twoCellAnchor>
  <xdr:twoCellAnchor editAs="oneCell">
    <xdr:from>
      <xdr:col>6</xdr:col>
      <xdr:colOff>0</xdr:colOff>
      <xdr:row>167</xdr:row>
      <xdr:rowOff>0</xdr:rowOff>
    </xdr:from>
    <xdr:to>
      <xdr:col>6</xdr:col>
      <xdr:colOff>609199</xdr:colOff>
      <xdr:row>201</xdr:row>
      <xdr:rowOff>46809</xdr:rowOff>
    </xdr:to>
    <xdr:pic>
      <xdr:nvPicPr>
        <xdr:cNvPr id="8" name="Picture 7">
          <a:extLst>
            <a:ext uri="{FF2B5EF4-FFF2-40B4-BE49-F238E27FC236}">
              <a16:creationId xmlns:a16="http://schemas.microsoft.com/office/drawing/2014/main" id="{6051F95A-2FED-7FDD-E49E-EE0682C9C581}"/>
            </a:ext>
          </a:extLst>
        </xdr:cNvPr>
        <xdr:cNvPicPr>
          <a:picLocks noChangeAspect="1"/>
        </xdr:cNvPicPr>
      </xdr:nvPicPr>
      <xdr:blipFill>
        <a:blip xmlns:r="http://schemas.openxmlformats.org/officeDocument/2006/relationships" r:embed="rId6"/>
        <a:stretch>
          <a:fillRect/>
        </a:stretch>
      </xdr:blipFill>
      <xdr:spPr>
        <a:xfrm>
          <a:off x="5153025" y="17716500"/>
          <a:ext cx="3209524" cy="6523809"/>
        </a:xfrm>
        <a:prstGeom prst="rect">
          <a:avLst/>
        </a:prstGeom>
      </xdr:spPr>
    </xdr:pic>
    <xdr:clientData/>
  </xdr:twoCellAnchor>
  <xdr:twoCellAnchor editAs="oneCell">
    <xdr:from>
      <xdr:col>2</xdr:col>
      <xdr:colOff>123825</xdr:colOff>
      <xdr:row>167</xdr:row>
      <xdr:rowOff>104775</xdr:rowOff>
    </xdr:from>
    <xdr:to>
      <xdr:col>3</xdr:col>
      <xdr:colOff>152206</xdr:colOff>
      <xdr:row>189</xdr:row>
      <xdr:rowOff>94727</xdr:rowOff>
    </xdr:to>
    <xdr:pic>
      <xdr:nvPicPr>
        <xdr:cNvPr id="9" name="Picture 8">
          <a:extLst>
            <a:ext uri="{FF2B5EF4-FFF2-40B4-BE49-F238E27FC236}">
              <a16:creationId xmlns:a16="http://schemas.microsoft.com/office/drawing/2014/main" id="{B73AB9CD-73B1-F531-99B1-7D40C3AD95D7}"/>
            </a:ext>
          </a:extLst>
        </xdr:cNvPr>
        <xdr:cNvPicPr>
          <a:picLocks noChangeAspect="1"/>
        </xdr:cNvPicPr>
      </xdr:nvPicPr>
      <xdr:blipFill>
        <a:blip xmlns:r="http://schemas.openxmlformats.org/officeDocument/2006/relationships" r:embed="rId7"/>
        <a:stretch>
          <a:fillRect/>
        </a:stretch>
      </xdr:blipFill>
      <xdr:spPr>
        <a:xfrm>
          <a:off x="2867025" y="18392775"/>
          <a:ext cx="1552381" cy="4180952"/>
        </a:xfrm>
        <a:prstGeom prst="rect">
          <a:avLst/>
        </a:prstGeom>
      </xdr:spPr>
    </xdr:pic>
    <xdr:clientData/>
  </xdr:twoCellAnchor>
  <xdr:twoCellAnchor editAs="oneCell">
    <xdr:from>
      <xdr:col>13</xdr:col>
      <xdr:colOff>0</xdr:colOff>
      <xdr:row>193</xdr:row>
      <xdr:rowOff>0</xdr:rowOff>
    </xdr:from>
    <xdr:to>
      <xdr:col>13</xdr:col>
      <xdr:colOff>608824</xdr:colOff>
      <xdr:row>204</xdr:row>
      <xdr:rowOff>161643</xdr:rowOff>
    </xdr:to>
    <xdr:pic>
      <xdr:nvPicPr>
        <xdr:cNvPr id="10" name="Picture 9">
          <a:extLst>
            <a:ext uri="{FF2B5EF4-FFF2-40B4-BE49-F238E27FC236}">
              <a16:creationId xmlns:a16="http://schemas.microsoft.com/office/drawing/2014/main" id="{1853132F-E2E8-DD57-ECE9-8CD00902F65D}"/>
            </a:ext>
          </a:extLst>
        </xdr:cNvPr>
        <xdr:cNvPicPr>
          <a:picLocks noChangeAspect="1"/>
        </xdr:cNvPicPr>
      </xdr:nvPicPr>
      <xdr:blipFill>
        <a:blip xmlns:r="http://schemas.openxmlformats.org/officeDocument/2006/relationships" r:embed="rId8"/>
        <a:stretch>
          <a:fillRect/>
        </a:stretch>
      </xdr:blipFill>
      <xdr:spPr>
        <a:xfrm>
          <a:off x="9420225" y="23241000"/>
          <a:ext cx="6209524" cy="2257143"/>
        </a:xfrm>
        <a:prstGeom prst="rect">
          <a:avLst/>
        </a:prstGeom>
      </xdr:spPr>
    </xdr:pic>
    <xdr:clientData/>
  </xdr:twoCellAnchor>
  <xdr:oneCellAnchor>
    <xdr:from>
      <xdr:col>36</xdr:col>
      <xdr:colOff>552450</xdr:colOff>
      <xdr:row>20</xdr:row>
      <xdr:rowOff>133350</xdr:rowOff>
    </xdr:from>
    <xdr:ext cx="6971428" cy="704762"/>
    <xdr:pic>
      <xdr:nvPicPr>
        <xdr:cNvPr id="11" name="Picture 10">
          <a:extLst>
            <a:ext uri="{FF2B5EF4-FFF2-40B4-BE49-F238E27FC236}">
              <a16:creationId xmlns:a16="http://schemas.microsoft.com/office/drawing/2014/main" id="{D493A503-18D8-42C2-9EC4-4CB5D4380595}"/>
            </a:ext>
          </a:extLst>
        </xdr:cNvPr>
        <xdr:cNvPicPr>
          <a:picLocks noChangeAspect="1"/>
        </xdr:cNvPicPr>
      </xdr:nvPicPr>
      <xdr:blipFill>
        <a:blip xmlns:r="http://schemas.openxmlformats.org/officeDocument/2006/relationships" r:embed="rId9"/>
        <a:stretch>
          <a:fillRect/>
        </a:stretch>
      </xdr:blipFill>
      <xdr:spPr>
        <a:xfrm>
          <a:off x="23564850" y="3514725"/>
          <a:ext cx="6971428" cy="704762"/>
        </a:xfrm>
        <a:prstGeom prst="rect">
          <a:avLst/>
        </a:prstGeom>
      </xdr:spPr>
    </xdr:pic>
    <xdr:clientData/>
  </xdr:oneCellAnchor>
  <xdr:twoCellAnchor editAs="oneCell">
    <xdr:from>
      <xdr:col>32</xdr:col>
      <xdr:colOff>514350</xdr:colOff>
      <xdr:row>132</xdr:row>
      <xdr:rowOff>19050</xdr:rowOff>
    </xdr:from>
    <xdr:to>
      <xdr:col>37</xdr:col>
      <xdr:colOff>142875</xdr:colOff>
      <xdr:row>143</xdr:row>
      <xdr:rowOff>126407</xdr:rowOff>
    </xdr:to>
    <xdr:pic>
      <xdr:nvPicPr>
        <xdr:cNvPr id="12" name="Picture 11">
          <a:extLst>
            <a:ext uri="{FF2B5EF4-FFF2-40B4-BE49-F238E27FC236}">
              <a16:creationId xmlns:a16="http://schemas.microsoft.com/office/drawing/2014/main" id="{FF66CE14-4413-531A-0B62-9DF36CCCCB4A}"/>
            </a:ext>
          </a:extLst>
        </xdr:cNvPr>
        <xdr:cNvPicPr>
          <a:picLocks noChangeAspect="1"/>
        </xdr:cNvPicPr>
      </xdr:nvPicPr>
      <xdr:blipFill>
        <a:blip xmlns:r="http://schemas.openxmlformats.org/officeDocument/2006/relationships" r:embed="rId10"/>
        <a:stretch>
          <a:fillRect/>
        </a:stretch>
      </xdr:blipFill>
      <xdr:spPr>
        <a:xfrm>
          <a:off x="21088350" y="19211925"/>
          <a:ext cx="2676525" cy="2202857"/>
        </a:xfrm>
        <a:prstGeom prst="rect">
          <a:avLst/>
        </a:prstGeom>
      </xdr:spPr>
    </xdr:pic>
    <xdr:clientData/>
  </xdr:twoCellAnchor>
  <xdr:oneCellAnchor>
    <xdr:from>
      <xdr:col>35</xdr:col>
      <xdr:colOff>304800</xdr:colOff>
      <xdr:row>90</xdr:row>
      <xdr:rowOff>152400</xdr:rowOff>
    </xdr:from>
    <xdr:ext cx="6971428" cy="704762"/>
    <xdr:pic>
      <xdr:nvPicPr>
        <xdr:cNvPr id="13" name="Picture 12">
          <a:extLst>
            <a:ext uri="{FF2B5EF4-FFF2-40B4-BE49-F238E27FC236}">
              <a16:creationId xmlns:a16="http://schemas.microsoft.com/office/drawing/2014/main" id="{45681074-8C76-4120-AE1F-D510E80CE96B}"/>
            </a:ext>
          </a:extLst>
        </xdr:cNvPr>
        <xdr:cNvPicPr>
          <a:picLocks noChangeAspect="1"/>
        </xdr:cNvPicPr>
      </xdr:nvPicPr>
      <xdr:blipFill>
        <a:blip xmlns:r="http://schemas.openxmlformats.org/officeDocument/2006/relationships" r:embed="rId9"/>
        <a:stretch>
          <a:fillRect/>
        </a:stretch>
      </xdr:blipFill>
      <xdr:spPr>
        <a:xfrm>
          <a:off x="22707600" y="13058775"/>
          <a:ext cx="6971428" cy="704762"/>
        </a:xfrm>
        <a:prstGeom prst="rect">
          <a:avLst/>
        </a:prstGeom>
      </xdr:spPr>
    </xdr:pic>
    <xdr:clientData/>
  </xdr:oneCellAnchor>
  <xdr:oneCellAnchor>
    <xdr:from>
      <xdr:col>34</xdr:col>
      <xdr:colOff>590550</xdr:colOff>
      <xdr:row>82</xdr:row>
      <xdr:rowOff>180975</xdr:rowOff>
    </xdr:from>
    <xdr:ext cx="6971428" cy="704762"/>
    <xdr:pic>
      <xdr:nvPicPr>
        <xdr:cNvPr id="14" name="Picture 13">
          <a:extLst>
            <a:ext uri="{FF2B5EF4-FFF2-40B4-BE49-F238E27FC236}">
              <a16:creationId xmlns:a16="http://schemas.microsoft.com/office/drawing/2014/main" id="{E659FD70-F28D-49F7-9DC2-BBA489DB99BB}"/>
            </a:ext>
          </a:extLst>
        </xdr:cNvPr>
        <xdr:cNvPicPr>
          <a:picLocks noChangeAspect="1"/>
        </xdr:cNvPicPr>
      </xdr:nvPicPr>
      <xdr:blipFill>
        <a:blip xmlns:r="http://schemas.openxmlformats.org/officeDocument/2006/relationships" r:embed="rId9"/>
        <a:stretch>
          <a:fillRect/>
        </a:stretch>
      </xdr:blipFill>
      <xdr:spPr>
        <a:xfrm>
          <a:off x="22383750" y="11563350"/>
          <a:ext cx="6971428" cy="704762"/>
        </a:xfrm>
        <a:prstGeom prst="rect">
          <a:avLst/>
        </a:prstGeom>
      </xdr:spPr>
    </xdr:pic>
    <xdr:clientData/>
  </xdr:oneCellAnchor>
  <xdr:twoCellAnchor editAs="oneCell">
    <xdr:from>
      <xdr:col>36</xdr:col>
      <xdr:colOff>476250</xdr:colOff>
      <xdr:row>25</xdr:row>
      <xdr:rowOff>161925</xdr:rowOff>
    </xdr:from>
    <xdr:to>
      <xdr:col>47</xdr:col>
      <xdr:colOff>467660</xdr:colOff>
      <xdr:row>34</xdr:row>
      <xdr:rowOff>66901</xdr:rowOff>
    </xdr:to>
    <xdr:pic>
      <xdr:nvPicPr>
        <xdr:cNvPr id="3" name="Picture 2">
          <a:extLst>
            <a:ext uri="{FF2B5EF4-FFF2-40B4-BE49-F238E27FC236}">
              <a16:creationId xmlns:a16="http://schemas.microsoft.com/office/drawing/2014/main" id="{9386E4F6-09EA-A7C3-633E-BBA3262CA8AC}"/>
            </a:ext>
          </a:extLst>
        </xdr:cNvPr>
        <xdr:cNvPicPr>
          <a:picLocks noChangeAspect="1"/>
        </xdr:cNvPicPr>
      </xdr:nvPicPr>
      <xdr:blipFill>
        <a:blip xmlns:r="http://schemas.openxmlformats.org/officeDocument/2006/relationships" r:embed="rId11"/>
        <a:stretch>
          <a:fillRect/>
        </a:stretch>
      </xdr:blipFill>
      <xdr:spPr>
        <a:xfrm>
          <a:off x="23488650" y="4495800"/>
          <a:ext cx="6697010" cy="1619476"/>
        </a:xfrm>
        <a:prstGeom prst="rect">
          <a:avLst/>
        </a:prstGeom>
      </xdr:spPr>
    </xdr:pic>
    <xdr:clientData/>
  </xdr:twoCellAnchor>
  <xdr:twoCellAnchor editAs="oneCell">
    <xdr:from>
      <xdr:col>36</xdr:col>
      <xdr:colOff>390525</xdr:colOff>
      <xdr:row>35</xdr:row>
      <xdr:rowOff>19050</xdr:rowOff>
    </xdr:from>
    <xdr:to>
      <xdr:col>46</xdr:col>
      <xdr:colOff>305639</xdr:colOff>
      <xdr:row>47</xdr:row>
      <xdr:rowOff>38422</xdr:rowOff>
    </xdr:to>
    <xdr:pic>
      <xdr:nvPicPr>
        <xdr:cNvPr id="15" name="Picture 14">
          <a:extLst>
            <a:ext uri="{FF2B5EF4-FFF2-40B4-BE49-F238E27FC236}">
              <a16:creationId xmlns:a16="http://schemas.microsoft.com/office/drawing/2014/main" id="{C598A550-9641-D511-66FB-2AF3924A518F}"/>
            </a:ext>
          </a:extLst>
        </xdr:cNvPr>
        <xdr:cNvPicPr>
          <a:picLocks noChangeAspect="1"/>
        </xdr:cNvPicPr>
      </xdr:nvPicPr>
      <xdr:blipFill>
        <a:blip xmlns:r="http://schemas.openxmlformats.org/officeDocument/2006/relationships" r:embed="rId12"/>
        <a:stretch>
          <a:fillRect/>
        </a:stretch>
      </xdr:blipFill>
      <xdr:spPr>
        <a:xfrm>
          <a:off x="23402925" y="6257925"/>
          <a:ext cx="6011114" cy="2305372"/>
        </a:xfrm>
        <a:prstGeom prst="rect">
          <a:avLst/>
        </a:prstGeom>
      </xdr:spPr>
    </xdr:pic>
    <xdr:clientData/>
  </xdr:twoCellAnchor>
  <xdr:twoCellAnchor>
    <xdr:from>
      <xdr:col>8</xdr:col>
      <xdr:colOff>104775</xdr:colOff>
      <xdr:row>21</xdr:row>
      <xdr:rowOff>71437</xdr:rowOff>
    </xdr:from>
    <xdr:to>
      <xdr:col>15</xdr:col>
      <xdr:colOff>409575</xdr:colOff>
      <xdr:row>35</xdr:row>
      <xdr:rowOff>147637</xdr:rowOff>
    </xdr:to>
    <xdr:graphicFrame macro="">
      <xdr:nvGraphicFramePr>
        <xdr:cNvPr id="16" name="Chart 15">
          <a:extLst>
            <a:ext uri="{FF2B5EF4-FFF2-40B4-BE49-F238E27FC236}">
              <a16:creationId xmlns:a16="http://schemas.microsoft.com/office/drawing/2014/main" id="{E969ED15-990E-DAA2-9086-A56381390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67</xdr:col>
      <xdr:colOff>215347</xdr:colOff>
      <xdr:row>3</xdr:row>
      <xdr:rowOff>74543</xdr:rowOff>
    </xdr:from>
    <xdr:to>
      <xdr:col>83</xdr:col>
      <xdr:colOff>548882</xdr:colOff>
      <xdr:row>38</xdr:row>
      <xdr:rowOff>109609</xdr:rowOff>
    </xdr:to>
    <xdr:pic>
      <xdr:nvPicPr>
        <xdr:cNvPr id="2" name="Picture 1">
          <a:extLst>
            <a:ext uri="{FF2B5EF4-FFF2-40B4-BE49-F238E27FC236}">
              <a16:creationId xmlns:a16="http://schemas.microsoft.com/office/drawing/2014/main" id="{6F8A5A91-7D74-895C-B9D2-C56988ADCD30}"/>
            </a:ext>
          </a:extLst>
        </xdr:cNvPr>
        <xdr:cNvPicPr>
          <a:picLocks noChangeAspect="1"/>
        </xdr:cNvPicPr>
      </xdr:nvPicPr>
      <xdr:blipFill>
        <a:blip xmlns:r="http://schemas.openxmlformats.org/officeDocument/2006/relationships" r:embed="rId1"/>
        <a:stretch>
          <a:fillRect/>
        </a:stretch>
      </xdr:blipFill>
      <xdr:spPr>
        <a:xfrm>
          <a:off x="26669999" y="496956"/>
          <a:ext cx="10040751" cy="4963218"/>
        </a:xfrm>
        <a:prstGeom prst="rect">
          <a:avLst/>
        </a:prstGeom>
      </xdr:spPr>
    </xdr:pic>
    <xdr:clientData/>
  </xdr:twoCellAnchor>
  <xdr:twoCellAnchor editAs="oneCell">
    <xdr:from>
      <xdr:col>63</xdr:col>
      <xdr:colOff>0</xdr:colOff>
      <xdr:row>42</xdr:row>
      <xdr:rowOff>41412</xdr:rowOff>
    </xdr:from>
    <xdr:to>
      <xdr:col>78</xdr:col>
      <xdr:colOff>286591</xdr:colOff>
      <xdr:row>76</xdr:row>
      <xdr:rowOff>17230</xdr:rowOff>
    </xdr:to>
    <xdr:pic>
      <xdr:nvPicPr>
        <xdr:cNvPr id="3" name="Picture 2">
          <a:extLst>
            <a:ext uri="{FF2B5EF4-FFF2-40B4-BE49-F238E27FC236}">
              <a16:creationId xmlns:a16="http://schemas.microsoft.com/office/drawing/2014/main" id="{3F5C5D76-CDE2-6242-E974-66D1B30AC02F}"/>
            </a:ext>
          </a:extLst>
        </xdr:cNvPr>
        <xdr:cNvPicPr>
          <a:picLocks noChangeAspect="1"/>
        </xdr:cNvPicPr>
      </xdr:nvPicPr>
      <xdr:blipFill>
        <a:blip xmlns:r="http://schemas.openxmlformats.org/officeDocument/2006/relationships" r:embed="rId2"/>
        <a:stretch>
          <a:fillRect/>
        </a:stretch>
      </xdr:blipFill>
      <xdr:spPr>
        <a:xfrm>
          <a:off x="13914782" y="5251173"/>
          <a:ext cx="8983329" cy="4763165"/>
        </a:xfrm>
        <a:prstGeom prst="rect">
          <a:avLst/>
        </a:prstGeom>
      </xdr:spPr>
    </xdr:pic>
    <xdr:clientData/>
  </xdr:twoCellAnchor>
  <xdr:twoCellAnchor editAs="oneCell">
    <xdr:from>
      <xdr:col>67</xdr:col>
      <xdr:colOff>132523</xdr:colOff>
      <xdr:row>39</xdr:row>
      <xdr:rowOff>74543</xdr:rowOff>
    </xdr:from>
    <xdr:to>
      <xdr:col>74</xdr:col>
      <xdr:colOff>371266</xdr:colOff>
      <xdr:row>45</xdr:row>
      <xdr:rowOff>68034</xdr:rowOff>
    </xdr:to>
    <xdr:pic>
      <xdr:nvPicPr>
        <xdr:cNvPr id="4" name="Picture 3">
          <a:extLst>
            <a:ext uri="{FF2B5EF4-FFF2-40B4-BE49-F238E27FC236}">
              <a16:creationId xmlns:a16="http://schemas.microsoft.com/office/drawing/2014/main" id="{5B5C0F7E-3286-FF31-15B0-54FB32AE79DA}"/>
            </a:ext>
          </a:extLst>
        </xdr:cNvPr>
        <xdr:cNvPicPr>
          <a:picLocks noChangeAspect="1"/>
        </xdr:cNvPicPr>
      </xdr:nvPicPr>
      <xdr:blipFill>
        <a:blip xmlns:r="http://schemas.openxmlformats.org/officeDocument/2006/relationships" r:embed="rId3"/>
        <a:stretch>
          <a:fillRect/>
        </a:stretch>
      </xdr:blipFill>
      <xdr:spPr>
        <a:xfrm>
          <a:off x="26587175" y="4861891"/>
          <a:ext cx="4429743" cy="8383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271462</xdr:colOff>
      <xdr:row>50</xdr:row>
      <xdr:rowOff>71437</xdr:rowOff>
    </xdr:from>
    <xdr:to>
      <xdr:col>16</xdr:col>
      <xdr:colOff>322312</xdr:colOff>
      <xdr:row>70</xdr:row>
      <xdr:rowOff>93937</xdr:rowOff>
    </xdr:to>
    <xdr:graphicFrame macro="">
      <xdr:nvGraphicFramePr>
        <xdr:cNvPr id="3" name="Chart 2">
          <a:extLst>
            <a:ext uri="{FF2B5EF4-FFF2-40B4-BE49-F238E27FC236}">
              <a16:creationId xmlns:a16="http://schemas.microsoft.com/office/drawing/2014/main" id="{31E20D8F-68BC-E4AE-02F8-6C0D19ACC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260104</xdr:colOff>
      <xdr:row>21</xdr:row>
      <xdr:rowOff>49823</xdr:rowOff>
    </xdr:from>
    <xdr:to>
      <xdr:col>16</xdr:col>
      <xdr:colOff>75028</xdr:colOff>
      <xdr:row>40</xdr:row>
      <xdr:rowOff>145593</xdr:rowOff>
    </xdr:to>
    <xdr:graphicFrame macro="">
      <xdr:nvGraphicFramePr>
        <xdr:cNvPr id="2" name="Chart 1">
          <a:extLst>
            <a:ext uri="{FF2B5EF4-FFF2-40B4-BE49-F238E27FC236}">
              <a16:creationId xmlns:a16="http://schemas.microsoft.com/office/drawing/2014/main" id="{5B53766A-AA22-3816-CA33-10EA404A6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443278</xdr:colOff>
      <xdr:row>42</xdr:row>
      <xdr:rowOff>93785</xdr:rowOff>
    </xdr:from>
    <xdr:to>
      <xdr:col>16</xdr:col>
      <xdr:colOff>258202</xdr:colOff>
      <xdr:row>62</xdr:row>
      <xdr:rowOff>43015</xdr:rowOff>
    </xdr:to>
    <xdr:graphicFrame macro="">
      <xdr:nvGraphicFramePr>
        <xdr:cNvPr id="4" name="Chart 3">
          <a:extLst>
            <a:ext uri="{FF2B5EF4-FFF2-40B4-BE49-F238E27FC236}">
              <a16:creationId xmlns:a16="http://schemas.microsoft.com/office/drawing/2014/main" id="{2E0F121A-1BFD-A7FD-0567-26317EB6B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581025</xdr:colOff>
      <xdr:row>2</xdr:row>
      <xdr:rowOff>152400</xdr:rowOff>
    </xdr:from>
    <xdr:to>
      <xdr:col>23</xdr:col>
      <xdr:colOff>384225</xdr:colOff>
      <xdr:row>17</xdr:row>
      <xdr:rowOff>174900</xdr:rowOff>
    </xdr:to>
    <xdr:graphicFrame macro="">
      <xdr:nvGraphicFramePr>
        <xdr:cNvPr id="3" name="Chart 2">
          <a:extLst>
            <a:ext uri="{FF2B5EF4-FFF2-40B4-BE49-F238E27FC236}">
              <a16:creationId xmlns:a16="http://schemas.microsoft.com/office/drawing/2014/main" id="{38BC56EF-18DC-1E61-4E52-DD067BBC0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190500</xdr:colOff>
      <xdr:row>20</xdr:row>
      <xdr:rowOff>47625</xdr:rowOff>
    </xdr:from>
    <xdr:to>
      <xdr:col>22</xdr:col>
      <xdr:colOff>603300</xdr:colOff>
      <xdr:row>35</xdr:row>
      <xdr:rowOff>70125</xdr:rowOff>
    </xdr:to>
    <xdr:graphicFrame macro="">
      <xdr:nvGraphicFramePr>
        <xdr:cNvPr id="4" name="Chart 3">
          <a:extLst>
            <a:ext uri="{FF2B5EF4-FFF2-40B4-BE49-F238E27FC236}">
              <a16:creationId xmlns:a16="http://schemas.microsoft.com/office/drawing/2014/main" id="{585A6650-BAB2-45DD-9BA0-CA8B45435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280987</xdr:colOff>
      <xdr:row>2</xdr:row>
      <xdr:rowOff>128587</xdr:rowOff>
    </xdr:from>
    <xdr:to>
      <xdr:col>15</xdr:col>
      <xdr:colOff>214312</xdr:colOff>
      <xdr:row>17</xdr:row>
      <xdr:rowOff>14287</xdr:rowOff>
    </xdr:to>
    <xdr:graphicFrame macro="">
      <xdr:nvGraphicFramePr>
        <xdr:cNvPr id="5" name="Chart 4">
          <a:extLst>
            <a:ext uri="{FF2B5EF4-FFF2-40B4-BE49-F238E27FC236}">
              <a16:creationId xmlns:a16="http://schemas.microsoft.com/office/drawing/2014/main" id="{CF274691-1668-4B8B-61FA-BE44230E1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0.54271</cdr:x>
      <cdr:y>0.03993</cdr:y>
    </cdr:from>
    <cdr:to>
      <cdr:x>0.97396</cdr:x>
      <cdr:y>0.98438</cdr:y>
    </cdr:to>
    <cdr:sp macro="" textlink="">
      <cdr:nvSpPr>
        <cdr:cNvPr id="2" name="Rectangle: Rounded Corners 1">
          <a:extLst xmlns:a="http://schemas.openxmlformats.org/drawingml/2006/main">
            <a:ext uri="{FF2B5EF4-FFF2-40B4-BE49-F238E27FC236}">
              <a16:creationId xmlns:a16="http://schemas.microsoft.com/office/drawing/2014/main" id="{25E5B249-CBCA-E6A3-E3E4-22C8BA8AB65A}"/>
            </a:ext>
          </a:extLst>
        </cdr:cNvPr>
        <cdr:cNvSpPr/>
      </cdr:nvSpPr>
      <cdr:spPr>
        <a:xfrm xmlns:a="http://schemas.openxmlformats.org/drawingml/2006/main">
          <a:off x="2481263" y="109539"/>
          <a:ext cx="1971675" cy="2590800"/>
        </a:xfrm>
        <a:prstGeom xmlns:a="http://schemas.openxmlformats.org/drawingml/2006/main" prst="roundRect">
          <a:avLst>
            <a:gd name="adj" fmla="val 8938"/>
          </a:avLst>
        </a:prstGeom>
        <a:noFill xmlns:a="http://schemas.openxmlformats.org/drawingml/2006/main"/>
        <a:ln xmlns:a="http://schemas.openxmlformats.org/drawingml/2006/main" w="19050">
          <a:solidFill>
            <a:srgbClr val="FF0000"/>
          </a:solidFill>
          <a:prstDash val="dash"/>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xdr:wsDr xmlns:xdr="http://schemas.openxmlformats.org/drawingml/2006/spreadsheetDrawing" xmlns:a="http://schemas.openxmlformats.org/drawingml/2006/main">
  <xdr:twoCellAnchor editAs="oneCell">
    <xdr:from>
      <xdr:col>6</xdr:col>
      <xdr:colOff>0</xdr:colOff>
      <xdr:row>796</xdr:row>
      <xdr:rowOff>0</xdr:rowOff>
    </xdr:from>
    <xdr:to>
      <xdr:col>11</xdr:col>
      <xdr:colOff>85333</xdr:colOff>
      <xdr:row>823</xdr:row>
      <xdr:rowOff>28088</xdr:rowOff>
    </xdr:to>
    <xdr:pic>
      <xdr:nvPicPr>
        <xdr:cNvPr id="2" name="Picture 1">
          <a:extLst>
            <a:ext uri="{FF2B5EF4-FFF2-40B4-BE49-F238E27FC236}">
              <a16:creationId xmlns:a16="http://schemas.microsoft.com/office/drawing/2014/main" id="{239C1E8D-B188-944E-DE81-26F33876E1CF}"/>
            </a:ext>
          </a:extLst>
        </xdr:cNvPr>
        <xdr:cNvPicPr>
          <a:picLocks noChangeAspect="1"/>
        </xdr:cNvPicPr>
      </xdr:nvPicPr>
      <xdr:blipFill>
        <a:blip xmlns:r="http://schemas.openxmlformats.org/officeDocument/2006/relationships" r:embed="rId1"/>
        <a:stretch>
          <a:fillRect/>
        </a:stretch>
      </xdr:blipFill>
      <xdr:spPr>
        <a:xfrm>
          <a:off x="3838575" y="47148750"/>
          <a:ext cx="3133333" cy="3885714"/>
        </a:xfrm>
        <a:prstGeom prst="rect">
          <a:avLst/>
        </a:prstGeom>
      </xdr:spPr>
    </xdr:pic>
    <xdr:clientData/>
  </xdr:twoCellAnchor>
  <xdr:twoCellAnchor editAs="oneCell">
    <xdr:from>
      <xdr:col>15</xdr:col>
      <xdr:colOff>57150</xdr:colOff>
      <xdr:row>767</xdr:row>
      <xdr:rowOff>123825</xdr:rowOff>
    </xdr:from>
    <xdr:to>
      <xdr:col>29</xdr:col>
      <xdr:colOff>8464</xdr:colOff>
      <xdr:row>780</xdr:row>
      <xdr:rowOff>37879</xdr:rowOff>
    </xdr:to>
    <xdr:pic>
      <xdr:nvPicPr>
        <xdr:cNvPr id="3" name="Picture 2">
          <a:extLst>
            <a:ext uri="{FF2B5EF4-FFF2-40B4-BE49-F238E27FC236}">
              <a16:creationId xmlns:a16="http://schemas.microsoft.com/office/drawing/2014/main" id="{52135CB3-DC9F-FCC9-B644-C75F26A02B74}"/>
            </a:ext>
          </a:extLst>
        </xdr:cNvPr>
        <xdr:cNvPicPr>
          <a:picLocks noChangeAspect="1"/>
        </xdr:cNvPicPr>
      </xdr:nvPicPr>
      <xdr:blipFill>
        <a:blip xmlns:r="http://schemas.openxmlformats.org/officeDocument/2006/relationships" r:embed="rId2"/>
        <a:stretch>
          <a:fillRect/>
        </a:stretch>
      </xdr:blipFill>
      <xdr:spPr>
        <a:xfrm>
          <a:off x="9382125" y="48129825"/>
          <a:ext cx="8485714" cy="1771429"/>
        </a:xfrm>
        <a:prstGeom prst="rect">
          <a:avLst/>
        </a:prstGeom>
      </xdr:spPr>
    </xdr:pic>
    <xdr:clientData/>
  </xdr:twoCellAnchor>
  <xdr:twoCellAnchor editAs="oneCell">
    <xdr:from>
      <xdr:col>13</xdr:col>
      <xdr:colOff>600075</xdr:colOff>
      <xdr:row>804</xdr:row>
      <xdr:rowOff>38100</xdr:rowOff>
    </xdr:from>
    <xdr:to>
      <xdr:col>28</xdr:col>
      <xdr:colOff>103694</xdr:colOff>
      <xdr:row>818</xdr:row>
      <xdr:rowOff>9279</xdr:rowOff>
    </xdr:to>
    <xdr:pic>
      <xdr:nvPicPr>
        <xdr:cNvPr id="4" name="Picture 3">
          <a:extLst>
            <a:ext uri="{FF2B5EF4-FFF2-40B4-BE49-F238E27FC236}">
              <a16:creationId xmlns:a16="http://schemas.microsoft.com/office/drawing/2014/main" id="{3598ACF2-08D9-2798-3A16-2933B76EF38C}"/>
            </a:ext>
          </a:extLst>
        </xdr:cNvPr>
        <xdr:cNvPicPr>
          <a:picLocks noChangeAspect="1"/>
        </xdr:cNvPicPr>
      </xdr:nvPicPr>
      <xdr:blipFill>
        <a:blip xmlns:r="http://schemas.openxmlformats.org/officeDocument/2006/relationships" r:embed="rId3"/>
        <a:stretch>
          <a:fillRect/>
        </a:stretch>
      </xdr:blipFill>
      <xdr:spPr>
        <a:xfrm>
          <a:off x="8705850" y="49187100"/>
          <a:ext cx="8647619" cy="1971429"/>
        </a:xfrm>
        <a:prstGeom prst="rect">
          <a:avLst/>
        </a:prstGeom>
      </xdr:spPr>
    </xdr:pic>
    <xdr:clientData/>
  </xdr:twoCellAnchor>
  <xdr:twoCellAnchor editAs="oneCell">
    <xdr:from>
      <xdr:col>13</xdr:col>
      <xdr:colOff>0</xdr:colOff>
      <xdr:row>819</xdr:row>
      <xdr:rowOff>0</xdr:rowOff>
    </xdr:from>
    <xdr:to>
      <xdr:col>26</xdr:col>
      <xdr:colOff>246628</xdr:colOff>
      <xdr:row>830</xdr:row>
      <xdr:rowOff>18851</xdr:rowOff>
    </xdr:to>
    <xdr:pic>
      <xdr:nvPicPr>
        <xdr:cNvPr id="5" name="Picture 4">
          <a:extLst>
            <a:ext uri="{FF2B5EF4-FFF2-40B4-BE49-F238E27FC236}">
              <a16:creationId xmlns:a16="http://schemas.microsoft.com/office/drawing/2014/main" id="{6FE81FF3-88CC-2FC2-4AE9-CC373DB2139A}"/>
            </a:ext>
          </a:extLst>
        </xdr:cNvPr>
        <xdr:cNvPicPr>
          <a:picLocks noChangeAspect="1"/>
        </xdr:cNvPicPr>
      </xdr:nvPicPr>
      <xdr:blipFill>
        <a:blip xmlns:r="http://schemas.openxmlformats.org/officeDocument/2006/relationships" r:embed="rId4"/>
        <a:stretch>
          <a:fillRect/>
        </a:stretch>
      </xdr:blipFill>
      <xdr:spPr>
        <a:xfrm>
          <a:off x="8105775" y="51292125"/>
          <a:ext cx="8171428" cy="1590476"/>
        </a:xfrm>
        <a:prstGeom prst="rect">
          <a:avLst/>
        </a:prstGeom>
      </xdr:spPr>
    </xdr:pic>
    <xdr:clientData/>
  </xdr:twoCellAnchor>
  <xdr:twoCellAnchor editAs="oneCell">
    <xdr:from>
      <xdr:col>13</xdr:col>
      <xdr:colOff>0</xdr:colOff>
      <xdr:row>834</xdr:row>
      <xdr:rowOff>0</xdr:rowOff>
    </xdr:from>
    <xdr:to>
      <xdr:col>26</xdr:col>
      <xdr:colOff>494248</xdr:colOff>
      <xdr:row>847</xdr:row>
      <xdr:rowOff>37863</xdr:rowOff>
    </xdr:to>
    <xdr:pic>
      <xdr:nvPicPr>
        <xdr:cNvPr id="6" name="Picture 5">
          <a:extLst>
            <a:ext uri="{FF2B5EF4-FFF2-40B4-BE49-F238E27FC236}">
              <a16:creationId xmlns:a16="http://schemas.microsoft.com/office/drawing/2014/main" id="{404EDF4E-BA36-71B1-E840-002A7AAADDCA}"/>
            </a:ext>
          </a:extLst>
        </xdr:cNvPr>
        <xdr:cNvPicPr>
          <a:picLocks noChangeAspect="1"/>
        </xdr:cNvPicPr>
      </xdr:nvPicPr>
      <xdr:blipFill>
        <a:blip xmlns:r="http://schemas.openxmlformats.org/officeDocument/2006/relationships" r:embed="rId5"/>
        <a:stretch>
          <a:fillRect/>
        </a:stretch>
      </xdr:blipFill>
      <xdr:spPr>
        <a:xfrm>
          <a:off x="8105775" y="53435250"/>
          <a:ext cx="8419048" cy="1895238"/>
        </a:xfrm>
        <a:prstGeom prst="rect">
          <a:avLst/>
        </a:prstGeom>
      </xdr:spPr>
    </xdr:pic>
    <xdr:clientData/>
  </xdr:twoCellAnchor>
  <xdr:twoCellAnchor editAs="oneCell">
    <xdr:from>
      <xdr:col>12</xdr:col>
      <xdr:colOff>533400</xdr:colOff>
      <xdr:row>849</xdr:row>
      <xdr:rowOff>114300</xdr:rowOff>
    </xdr:from>
    <xdr:to>
      <xdr:col>27</xdr:col>
      <xdr:colOff>94162</xdr:colOff>
      <xdr:row>858</xdr:row>
      <xdr:rowOff>56996</xdr:rowOff>
    </xdr:to>
    <xdr:pic>
      <xdr:nvPicPr>
        <xdr:cNvPr id="7" name="Picture 6">
          <a:extLst>
            <a:ext uri="{FF2B5EF4-FFF2-40B4-BE49-F238E27FC236}">
              <a16:creationId xmlns:a16="http://schemas.microsoft.com/office/drawing/2014/main" id="{37870246-F91B-F503-267C-EE7A8F98A470}"/>
            </a:ext>
          </a:extLst>
        </xdr:cNvPr>
        <xdr:cNvPicPr>
          <a:picLocks noChangeAspect="1"/>
        </xdr:cNvPicPr>
      </xdr:nvPicPr>
      <xdr:blipFill>
        <a:blip xmlns:r="http://schemas.openxmlformats.org/officeDocument/2006/relationships" r:embed="rId6"/>
        <a:stretch>
          <a:fillRect/>
        </a:stretch>
      </xdr:blipFill>
      <xdr:spPr>
        <a:xfrm>
          <a:off x="8029575" y="55692675"/>
          <a:ext cx="8704762" cy="1228571"/>
        </a:xfrm>
        <a:prstGeom prst="rect">
          <a:avLst/>
        </a:prstGeom>
      </xdr:spPr>
    </xdr:pic>
    <xdr:clientData/>
  </xdr:twoCellAnchor>
  <xdr:twoCellAnchor editAs="oneCell">
    <xdr:from>
      <xdr:col>13</xdr:col>
      <xdr:colOff>0</xdr:colOff>
      <xdr:row>860</xdr:row>
      <xdr:rowOff>0</xdr:rowOff>
    </xdr:from>
    <xdr:to>
      <xdr:col>27</xdr:col>
      <xdr:colOff>170362</xdr:colOff>
      <xdr:row>876</xdr:row>
      <xdr:rowOff>56857</xdr:rowOff>
    </xdr:to>
    <xdr:pic>
      <xdr:nvPicPr>
        <xdr:cNvPr id="8" name="Picture 7">
          <a:extLst>
            <a:ext uri="{FF2B5EF4-FFF2-40B4-BE49-F238E27FC236}">
              <a16:creationId xmlns:a16="http://schemas.microsoft.com/office/drawing/2014/main" id="{D491775C-735D-1188-89B2-8A8F0AB08685}"/>
            </a:ext>
          </a:extLst>
        </xdr:cNvPr>
        <xdr:cNvPicPr>
          <a:picLocks noChangeAspect="1"/>
        </xdr:cNvPicPr>
      </xdr:nvPicPr>
      <xdr:blipFill>
        <a:blip xmlns:r="http://schemas.openxmlformats.org/officeDocument/2006/relationships" r:embed="rId7"/>
        <a:stretch>
          <a:fillRect/>
        </a:stretch>
      </xdr:blipFill>
      <xdr:spPr>
        <a:xfrm>
          <a:off x="8105775" y="57150000"/>
          <a:ext cx="8704762" cy="2342857"/>
        </a:xfrm>
        <a:prstGeom prst="rect">
          <a:avLst/>
        </a:prstGeom>
      </xdr:spPr>
    </xdr:pic>
    <xdr:clientData/>
  </xdr:twoCellAnchor>
  <xdr:twoCellAnchor editAs="oneCell">
    <xdr:from>
      <xdr:col>12</xdr:col>
      <xdr:colOff>381000</xdr:colOff>
      <xdr:row>877</xdr:row>
      <xdr:rowOff>76200</xdr:rowOff>
    </xdr:from>
    <xdr:to>
      <xdr:col>26</xdr:col>
      <xdr:colOff>275171</xdr:colOff>
      <xdr:row>890</xdr:row>
      <xdr:rowOff>75968</xdr:rowOff>
    </xdr:to>
    <xdr:pic>
      <xdr:nvPicPr>
        <xdr:cNvPr id="9" name="Picture 8">
          <a:extLst>
            <a:ext uri="{FF2B5EF4-FFF2-40B4-BE49-F238E27FC236}">
              <a16:creationId xmlns:a16="http://schemas.microsoft.com/office/drawing/2014/main" id="{8C3DFFE9-EF5A-09D5-8C7F-3876AF208E8F}"/>
            </a:ext>
          </a:extLst>
        </xdr:cNvPr>
        <xdr:cNvPicPr>
          <a:picLocks noChangeAspect="1"/>
        </xdr:cNvPicPr>
      </xdr:nvPicPr>
      <xdr:blipFill>
        <a:blip xmlns:r="http://schemas.openxmlformats.org/officeDocument/2006/relationships" r:embed="rId8"/>
        <a:stretch>
          <a:fillRect/>
        </a:stretch>
      </xdr:blipFill>
      <xdr:spPr>
        <a:xfrm>
          <a:off x="7877175" y="59655075"/>
          <a:ext cx="8428571" cy="1857143"/>
        </a:xfrm>
        <a:prstGeom prst="rect">
          <a:avLst/>
        </a:prstGeom>
      </xdr:spPr>
    </xdr:pic>
    <xdr:clientData/>
  </xdr:twoCellAnchor>
  <xdr:twoCellAnchor editAs="oneCell">
    <xdr:from>
      <xdr:col>12</xdr:col>
      <xdr:colOff>238125</xdr:colOff>
      <xdr:row>891</xdr:row>
      <xdr:rowOff>123825</xdr:rowOff>
    </xdr:from>
    <xdr:to>
      <xdr:col>26</xdr:col>
      <xdr:colOff>94201</xdr:colOff>
      <xdr:row>902</xdr:row>
      <xdr:rowOff>142676</xdr:rowOff>
    </xdr:to>
    <xdr:pic>
      <xdr:nvPicPr>
        <xdr:cNvPr id="10" name="Picture 9">
          <a:extLst>
            <a:ext uri="{FF2B5EF4-FFF2-40B4-BE49-F238E27FC236}">
              <a16:creationId xmlns:a16="http://schemas.microsoft.com/office/drawing/2014/main" id="{F5FD4C72-3C80-F99B-D9C7-BE39394FB358}"/>
            </a:ext>
          </a:extLst>
        </xdr:cNvPr>
        <xdr:cNvPicPr>
          <a:picLocks noChangeAspect="1"/>
        </xdr:cNvPicPr>
      </xdr:nvPicPr>
      <xdr:blipFill>
        <a:blip xmlns:r="http://schemas.openxmlformats.org/officeDocument/2006/relationships" r:embed="rId9"/>
        <a:stretch>
          <a:fillRect/>
        </a:stretch>
      </xdr:blipFill>
      <xdr:spPr>
        <a:xfrm>
          <a:off x="7734300" y="61702950"/>
          <a:ext cx="8390476" cy="1590476"/>
        </a:xfrm>
        <a:prstGeom prst="rect">
          <a:avLst/>
        </a:prstGeom>
      </xdr:spPr>
    </xdr:pic>
    <xdr:clientData/>
  </xdr:twoCellAnchor>
  <xdr:twoCellAnchor editAs="oneCell">
    <xdr:from>
      <xdr:col>12</xdr:col>
      <xdr:colOff>200025</xdr:colOff>
      <xdr:row>904</xdr:row>
      <xdr:rowOff>114300</xdr:rowOff>
    </xdr:from>
    <xdr:to>
      <xdr:col>26</xdr:col>
      <xdr:colOff>170387</xdr:colOff>
      <xdr:row>916</xdr:row>
      <xdr:rowOff>104563</xdr:rowOff>
    </xdr:to>
    <xdr:pic>
      <xdr:nvPicPr>
        <xdr:cNvPr id="11" name="Picture 10">
          <a:extLst>
            <a:ext uri="{FF2B5EF4-FFF2-40B4-BE49-F238E27FC236}">
              <a16:creationId xmlns:a16="http://schemas.microsoft.com/office/drawing/2014/main" id="{E4CC2990-B464-0B9A-9049-A842C94D9322}"/>
            </a:ext>
          </a:extLst>
        </xdr:cNvPr>
        <xdr:cNvPicPr>
          <a:picLocks noChangeAspect="1"/>
        </xdr:cNvPicPr>
      </xdr:nvPicPr>
      <xdr:blipFill>
        <a:blip xmlns:r="http://schemas.openxmlformats.org/officeDocument/2006/relationships" r:embed="rId10"/>
        <a:stretch>
          <a:fillRect/>
        </a:stretch>
      </xdr:blipFill>
      <xdr:spPr>
        <a:xfrm>
          <a:off x="7696200" y="63550800"/>
          <a:ext cx="8504762" cy="1704762"/>
        </a:xfrm>
        <a:prstGeom prst="rect">
          <a:avLst/>
        </a:prstGeom>
      </xdr:spPr>
    </xdr:pic>
    <xdr:clientData/>
  </xdr:twoCellAnchor>
  <xdr:twoCellAnchor editAs="oneCell">
    <xdr:from>
      <xdr:col>11</xdr:col>
      <xdr:colOff>400050</xdr:colOff>
      <xdr:row>917</xdr:row>
      <xdr:rowOff>104775</xdr:rowOff>
    </xdr:from>
    <xdr:to>
      <xdr:col>25</xdr:col>
      <xdr:colOff>560888</xdr:colOff>
      <xdr:row>932</xdr:row>
      <xdr:rowOff>114031</xdr:rowOff>
    </xdr:to>
    <xdr:pic>
      <xdr:nvPicPr>
        <xdr:cNvPr id="12" name="Picture 11">
          <a:extLst>
            <a:ext uri="{FF2B5EF4-FFF2-40B4-BE49-F238E27FC236}">
              <a16:creationId xmlns:a16="http://schemas.microsoft.com/office/drawing/2014/main" id="{12AA8123-5C03-64F4-EFBE-70FEBC8E652F}"/>
            </a:ext>
          </a:extLst>
        </xdr:cNvPr>
        <xdr:cNvPicPr>
          <a:picLocks noChangeAspect="1"/>
        </xdr:cNvPicPr>
      </xdr:nvPicPr>
      <xdr:blipFill>
        <a:blip xmlns:r="http://schemas.openxmlformats.org/officeDocument/2006/relationships" r:embed="rId11"/>
        <a:stretch>
          <a:fillRect/>
        </a:stretch>
      </xdr:blipFill>
      <xdr:spPr>
        <a:xfrm>
          <a:off x="7286625" y="65398650"/>
          <a:ext cx="8695238" cy="2152381"/>
        </a:xfrm>
        <a:prstGeom prst="rect">
          <a:avLst/>
        </a:prstGeom>
      </xdr:spPr>
    </xdr:pic>
    <xdr:clientData/>
  </xdr:twoCellAnchor>
  <xdr:twoCellAnchor editAs="oneCell">
    <xdr:from>
      <xdr:col>12</xdr:col>
      <xdr:colOff>0</xdr:colOff>
      <xdr:row>935</xdr:row>
      <xdr:rowOff>0</xdr:rowOff>
    </xdr:from>
    <xdr:to>
      <xdr:col>25</xdr:col>
      <xdr:colOff>560914</xdr:colOff>
      <xdr:row>940</xdr:row>
      <xdr:rowOff>76101</xdr:rowOff>
    </xdr:to>
    <xdr:pic>
      <xdr:nvPicPr>
        <xdr:cNvPr id="13" name="Picture 12">
          <a:extLst>
            <a:ext uri="{FF2B5EF4-FFF2-40B4-BE49-F238E27FC236}">
              <a16:creationId xmlns:a16="http://schemas.microsoft.com/office/drawing/2014/main" id="{87980FDE-7E13-FF26-1A06-87438D44749E}"/>
            </a:ext>
          </a:extLst>
        </xdr:cNvPr>
        <xdr:cNvPicPr>
          <a:picLocks noChangeAspect="1"/>
        </xdr:cNvPicPr>
      </xdr:nvPicPr>
      <xdr:blipFill>
        <a:blip xmlns:r="http://schemas.openxmlformats.org/officeDocument/2006/relationships" r:embed="rId12"/>
        <a:stretch>
          <a:fillRect/>
        </a:stretch>
      </xdr:blipFill>
      <xdr:spPr>
        <a:xfrm>
          <a:off x="7496175" y="67865625"/>
          <a:ext cx="8485714" cy="790476"/>
        </a:xfrm>
        <a:prstGeom prst="rect">
          <a:avLst/>
        </a:prstGeom>
      </xdr:spPr>
    </xdr:pic>
    <xdr:clientData/>
  </xdr:twoCellAnchor>
  <xdr:twoCellAnchor editAs="oneCell">
    <xdr:from>
      <xdr:col>11</xdr:col>
      <xdr:colOff>504825</xdr:colOff>
      <xdr:row>942</xdr:row>
      <xdr:rowOff>114300</xdr:rowOff>
    </xdr:from>
    <xdr:to>
      <xdr:col>25</xdr:col>
      <xdr:colOff>332330</xdr:colOff>
      <xdr:row>955</xdr:row>
      <xdr:rowOff>47401</xdr:rowOff>
    </xdr:to>
    <xdr:pic>
      <xdr:nvPicPr>
        <xdr:cNvPr id="14" name="Picture 13">
          <a:extLst>
            <a:ext uri="{FF2B5EF4-FFF2-40B4-BE49-F238E27FC236}">
              <a16:creationId xmlns:a16="http://schemas.microsoft.com/office/drawing/2014/main" id="{6B83A53B-3548-A79B-0B45-D0AEC1B9C9E9}"/>
            </a:ext>
          </a:extLst>
        </xdr:cNvPr>
        <xdr:cNvPicPr>
          <a:picLocks noChangeAspect="1"/>
        </xdr:cNvPicPr>
      </xdr:nvPicPr>
      <xdr:blipFill>
        <a:blip xmlns:r="http://schemas.openxmlformats.org/officeDocument/2006/relationships" r:embed="rId13"/>
        <a:stretch>
          <a:fillRect/>
        </a:stretch>
      </xdr:blipFill>
      <xdr:spPr>
        <a:xfrm>
          <a:off x="7391400" y="68980050"/>
          <a:ext cx="8361905" cy="1790476"/>
        </a:xfrm>
        <a:prstGeom prst="rect">
          <a:avLst/>
        </a:prstGeom>
      </xdr:spPr>
    </xdr:pic>
    <xdr:clientData/>
  </xdr:twoCellAnchor>
  <xdr:twoCellAnchor editAs="oneCell">
    <xdr:from>
      <xdr:col>11</xdr:col>
      <xdr:colOff>571500</xdr:colOff>
      <xdr:row>956</xdr:row>
      <xdr:rowOff>133350</xdr:rowOff>
    </xdr:from>
    <xdr:to>
      <xdr:col>22</xdr:col>
      <xdr:colOff>551614</xdr:colOff>
      <xdr:row>969</xdr:row>
      <xdr:rowOff>66451</xdr:rowOff>
    </xdr:to>
    <xdr:pic>
      <xdr:nvPicPr>
        <xdr:cNvPr id="15" name="Picture 14">
          <a:extLst>
            <a:ext uri="{FF2B5EF4-FFF2-40B4-BE49-F238E27FC236}">
              <a16:creationId xmlns:a16="http://schemas.microsoft.com/office/drawing/2014/main" id="{991EE02F-F64F-694D-37F2-09A208D0CCFA}"/>
            </a:ext>
          </a:extLst>
        </xdr:cNvPr>
        <xdr:cNvPicPr>
          <a:picLocks noChangeAspect="1"/>
        </xdr:cNvPicPr>
      </xdr:nvPicPr>
      <xdr:blipFill>
        <a:blip xmlns:r="http://schemas.openxmlformats.org/officeDocument/2006/relationships" r:embed="rId14"/>
        <a:stretch>
          <a:fillRect/>
        </a:stretch>
      </xdr:blipFill>
      <xdr:spPr>
        <a:xfrm>
          <a:off x="7458075" y="70999350"/>
          <a:ext cx="6685714" cy="1790476"/>
        </a:xfrm>
        <a:prstGeom prst="rect">
          <a:avLst/>
        </a:prstGeom>
      </xdr:spPr>
    </xdr:pic>
    <xdr:clientData/>
  </xdr:twoCellAnchor>
  <xdr:twoCellAnchor editAs="oneCell">
    <xdr:from>
      <xdr:col>11</xdr:col>
      <xdr:colOff>390525</xdr:colOff>
      <xdr:row>970</xdr:row>
      <xdr:rowOff>57150</xdr:rowOff>
    </xdr:from>
    <xdr:to>
      <xdr:col>22</xdr:col>
      <xdr:colOff>427782</xdr:colOff>
      <xdr:row>1002</xdr:row>
      <xdr:rowOff>8960</xdr:rowOff>
    </xdr:to>
    <xdr:pic>
      <xdr:nvPicPr>
        <xdr:cNvPr id="16" name="Picture 15">
          <a:extLst>
            <a:ext uri="{FF2B5EF4-FFF2-40B4-BE49-F238E27FC236}">
              <a16:creationId xmlns:a16="http://schemas.microsoft.com/office/drawing/2014/main" id="{B6C9E70D-2C90-A0D4-A0C8-7C8123917C1B}"/>
            </a:ext>
          </a:extLst>
        </xdr:cNvPr>
        <xdr:cNvPicPr>
          <a:picLocks noChangeAspect="1"/>
        </xdr:cNvPicPr>
      </xdr:nvPicPr>
      <xdr:blipFill>
        <a:blip xmlns:r="http://schemas.openxmlformats.org/officeDocument/2006/relationships" r:embed="rId15"/>
        <a:stretch>
          <a:fillRect/>
        </a:stretch>
      </xdr:blipFill>
      <xdr:spPr>
        <a:xfrm>
          <a:off x="7277100" y="72923400"/>
          <a:ext cx="6742857" cy="4523809"/>
        </a:xfrm>
        <a:prstGeom prst="rect">
          <a:avLst/>
        </a:prstGeom>
      </xdr:spPr>
    </xdr:pic>
    <xdr:clientData/>
  </xdr:twoCellAnchor>
  <xdr:twoCellAnchor editAs="oneCell">
    <xdr:from>
      <xdr:col>10</xdr:col>
      <xdr:colOff>581025</xdr:colOff>
      <xdr:row>1003</xdr:row>
      <xdr:rowOff>9525</xdr:rowOff>
    </xdr:from>
    <xdr:to>
      <xdr:col>27</xdr:col>
      <xdr:colOff>255920</xdr:colOff>
      <xdr:row>1021</xdr:row>
      <xdr:rowOff>9204</xdr:rowOff>
    </xdr:to>
    <xdr:pic>
      <xdr:nvPicPr>
        <xdr:cNvPr id="17" name="Picture 16">
          <a:extLst>
            <a:ext uri="{FF2B5EF4-FFF2-40B4-BE49-F238E27FC236}">
              <a16:creationId xmlns:a16="http://schemas.microsoft.com/office/drawing/2014/main" id="{82D992A8-FFA9-7F44-AC23-F65A120A1BF9}"/>
            </a:ext>
          </a:extLst>
        </xdr:cNvPr>
        <xdr:cNvPicPr>
          <a:picLocks noChangeAspect="1"/>
        </xdr:cNvPicPr>
      </xdr:nvPicPr>
      <xdr:blipFill>
        <a:blip xmlns:r="http://schemas.openxmlformats.org/officeDocument/2006/relationships" r:embed="rId16"/>
        <a:stretch>
          <a:fillRect/>
        </a:stretch>
      </xdr:blipFill>
      <xdr:spPr>
        <a:xfrm>
          <a:off x="6858000" y="77590650"/>
          <a:ext cx="10038095" cy="2571429"/>
        </a:xfrm>
        <a:prstGeom prst="rect">
          <a:avLst/>
        </a:prstGeom>
      </xdr:spPr>
    </xdr:pic>
    <xdr:clientData/>
  </xdr:twoCellAnchor>
  <xdr:twoCellAnchor editAs="oneCell">
    <xdr:from>
      <xdr:col>11</xdr:col>
      <xdr:colOff>485775</xdr:colOff>
      <xdr:row>1022</xdr:row>
      <xdr:rowOff>114300</xdr:rowOff>
    </xdr:from>
    <xdr:to>
      <xdr:col>21</xdr:col>
      <xdr:colOff>570727</xdr:colOff>
      <xdr:row>1040</xdr:row>
      <xdr:rowOff>66359</xdr:rowOff>
    </xdr:to>
    <xdr:pic>
      <xdr:nvPicPr>
        <xdr:cNvPr id="18" name="Picture 17">
          <a:extLst>
            <a:ext uri="{FF2B5EF4-FFF2-40B4-BE49-F238E27FC236}">
              <a16:creationId xmlns:a16="http://schemas.microsoft.com/office/drawing/2014/main" id="{CB3199A0-56F0-8E8C-F397-67030E1665CA}"/>
            </a:ext>
          </a:extLst>
        </xdr:cNvPr>
        <xdr:cNvPicPr>
          <a:picLocks noChangeAspect="1"/>
        </xdr:cNvPicPr>
      </xdr:nvPicPr>
      <xdr:blipFill>
        <a:blip xmlns:r="http://schemas.openxmlformats.org/officeDocument/2006/relationships" r:embed="rId17"/>
        <a:stretch>
          <a:fillRect/>
        </a:stretch>
      </xdr:blipFill>
      <xdr:spPr>
        <a:xfrm>
          <a:off x="7372350" y="80410050"/>
          <a:ext cx="6180952" cy="2523809"/>
        </a:xfrm>
        <a:prstGeom prst="rect">
          <a:avLst/>
        </a:prstGeom>
      </xdr:spPr>
    </xdr:pic>
    <xdr:clientData/>
  </xdr:twoCellAnchor>
  <xdr:twoCellAnchor editAs="oneCell">
    <xdr:from>
      <xdr:col>11</xdr:col>
      <xdr:colOff>142875</xdr:colOff>
      <xdr:row>1042</xdr:row>
      <xdr:rowOff>76200</xdr:rowOff>
    </xdr:from>
    <xdr:to>
      <xdr:col>21</xdr:col>
      <xdr:colOff>218304</xdr:colOff>
      <xdr:row>1056</xdr:row>
      <xdr:rowOff>94997</xdr:rowOff>
    </xdr:to>
    <xdr:pic>
      <xdr:nvPicPr>
        <xdr:cNvPr id="19" name="Picture 18">
          <a:extLst>
            <a:ext uri="{FF2B5EF4-FFF2-40B4-BE49-F238E27FC236}">
              <a16:creationId xmlns:a16="http://schemas.microsoft.com/office/drawing/2014/main" id="{84C950B2-DC0E-A3BC-4A55-5D0DBD0C1819}"/>
            </a:ext>
          </a:extLst>
        </xdr:cNvPr>
        <xdr:cNvPicPr>
          <a:picLocks noChangeAspect="1"/>
        </xdr:cNvPicPr>
      </xdr:nvPicPr>
      <xdr:blipFill>
        <a:blip xmlns:r="http://schemas.openxmlformats.org/officeDocument/2006/relationships" r:embed="rId18"/>
        <a:stretch>
          <a:fillRect/>
        </a:stretch>
      </xdr:blipFill>
      <xdr:spPr>
        <a:xfrm>
          <a:off x="7029450" y="83229450"/>
          <a:ext cx="6171429" cy="2019048"/>
        </a:xfrm>
        <a:prstGeom prst="rect">
          <a:avLst/>
        </a:prstGeom>
      </xdr:spPr>
    </xdr:pic>
    <xdr:clientData/>
  </xdr:twoCellAnchor>
  <xdr:twoCellAnchor editAs="oneCell">
    <xdr:from>
      <xdr:col>10</xdr:col>
      <xdr:colOff>342900</xdr:colOff>
      <xdr:row>1059</xdr:row>
      <xdr:rowOff>38100</xdr:rowOff>
    </xdr:from>
    <xdr:to>
      <xdr:col>26</xdr:col>
      <xdr:colOff>236919</xdr:colOff>
      <xdr:row>1073</xdr:row>
      <xdr:rowOff>104517</xdr:rowOff>
    </xdr:to>
    <xdr:pic>
      <xdr:nvPicPr>
        <xdr:cNvPr id="21" name="Picture 20">
          <a:extLst>
            <a:ext uri="{FF2B5EF4-FFF2-40B4-BE49-F238E27FC236}">
              <a16:creationId xmlns:a16="http://schemas.microsoft.com/office/drawing/2014/main" id="{EE993CA1-A6A6-1FA7-895C-A620EA59961F}"/>
            </a:ext>
          </a:extLst>
        </xdr:cNvPr>
        <xdr:cNvPicPr>
          <a:picLocks noChangeAspect="1"/>
        </xdr:cNvPicPr>
      </xdr:nvPicPr>
      <xdr:blipFill>
        <a:blip xmlns:r="http://schemas.openxmlformats.org/officeDocument/2006/relationships" r:embed="rId19"/>
        <a:stretch>
          <a:fillRect/>
        </a:stretch>
      </xdr:blipFill>
      <xdr:spPr>
        <a:xfrm>
          <a:off x="6619875" y="85620225"/>
          <a:ext cx="9647619" cy="2066667"/>
        </a:xfrm>
        <a:prstGeom prst="rect">
          <a:avLst/>
        </a:prstGeom>
      </xdr:spPr>
    </xdr:pic>
    <xdr:clientData/>
  </xdr:twoCellAnchor>
  <xdr:twoCellAnchor editAs="oneCell">
    <xdr:from>
      <xdr:col>11</xdr:col>
      <xdr:colOff>0</xdr:colOff>
      <xdr:row>1077</xdr:row>
      <xdr:rowOff>0</xdr:rowOff>
    </xdr:from>
    <xdr:to>
      <xdr:col>22</xdr:col>
      <xdr:colOff>103924</xdr:colOff>
      <xdr:row>1107</xdr:row>
      <xdr:rowOff>113749</xdr:rowOff>
    </xdr:to>
    <xdr:pic>
      <xdr:nvPicPr>
        <xdr:cNvPr id="22" name="Picture 21">
          <a:extLst>
            <a:ext uri="{FF2B5EF4-FFF2-40B4-BE49-F238E27FC236}">
              <a16:creationId xmlns:a16="http://schemas.microsoft.com/office/drawing/2014/main" id="{15D435FB-4247-542F-796A-78E0FF8BA138}"/>
            </a:ext>
          </a:extLst>
        </xdr:cNvPr>
        <xdr:cNvPicPr>
          <a:picLocks noChangeAspect="1"/>
        </xdr:cNvPicPr>
      </xdr:nvPicPr>
      <xdr:blipFill>
        <a:blip xmlns:r="http://schemas.openxmlformats.org/officeDocument/2006/relationships" r:embed="rId20"/>
        <a:stretch>
          <a:fillRect/>
        </a:stretch>
      </xdr:blipFill>
      <xdr:spPr>
        <a:xfrm>
          <a:off x="6886575" y="88153875"/>
          <a:ext cx="6809524" cy="4400000"/>
        </a:xfrm>
        <a:prstGeom prst="rect">
          <a:avLst/>
        </a:prstGeom>
      </xdr:spPr>
    </xdr:pic>
    <xdr:clientData/>
  </xdr:twoCellAnchor>
  <xdr:twoCellAnchor editAs="oneCell">
    <xdr:from>
      <xdr:col>11</xdr:col>
      <xdr:colOff>314325</xdr:colOff>
      <xdr:row>1108</xdr:row>
      <xdr:rowOff>114300</xdr:rowOff>
    </xdr:from>
    <xdr:to>
      <xdr:col>22</xdr:col>
      <xdr:colOff>8725</xdr:colOff>
      <xdr:row>1144</xdr:row>
      <xdr:rowOff>94608</xdr:rowOff>
    </xdr:to>
    <xdr:pic>
      <xdr:nvPicPr>
        <xdr:cNvPr id="23" name="Picture 22">
          <a:extLst>
            <a:ext uri="{FF2B5EF4-FFF2-40B4-BE49-F238E27FC236}">
              <a16:creationId xmlns:a16="http://schemas.microsoft.com/office/drawing/2014/main" id="{08B61AE2-A03B-4DF8-6204-C6C61ADCDC8B}"/>
            </a:ext>
          </a:extLst>
        </xdr:cNvPr>
        <xdr:cNvPicPr>
          <a:picLocks noChangeAspect="1"/>
        </xdr:cNvPicPr>
      </xdr:nvPicPr>
      <xdr:blipFill>
        <a:blip xmlns:r="http://schemas.openxmlformats.org/officeDocument/2006/relationships" r:embed="rId21"/>
        <a:stretch>
          <a:fillRect/>
        </a:stretch>
      </xdr:blipFill>
      <xdr:spPr>
        <a:xfrm>
          <a:off x="7200900" y="92697300"/>
          <a:ext cx="6400000" cy="5123809"/>
        </a:xfrm>
        <a:prstGeom prst="rect">
          <a:avLst/>
        </a:prstGeom>
      </xdr:spPr>
    </xdr:pic>
    <xdr:clientData/>
  </xdr:twoCellAnchor>
  <xdr:twoCellAnchor editAs="oneCell">
    <xdr:from>
      <xdr:col>11</xdr:col>
      <xdr:colOff>314325</xdr:colOff>
      <xdr:row>1145</xdr:row>
      <xdr:rowOff>28575</xdr:rowOff>
    </xdr:from>
    <xdr:to>
      <xdr:col>21</xdr:col>
      <xdr:colOff>542134</xdr:colOff>
      <xdr:row>1160</xdr:row>
      <xdr:rowOff>56878</xdr:rowOff>
    </xdr:to>
    <xdr:pic>
      <xdr:nvPicPr>
        <xdr:cNvPr id="24" name="Picture 23">
          <a:extLst>
            <a:ext uri="{FF2B5EF4-FFF2-40B4-BE49-F238E27FC236}">
              <a16:creationId xmlns:a16="http://schemas.microsoft.com/office/drawing/2014/main" id="{226101A5-3D5C-4CD7-DFA6-36464684D24E}"/>
            </a:ext>
          </a:extLst>
        </xdr:cNvPr>
        <xdr:cNvPicPr>
          <a:picLocks noChangeAspect="1"/>
        </xdr:cNvPicPr>
      </xdr:nvPicPr>
      <xdr:blipFill>
        <a:blip xmlns:r="http://schemas.openxmlformats.org/officeDocument/2006/relationships" r:embed="rId22"/>
        <a:stretch>
          <a:fillRect/>
        </a:stretch>
      </xdr:blipFill>
      <xdr:spPr>
        <a:xfrm>
          <a:off x="7200900" y="97897950"/>
          <a:ext cx="6323809" cy="2171429"/>
        </a:xfrm>
        <a:prstGeom prst="rect">
          <a:avLst/>
        </a:prstGeom>
      </xdr:spPr>
    </xdr:pic>
    <xdr:clientData/>
  </xdr:twoCellAnchor>
  <xdr:twoCellAnchor editAs="oneCell">
    <xdr:from>
      <xdr:col>11</xdr:col>
      <xdr:colOff>123825</xdr:colOff>
      <xdr:row>1161</xdr:row>
      <xdr:rowOff>85725</xdr:rowOff>
    </xdr:from>
    <xdr:to>
      <xdr:col>21</xdr:col>
      <xdr:colOff>427825</xdr:colOff>
      <xdr:row>1181</xdr:row>
      <xdr:rowOff>75844</xdr:rowOff>
    </xdr:to>
    <xdr:pic>
      <xdr:nvPicPr>
        <xdr:cNvPr id="25" name="Picture 24">
          <a:extLst>
            <a:ext uri="{FF2B5EF4-FFF2-40B4-BE49-F238E27FC236}">
              <a16:creationId xmlns:a16="http://schemas.microsoft.com/office/drawing/2014/main" id="{E0DFA250-6DC2-4445-D6A2-A4FFC9C8199C}"/>
            </a:ext>
          </a:extLst>
        </xdr:cNvPr>
        <xdr:cNvPicPr>
          <a:picLocks noChangeAspect="1"/>
        </xdr:cNvPicPr>
      </xdr:nvPicPr>
      <xdr:blipFill>
        <a:blip xmlns:r="http://schemas.openxmlformats.org/officeDocument/2006/relationships" r:embed="rId23"/>
        <a:stretch>
          <a:fillRect/>
        </a:stretch>
      </xdr:blipFill>
      <xdr:spPr>
        <a:xfrm>
          <a:off x="7010400" y="100241100"/>
          <a:ext cx="6400000" cy="2847619"/>
        </a:xfrm>
        <a:prstGeom prst="rect">
          <a:avLst/>
        </a:prstGeom>
      </xdr:spPr>
    </xdr:pic>
    <xdr:clientData/>
  </xdr:twoCellAnchor>
  <xdr:twoCellAnchor editAs="oneCell">
    <xdr:from>
      <xdr:col>12</xdr:col>
      <xdr:colOff>0</xdr:colOff>
      <xdr:row>1184</xdr:row>
      <xdr:rowOff>0</xdr:rowOff>
    </xdr:from>
    <xdr:to>
      <xdr:col>23</xdr:col>
      <xdr:colOff>113448</xdr:colOff>
      <xdr:row>1217</xdr:row>
      <xdr:rowOff>18458</xdr:rowOff>
    </xdr:to>
    <xdr:pic>
      <xdr:nvPicPr>
        <xdr:cNvPr id="26" name="Picture 25">
          <a:extLst>
            <a:ext uri="{FF2B5EF4-FFF2-40B4-BE49-F238E27FC236}">
              <a16:creationId xmlns:a16="http://schemas.microsoft.com/office/drawing/2014/main" id="{93D7F19B-47B8-1589-93C2-F544860874AB}"/>
            </a:ext>
          </a:extLst>
        </xdr:cNvPr>
        <xdr:cNvPicPr>
          <a:picLocks noChangeAspect="1"/>
        </xdr:cNvPicPr>
      </xdr:nvPicPr>
      <xdr:blipFill>
        <a:blip xmlns:r="http://schemas.openxmlformats.org/officeDocument/2006/relationships" r:embed="rId24"/>
        <a:stretch>
          <a:fillRect/>
        </a:stretch>
      </xdr:blipFill>
      <xdr:spPr>
        <a:xfrm>
          <a:off x="7496175" y="103441500"/>
          <a:ext cx="6819048" cy="4733333"/>
        </a:xfrm>
        <a:prstGeom prst="rect">
          <a:avLst/>
        </a:prstGeom>
      </xdr:spPr>
    </xdr:pic>
    <xdr:clientData/>
  </xdr:twoCellAnchor>
  <xdr:twoCellAnchor editAs="oneCell">
    <xdr:from>
      <xdr:col>2</xdr:col>
      <xdr:colOff>161925</xdr:colOff>
      <xdr:row>826</xdr:row>
      <xdr:rowOff>9525</xdr:rowOff>
    </xdr:from>
    <xdr:to>
      <xdr:col>12</xdr:col>
      <xdr:colOff>142158</xdr:colOff>
      <xdr:row>844</xdr:row>
      <xdr:rowOff>113965</xdr:rowOff>
    </xdr:to>
    <xdr:pic>
      <xdr:nvPicPr>
        <xdr:cNvPr id="27" name="Picture 26">
          <a:extLst>
            <a:ext uri="{FF2B5EF4-FFF2-40B4-BE49-F238E27FC236}">
              <a16:creationId xmlns:a16="http://schemas.microsoft.com/office/drawing/2014/main" id="{3B51BAB5-C8A8-E9CF-1EAE-6EE4C391BF02}"/>
            </a:ext>
          </a:extLst>
        </xdr:cNvPr>
        <xdr:cNvPicPr>
          <a:picLocks noChangeAspect="1"/>
        </xdr:cNvPicPr>
      </xdr:nvPicPr>
      <xdr:blipFill>
        <a:blip xmlns:r="http://schemas.openxmlformats.org/officeDocument/2006/relationships" r:embed="rId25"/>
        <a:stretch>
          <a:fillRect/>
        </a:stretch>
      </xdr:blipFill>
      <xdr:spPr>
        <a:xfrm>
          <a:off x="2457450" y="113023650"/>
          <a:ext cx="5733333" cy="2676190"/>
        </a:xfrm>
        <a:prstGeom prst="rect">
          <a:avLst/>
        </a:prstGeom>
      </xdr:spPr>
    </xdr:pic>
    <xdr:clientData/>
  </xdr:twoCellAnchor>
  <xdr:twoCellAnchor editAs="oneCell">
    <xdr:from>
      <xdr:col>11</xdr:col>
      <xdr:colOff>0</xdr:colOff>
      <xdr:row>1219</xdr:row>
      <xdr:rowOff>0</xdr:rowOff>
    </xdr:from>
    <xdr:to>
      <xdr:col>25</xdr:col>
      <xdr:colOff>94171</xdr:colOff>
      <xdr:row>1232</xdr:row>
      <xdr:rowOff>37863</xdr:rowOff>
    </xdr:to>
    <xdr:pic>
      <xdr:nvPicPr>
        <xdr:cNvPr id="28" name="Picture 27">
          <a:extLst>
            <a:ext uri="{FF2B5EF4-FFF2-40B4-BE49-F238E27FC236}">
              <a16:creationId xmlns:a16="http://schemas.microsoft.com/office/drawing/2014/main" id="{2C5A252E-B201-8722-0998-4A205B13A958}"/>
            </a:ext>
          </a:extLst>
        </xdr:cNvPr>
        <xdr:cNvPicPr>
          <a:picLocks noChangeAspect="1"/>
        </xdr:cNvPicPr>
      </xdr:nvPicPr>
      <xdr:blipFill>
        <a:blip xmlns:r="http://schemas.openxmlformats.org/officeDocument/2006/relationships" r:embed="rId26"/>
        <a:stretch>
          <a:fillRect/>
        </a:stretch>
      </xdr:blipFill>
      <xdr:spPr>
        <a:xfrm>
          <a:off x="6886575" y="109299375"/>
          <a:ext cx="8628571" cy="1895238"/>
        </a:xfrm>
        <a:prstGeom prst="rect">
          <a:avLst/>
        </a:prstGeom>
      </xdr:spPr>
    </xdr:pic>
    <xdr:clientData/>
  </xdr:twoCellAnchor>
  <xdr:twoCellAnchor editAs="oneCell">
    <xdr:from>
      <xdr:col>10</xdr:col>
      <xdr:colOff>205904</xdr:colOff>
      <xdr:row>29</xdr:row>
      <xdr:rowOff>95250</xdr:rowOff>
    </xdr:from>
    <xdr:to>
      <xdr:col>19</xdr:col>
      <xdr:colOff>186170</xdr:colOff>
      <xdr:row>44</xdr:row>
      <xdr:rowOff>37839</xdr:rowOff>
    </xdr:to>
    <xdr:pic>
      <xdr:nvPicPr>
        <xdr:cNvPr id="29" name="Picture 28">
          <a:extLst>
            <a:ext uri="{FF2B5EF4-FFF2-40B4-BE49-F238E27FC236}">
              <a16:creationId xmlns:a16="http://schemas.microsoft.com/office/drawing/2014/main" id="{CE2D4655-54AA-0A75-97FC-8E5C06CC26C5}"/>
            </a:ext>
          </a:extLst>
        </xdr:cNvPr>
        <xdr:cNvPicPr>
          <a:picLocks noChangeAspect="1"/>
        </xdr:cNvPicPr>
      </xdr:nvPicPr>
      <xdr:blipFill>
        <a:blip xmlns:r="http://schemas.openxmlformats.org/officeDocument/2006/relationships" r:embed="rId27"/>
        <a:stretch>
          <a:fillRect/>
        </a:stretch>
      </xdr:blipFill>
      <xdr:spPr>
        <a:xfrm>
          <a:off x="7011949" y="4364182"/>
          <a:ext cx="5435494" cy="2150657"/>
        </a:xfrm>
        <a:prstGeom prst="rect">
          <a:avLst/>
        </a:prstGeom>
      </xdr:spPr>
    </xdr:pic>
    <xdr:clientData/>
  </xdr:twoCellAnchor>
  <xdr:twoCellAnchor editAs="oneCell">
    <xdr:from>
      <xdr:col>11</xdr:col>
      <xdr:colOff>533400</xdr:colOff>
      <xdr:row>1234</xdr:row>
      <xdr:rowOff>19050</xdr:rowOff>
    </xdr:from>
    <xdr:to>
      <xdr:col>23</xdr:col>
      <xdr:colOff>65819</xdr:colOff>
      <xdr:row>1258</xdr:row>
      <xdr:rowOff>142432</xdr:rowOff>
    </xdr:to>
    <xdr:pic>
      <xdr:nvPicPr>
        <xdr:cNvPr id="31" name="Picture 30">
          <a:extLst>
            <a:ext uri="{FF2B5EF4-FFF2-40B4-BE49-F238E27FC236}">
              <a16:creationId xmlns:a16="http://schemas.microsoft.com/office/drawing/2014/main" id="{F5B05046-E3EF-41D2-8C79-DB6F2299A147}"/>
            </a:ext>
          </a:extLst>
        </xdr:cNvPr>
        <xdr:cNvPicPr>
          <a:picLocks noChangeAspect="1"/>
        </xdr:cNvPicPr>
      </xdr:nvPicPr>
      <xdr:blipFill>
        <a:blip xmlns:r="http://schemas.openxmlformats.org/officeDocument/2006/relationships" r:embed="rId28"/>
        <a:stretch>
          <a:fillRect/>
        </a:stretch>
      </xdr:blipFill>
      <xdr:spPr>
        <a:xfrm>
          <a:off x="7419975" y="111461550"/>
          <a:ext cx="6847619" cy="355238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34</xdr:col>
      <xdr:colOff>0</xdr:colOff>
      <xdr:row>6</xdr:row>
      <xdr:rowOff>0</xdr:rowOff>
    </xdr:from>
    <xdr:to>
      <xdr:col>39</xdr:col>
      <xdr:colOff>304382</xdr:colOff>
      <xdr:row>32</xdr:row>
      <xdr:rowOff>113667</xdr:rowOff>
    </xdr:to>
    <xdr:pic>
      <xdr:nvPicPr>
        <xdr:cNvPr id="2" name="Picture 1">
          <a:extLst>
            <a:ext uri="{FF2B5EF4-FFF2-40B4-BE49-F238E27FC236}">
              <a16:creationId xmlns:a16="http://schemas.microsoft.com/office/drawing/2014/main" id="{BAD708A4-64EC-A47D-F2B9-CDD0D2341119}"/>
            </a:ext>
          </a:extLst>
        </xdr:cNvPr>
        <xdr:cNvPicPr>
          <a:picLocks noChangeAspect="1"/>
        </xdr:cNvPicPr>
      </xdr:nvPicPr>
      <xdr:blipFill>
        <a:blip xmlns:r="http://schemas.openxmlformats.org/officeDocument/2006/relationships" r:embed="rId1"/>
        <a:stretch>
          <a:fillRect/>
        </a:stretch>
      </xdr:blipFill>
      <xdr:spPr>
        <a:xfrm>
          <a:off x="25965150" y="1143000"/>
          <a:ext cx="3352381" cy="5066667"/>
        </a:xfrm>
        <a:prstGeom prst="rect">
          <a:avLst/>
        </a:prstGeom>
      </xdr:spPr>
    </xdr:pic>
    <xdr:clientData/>
  </xdr:twoCellAnchor>
  <xdr:twoCellAnchor editAs="oneCell">
    <xdr:from>
      <xdr:col>36</xdr:col>
      <xdr:colOff>331134</xdr:colOff>
      <xdr:row>26</xdr:row>
      <xdr:rowOff>50427</xdr:rowOff>
    </xdr:from>
    <xdr:to>
      <xdr:col>42</xdr:col>
      <xdr:colOff>302105</xdr:colOff>
      <xdr:row>52</xdr:row>
      <xdr:rowOff>87903</xdr:rowOff>
    </xdr:to>
    <xdr:pic>
      <xdr:nvPicPr>
        <xdr:cNvPr id="3" name="Picture 2">
          <a:extLst>
            <a:ext uri="{FF2B5EF4-FFF2-40B4-BE49-F238E27FC236}">
              <a16:creationId xmlns:a16="http://schemas.microsoft.com/office/drawing/2014/main" id="{2C6AEA9F-9D43-54BE-D446-33A3CECA1A25}"/>
            </a:ext>
          </a:extLst>
        </xdr:cNvPr>
        <xdr:cNvPicPr>
          <a:picLocks noChangeAspect="1"/>
        </xdr:cNvPicPr>
      </xdr:nvPicPr>
      <xdr:blipFill>
        <a:blip xmlns:r="http://schemas.openxmlformats.org/officeDocument/2006/relationships" r:embed="rId2"/>
        <a:stretch>
          <a:fillRect/>
        </a:stretch>
      </xdr:blipFill>
      <xdr:spPr>
        <a:xfrm>
          <a:off x="27438163" y="10146927"/>
          <a:ext cx="3601677" cy="4990476"/>
        </a:xfrm>
        <a:prstGeom prst="rect">
          <a:avLst/>
        </a:prstGeom>
      </xdr:spPr>
    </xdr:pic>
    <xdr:clientData/>
  </xdr:twoCellAnchor>
  <xdr:twoCellAnchor>
    <xdr:from>
      <xdr:col>13</xdr:col>
      <xdr:colOff>332815</xdr:colOff>
      <xdr:row>104</xdr:row>
      <xdr:rowOff>89087</xdr:rowOff>
    </xdr:from>
    <xdr:to>
      <xdr:col>19</xdr:col>
      <xdr:colOff>496284</xdr:colOff>
      <xdr:row>119</xdr:row>
      <xdr:rowOff>111587</xdr:rowOff>
    </xdr:to>
    <xdr:graphicFrame macro="">
      <xdr:nvGraphicFramePr>
        <xdr:cNvPr id="4" name="Chart 3">
          <a:extLst>
            <a:ext uri="{FF2B5EF4-FFF2-40B4-BE49-F238E27FC236}">
              <a16:creationId xmlns:a16="http://schemas.microsoft.com/office/drawing/2014/main" id="{45B91519-2B55-467F-A888-4622FC2C6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347382</xdr:colOff>
      <xdr:row>11</xdr:row>
      <xdr:rowOff>0</xdr:rowOff>
    </xdr:from>
    <xdr:to>
      <xdr:col>42</xdr:col>
      <xdr:colOff>186441</xdr:colOff>
      <xdr:row>23</xdr:row>
      <xdr:rowOff>145772</xdr:rowOff>
    </xdr:to>
    <xdr:graphicFrame macro="">
      <xdr:nvGraphicFramePr>
        <xdr:cNvPr id="7" name="Chart 6">
          <a:extLst>
            <a:ext uri="{FF2B5EF4-FFF2-40B4-BE49-F238E27FC236}">
              <a16:creationId xmlns:a16="http://schemas.microsoft.com/office/drawing/2014/main" id="{AC12CDF1-FB24-7725-6B3F-C29684CD5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0.49457</cdr:x>
      <cdr:y>0.30096</cdr:y>
    </cdr:from>
    <cdr:to>
      <cdr:x>0.82428</cdr:x>
      <cdr:y>0.37703</cdr:y>
    </cdr:to>
    <cdr:sp macro="" textlink="">
      <cdr:nvSpPr>
        <cdr:cNvPr id="2" name="TextBox 1">
          <a:extLst xmlns:a="http://schemas.openxmlformats.org/drawingml/2006/main">
            <a:ext uri="{FF2B5EF4-FFF2-40B4-BE49-F238E27FC236}">
              <a16:creationId xmlns:a16="http://schemas.microsoft.com/office/drawing/2014/main" id="{B6316E0A-B4FA-9CF6-6025-DE704DBD0E86}"/>
            </a:ext>
          </a:extLst>
        </cdr:cNvPr>
        <cdr:cNvSpPr txBox="1"/>
      </cdr:nvSpPr>
      <cdr:spPr>
        <a:xfrm xmlns:a="http://schemas.openxmlformats.org/drawingml/2006/main">
          <a:off x="2314575" y="866775"/>
          <a:ext cx="154305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1100" b="0">
              <a:solidFill>
                <a:schemeClr val="accent1"/>
              </a:solidFill>
              <a:effectLst/>
              <a:latin typeface="+mn-lt"/>
              <a:ea typeface="+mn-ea"/>
              <a:cs typeface="+mn-cs"/>
            </a:rPr>
            <a:t>72% - Thoroughbred</a:t>
          </a:r>
          <a:endParaRPr lang="en-AU" b="0">
            <a:solidFill>
              <a:schemeClr val="accent1"/>
            </a:solidFill>
            <a:effectLst/>
          </a:endParaRPr>
        </a:p>
        <a:p xmlns:a="http://schemas.openxmlformats.org/drawingml/2006/main">
          <a:endParaRPr lang="en-AU" sz="1100" b="0">
            <a:solidFill>
              <a:schemeClr val="accent1"/>
            </a:solidFill>
          </a:endParaRPr>
        </a:p>
      </cdr:txBody>
    </cdr:sp>
  </cdr:relSizeAnchor>
  <cdr:relSizeAnchor xmlns:cdr="http://schemas.openxmlformats.org/drawingml/2006/chartDrawing">
    <cdr:from>
      <cdr:x>0.49728</cdr:x>
      <cdr:y>0.55011</cdr:y>
    </cdr:from>
    <cdr:to>
      <cdr:x>0.82699</cdr:x>
      <cdr:y>0.62618</cdr:y>
    </cdr:to>
    <cdr:sp macro="" textlink="">
      <cdr:nvSpPr>
        <cdr:cNvPr id="3" name="TextBox 1">
          <a:extLst xmlns:a="http://schemas.openxmlformats.org/drawingml/2006/main">
            <a:ext uri="{FF2B5EF4-FFF2-40B4-BE49-F238E27FC236}">
              <a16:creationId xmlns:a16="http://schemas.microsoft.com/office/drawing/2014/main" id="{39954943-F5D0-0327-65C1-1E5C108DEAD8}"/>
            </a:ext>
          </a:extLst>
        </cdr:cNvPr>
        <cdr:cNvSpPr txBox="1"/>
      </cdr:nvSpPr>
      <cdr:spPr>
        <a:xfrm xmlns:a="http://schemas.openxmlformats.org/drawingml/2006/main">
          <a:off x="2327275" y="1584325"/>
          <a:ext cx="1543050" cy="2190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1100" b="0">
              <a:solidFill>
                <a:schemeClr val="accent2"/>
              </a:solidFill>
              <a:effectLst/>
              <a:latin typeface="+mn-lt"/>
              <a:ea typeface="+mn-ea"/>
              <a:cs typeface="+mn-cs"/>
            </a:rPr>
            <a:t>15% - Harness</a:t>
          </a:r>
          <a:endParaRPr lang="en-AU" b="0">
            <a:solidFill>
              <a:schemeClr val="accent2"/>
            </a:solidFill>
            <a:effectLst/>
          </a:endParaRPr>
        </a:p>
        <a:p xmlns:a="http://schemas.openxmlformats.org/drawingml/2006/main">
          <a:endParaRPr lang="en-AU" sz="1100" b="0">
            <a:solidFill>
              <a:schemeClr val="accent2"/>
            </a:solidFill>
          </a:endParaRPr>
        </a:p>
      </cdr:txBody>
    </cdr:sp>
  </cdr:relSizeAnchor>
  <cdr:relSizeAnchor xmlns:cdr="http://schemas.openxmlformats.org/drawingml/2006/chartDrawing">
    <cdr:from>
      <cdr:x>0.49728</cdr:x>
      <cdr:y>0.64602</cdr:y>
    </cdr:from>
    <cdr:to>
      <cdr:x>0.82699</cdr:x>
      <cdr:y>0.72209</cdr:y>
    </cdr:to>
    <cdr:sp macro="" textlink="">
      <cdr:nvSpPr>
        <cdr:cNvPr id="4" name="TextBox 1">
          <a:extLst xmlns:a="http://schemas.openxmlformats.org/drawingml/2006/main">
            <a:ext uri="{FF2B5EF4-FFF2-40B4-BE49-F238E27FC236}">
              <a16:creationId xmlns:a16="http://schemas.microsoft.com/office/drawing/2014/main" id="{204B4183-51FA-2EAF-BC65-57205087AC27}"/>
            </a:ext>
          </a:extLst>
        </cdr:cNvPr>
        <cdr:cNvSpPr txBox="1"/>
      </cdr:nvSpPr>
      <cdr:spPr>
        <a:xfrm xmlns:a="http://schemas.openxmlformats.org/drawingml/2006/main">
          <a:off x="2327275" y="1860550"/>
          <a:ext cx="1543050" cy="2190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1100" b="0">
              <a:solidFill>
                <a:schemeClr val="accent4">
                  <a:lumMod val="75000"/>
                </a:schemeClr>
              </a:solidFill>
              <a:effectLst/>
              <a:latin typeface="+mn-lt"/>
              <a:ea typeface="+mn-ea"/>
              <a:cs typeface="+mn-cs"/>
            </a:rPr>
            <a:t>13% - Greyhound</a:t>
          </a:r>
          <a:endParaRPr lang="en-AU" sz="1100" b="0">
            <a:solidFill>
              <a:schemeClr val="accent4">
                <a:lumMod val="75000"/>
              </a:schemeClr>
            </a:solidFill>
          </a:endParaRPr>
        </a:p>
      </cdr:txBody>
    </cdr:sp>
  </cdr:relSizeAnchor>
  <cdr:relSizeAnchor xmlns:cdr="http://schemas.openxmlformats.org/drawingml/2006/chartDrawing">
    <cdr:from>
      <cdr:x>0.77816</cdr:x>
      <cdr:y>0.34516</cdr:y>
    </cdr:from>
    <cdr:to>
      <cdr:x>0.89824</cdr:x>
      <cdr:y>0.34516</cdr:y>
    </cdr:to>
    <cdr:cxnSp macro="">
      <cdr:nvCxnSpPr>
        <cdr:cNvPr id="7" name="Straight Arrow Connector 6">
          <a:extLst xmlns:a="http://schemas.openxmlformats.org/drawingml/2006/main">
            <a:ext uri="{FF2B5EF4-FFF2-40B4-BE49-F238E27FC236}">
              <a16:creationId xmlns:a16="http://schemas.microsoft.com/office/drawing/2014/main" id="{457F6556-650F-51C1-E3C3-B5B1C1930AA0}"/>
            </a:ext>
          </a:extLst>
        </cdr:cNvPr>
        <cdr:cNvCxnSpPr/>
      </cdr:nvCxnSpPr>
      <cdr:spPr>
        <a:xfrm xmlns:a="http://schemas.openxmlformats.org/drawingml/2006/main">
          <a:off x="3641775" y="994050"/>
          <a:ext cx="561975" cy="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0.7768</cdr:x>
      <cdr:y>0.71006</cdr:y>
    </cdr:from>
    <cdr:to>
      <cdr:x>0.89688</cdr:x>
      <cdr:y>0.71006</cdr:y>
    </cdr:to>
    <cdr:cxnSp macro="">
      <cdr:nvCxnSpPr>
        <cdr:cNvPr id="9" name="Straight Arrow Connector 8">
          <a:extLst xmlns:a="http://schemas.openxmlformats.org/drawingml/2006/main">
            <a:ext uri="{FF2B5EF4-FFF2-40B4-BE49-F238E27FC236}">
              <a16:creationId xmlns:a16="http://schemas.microsoft.com/office/drawing/2014/main" id="{3D6FA2FD-F5B1-61CF-E235-1B4F23BE72D4}"/>
            </a:ext>
          </a:extLst>
        </cdr:cNvPr>
        <cdr:cNvCxnSpPr/>
      </cdr:nvCxnSpPr>
      <cdr:spPr>
        <a:xfrm xmlns:a="http://schemas.openxmlformats.org/drawingml/2006/main">
          <a:off x="3635425" y="2044975"/>
          <a:ext cx="561975" cy="0"/>
        </a:xfrm>
        <a:prstGeom xmlns:a="http://schemas.openxmlformats.org/drawingml/2006/main" prst="straightConnector1">
          <a:avLst/>
        </a:prstGeom>
        <a:ln xmlns:a="http://schemas.openxmlformats.org/drawingml/2006/main">
          <a:solidFill>
            <a:schemeClr val="accent4"/>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0.7768</cdr:x>
      <cdr:y>0.61084</cdr:y>
    </cdr:from>
    <cdr:to>
      <cdr:x>0.89688</cdr:x>
      <cdr:y>0.61084</cdr:y>
    </cdr:to>
    <cdr:cxnSp macro="">
      <cdr:nvCxnSpPr>
        <cdr:cNvPr id="10" name="Straight Arrow Connector 9">
          <a:extLst xmlns:a="http://schemas.openxmlformats.org/drawingml/2006/main">
            <a:ext uri="{FF2B5EF4-FFF2-40B4-BE49-F238E27FC236}">
              <a16:creationId xmlns:a16="http://schemas.microsoft.com/office/drawing/2014/main" id="{3D6FA2FD-F5B1-61CF-E235-1B4F23BE72D4}"/>
            </a:ext>
          </a:extLst>
        </cdr:cNvPr>
        <cdr:cNvCxnSpPr/>
      </cdr:nvCxnSpPr>
      <cdr:spPr>
        <a:xfrm xmlns:a="http://schemas.openxmlformats.org/drawingml/2006/main">
          <a:off x="3635425" y="1759225"/>
          <a:ext cx="561975" cy="0"/>
        </a:xfrm>
        <a:prstGeom xmlns:a="http://schemas.openxmlformats.org/drawingml/2006/main" prst="straightConnector1">
          <a:avLst/>
        </a:prstGeom>
        <a:ln xmlns:a="http://schemas.openxmlformats.org/drawingml/2006/main">
          <a:solidFill>
            <a:schemeClr val="accent2"/>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13</xdr:col>
      <xdr:colOff>0</xdr:colOff>
      <xdr:row>7</xdr:row>
      <xdr:rowOff>0</xdr:rowOff>
    </xdr:from>
    <xdr:to>
      <xdr:col>20</xdr:col>
      <xdr:colOff>304800</xdr:colOff>
      <xdr:row>25</xdr:row>
      <xdr:rowOff>0</xdr:rowOff>
    </xdr:to>
    <xdr:graphicFrame macro="">
      <xdr:nvGraphicFramePr>
        <xdr:cNvPr id="3" name="Chart 2">
          <a:extLst>
            <a:ext uri="{FF2B5EF4-FFF2-40B4-BE49-F238E27FC236}">
              <a16:creationId xmlns:a16="http://schemas.microsoft.com/office/drawing/2014/main" id="{6DE05515-0E2D-4804-9E2B-35F8BEC38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371475</xdr:colOff>
      <xdr:row>4</xdr:row>
      <xdr:rowOff>52387</xdr:rowOff>
    </xdr:from>
    <xdr:to>
      <xdr:col>22</xdr:col>
      <xdr:colOff>66675</xdr:colOff>
      <xdr:row>18</xdr:row>
      <xdr:rowOff>128587</xdr:rowOff>
    </xdr:to>
    <xdr:graphicFrame macro="">
      <xdr:nvGraphicFramePr>
        <xdr:cNvPr id="2" name="Chart 1">
          <a:extLst>
            <a:ext uri="{FF2B5EF4-FFF2-40B4-BE49-F238E27FC236}">
              <a16:creationId xmlns:a16="http://schemas.microsoft.com/office/drawing/2014/main" id="{E9EAA15E-8404-830A-5EB0-51293AE3F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15</xdr:col>
      <xdr:colOff>171450</xdr:colOff>
      <xdr:row>18</xdr:row>
      <xdr:rowOff>52387</xdr:rowOff>
    </xdr:from>
    <xdr:to>
      <xdr:col>23</xdr:col>
      <xdr:colOff>95250</xdr:colOff>
      <xdr:row>35</xdr:row>
      <xdr:rowOff>185737</xdr:rowOff>
    </xdr:to>
    <xdr:graphicFrame macro="">
      <xdr:nvGraphicFramePr>
        <xdr:cNvPr id="5" name="Chart 4">
          <a:extLst>
            <a:ext uri="{FF2B5EF4-FFF2-40B4-BE49-F238E27FC236}">
              <a16:creationId xmlns:a16="http://schemas.microsoft.com/office/drawing/2014/main" id="{53576B93-F9EC-A0CF-DB70-28B424DCF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942975</xdr:colOff>
      <xdr:row>23</xdr:row>
      <xdr:rowOff>180975</xdr:rowOff>
    </xdr:from>
    <xdr:to>
      <xdr:col>4</xdr:col>
      <xdr:colOff>622350</xdr:colOff>
      <xdr:row>39</xdr:row>
      <xdr:rowOff>12975</xdr:rowOff>
    </xdr:to>
    <xdr:graphicFrame macro="">
      <xdr:nvGraphicFramePr>
        <xdr:cNvPr id="6" name="Chart 5">
          <a:extLst>
            <a:ext uri="{FF2B5EF4-FFF2-40B4-BE49-F238E27FC236}">
              <a16:creationId xmlns:a16="http://schemas.microsoft.com/office/drawing/2014/main" id="{FD16DB4A-463C-4B88-98DB-FC2B9DCA3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309562</xdr:colOff>
      <xdr:row>23</xdr:row>
      <xdr:rowOff>61912</xdr:rowOff>
    </xdr:from>
    <xdr:to>
      <xdr:col>12</xdr:col>
      <xdr:colOff>198487</xdr:colOff>
      <xdr:row>38</xdr:row>
      <xdr:rowOff>84412</xdr:rowOff>
    </xdr:to>
    <xdr:graphicFrame macro="">
      <xdr:nvGraphicFramePr>
        <xdr:cNvPr id="8" name="Chart 7">
          <a:extLst>
            <a:ext uri="{FF2B5EF4-FFF2-40B4-BE49-F238E27FC236}">
              <a16:creationId xmlns:a16="http://schemas.microsoft.com/office/drawing/2014/main" id="{5453AC47-4B76-7E97-CA65-387C70F8A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26</xdr:col>
      <xdr:colOff>571500</xdr:colOff>
      <xdr:row>9</xdr:row>
      <xdr:rowOff>42862</xdr:rowOff>
    </xdr:from>
    <xdr:to>
      <xdr:col>31</xdr:col>
      <xdr:colOff>266700</xdr:colOff>
      <xdr:row>23</xdr:row>
      <xdr:rowOff>119062</xdr:rowOff>
    </xdr:to>
    <xdr:graphicFrame macro="">
      <xdr:nvGraphicFramePr>
        <xdr:cNvPr id="3" name="Chart 2">
          <a:extLst>
            <a:ext uri="{FF2B5EF4-FFF2-40B4-BE49-F238E27FC236}">
              <a16:creationId xmlns:a16="http://schemas.microsoft.com/office/drawing/2014/main" id="{1BFB645A-3D3A-0772-72B6-1246BC72A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0</xdr:colOff>
      <xdr:row>94</xdr:row>
      <xdr:rowOff>61912</xdr:rowOff>
    </xdr:from>
    <xdr:to>
      <xdr:col>33</xdr:col>
      <xdr:colOff>276225</xdr:colOff>
      <xdr:row>108</xdr:row>
      <xdr:rowOff>138112</xdr:rowOff>
    </xdr:to>
    <xdr:graphicFrame macro="">
      <xdr:nvGraphicFramePr>
        <xdr:cNvPr id="4" name="Chart 3">
          <a:extLst>
            <a:ext uri="{FF2B5EF4-FFF2-40B4-BE49-F238E27FC236}">
              <a16:creationId xmlns:a16="http://schemas.microsoft.com/office/drawing/2014/main" id="{B2ECE3F3-C509-203F-1AB5-131B05F0D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590550</xdr:colOff>
      <xdr:row>3</xdr:row>
      <xdr:rowOff>14287</xdr:rowOff>
    </xdr:from>
    <xdr:to>
      <xdr:col>31</xdr:col>
      <xdr:colOff>285750</xdr:colOff>
      <xdr:row>17</xdr:row>
      <xdr:rowOff>90487</xdr:rowOff>
    </xdr:to>
    <xdr:graphicFrame macro="">
      <xdr:nvGraphicFramePr>
        <xdr:cNvPr id="6" name="Chart 5">
          <a:extLst>
            <a:ext uri="{FF2B5EF4-FFF2-40B4-BE49-F238E27FC236}">
              <a16:creationId xmlns:a16="http://schemas.microsoft.com/office/drawing/2014/main" id="{7D4AF434-3AAD-DFB9-2B6A-F4B821CE3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56030</xdr:colOff>
      <xdr:row>56</xdr:row>
      <xdr:rowOff>119622</xdr:rowOff>
    </xdr:from>
    <xdr:to>
      <xdr:col>29</xdr:col>
      <xdr:colOff>0</xdr:colOff>
      <xdr:row>71</xdr:row>
      <xdr:rowOff>142122</xdr:rowOff>
    </xdr:to>
    <xdr:graphicFrame macro="">
      <xdr:nvGraphicFramePr>
        <xdr:cNvPr id="7" name="Chart 6">
          <a:extLst>
            <a:ext uri="{FF2B5EF4-FFF2-40B4-BE49-F238E27FC236}">
              <a16:creationId xmlns:a16="http://schemas.microsoft.com/office/drawing/2014/main" id="{A8B0D944-2274-0300-957D-5D905613D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0</xdr:colOff>
      <xdr:row>53</xdr:row>
      <xdr:rowOff>90487</xdr:rowOff>
    </xdr:from>
    <xdr:to>
      <xdr:col>35</xdr:col>
      <xdr:colOff>57150</xdr:colOff>
      <xdr:row>76</xdr:row>
      <xdr:rowOff>166687</xdr:rowOff>
    </xdr:to>
    <xdr:graphicFrame macro="">
      <xdr:nvGraphicFramePr>
        <xdr:cNvPr id="8" name="Chart 7">
          <a:extLst>
            <a:ext uri="{FF2B5EF4-FFF2-40B4-BE49-F238E27FC236}">
              <a16:creationId xmlns:a16="http://schemas.microsoft.com/office/drawing/2014/main" id="{E4EB5458-2EB0-84CA-EBF0-1E1792A81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0</xdr:row>
      <xdr:rowOff>0</xdr:rowOff>
    </xdr:from>
    <xdr:to>
      <xdr:col>33</xdr:col>
      <xdr:colOff>0</xdr:colOff>
      <xdr:row>14</xdr:row>
      <xdr:rowOff>76200</xdr:rowOff>
    </xdr:to>
    <xdr:graphicFrame macro="">
      <xdr:nvGraphicFramePr>
        <xdr:cNvPr id="9" name="Chart 8">
          <a:extLst>
            <a:ext uri="{FF2B5EF4-FFF2-40B4-BE49-F238E27FC236}">
              <a16:creationId xmlns:a16="http://schemas.microsoft.com/office/drawing/2014/main" id="{8F7E7A4D-1D1F-98EF-8832-F57085E73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20171</xdr:colOff>
      <xdr:row>40</xdr:row>
      <xdr:rowOff>150999</xdr:rowOff>
    </xdr:from>
    <xdr:to>
      <xdr:col>28</xdr:col>
      <xdr:colOff>432970</xdr:colOff>
      <xdr:row>55</xdr:row>
      <xdr:rowOff>173499</xdr:rowOff>
    </xdr:to>
    <xdr:graphicFrame macro="">
      <xdr:nvGraphicFramePr>
        <xdr:cNvPr id="11" name="Chart 10">
          <a:extLst>
            <a:ext uri="{FF2B5EF4-FFF2-40B4-BE49-F238E27FC236}">
              <a16:creationId xmlns:a16="http://schemas.microsoft.com/office/drawing/2014/main" id="{9BD6EBB0-46F0-165D-7566-9F9AD5A3F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0</xdr:colOff>
      <xdr:row>92</xdr:row>
      <xdr:rowOff>39221</xdr:rowOff>
    </xdr:from>
    <xdr:to>
      <xdr:col>33</xdr:col>
      <xdr:colOff>292474</xdr:colOff>
      <xdr:row>106</xdr:row>
      <xdr:rowOff>115421</xdr:rowOff>
    </xdr:to>
    <xdr:graphicFrame macro="">
      <xdr:nvGraphicFramePr>
        <xdr:cNvPr id="12" name="Chart 11">
          <a:extLst>
            <a:ext uri="{FF2B5EF4-FFF2-40B4-BE49-F238E27FC236}">
              <a16:creationId xmlns:a16="http://schemas.microsoft.com/office/drawing/2014/main" id="{BA4C1FF6-E10F-4902-931D-3907F0A68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404812</xdr:colOff>
      <xdr:row>1</xdr:row>
      <xdr:rowOff>71437</xdr:rowOff>
    </xdr:from>
    <xdr:to>
      <xdr:col>30</xdr:col>
      <xdr:colOff>100012</xdr:colOff>
      <xdr:row>15</xdr:row>
      <xdr:rowOff>147637</xdr:rowOff>
    </xdr:to>
    <xdr:graphicFrame macro="">
      <xdr:nvGraphicFramePr>
        <xdr:cNvPr id="13" name="Chart 12">
          <a:extLst>
            <a:ext uri="{FF2B5EF4-FFF2-40B4-BE49-F238E27FC236}">
              <a16:creationId xmlns:a16="http://schemas.microsoft.com/office/drawing/2014/main" id="{265A1132-239A-9AFB-5EC6-8AAE1C3AF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531719</xdr:colOff>
      <xdr:row>91</xdr:row>
      <xdr:rowOff>62753</xdr:rowOff>
    </xdr:from>
    <xdr:to>
      <xdr:col>36</xdr:col>
      <xdr:colOff>335900</xdr:colOff>
      <xdr:row>108</xdr:row>
      <xdr:rowOff>96458</xdr:rowOff>
    </xdr:to>
    <xdr:graphicFrame macro="">
      <xdr:nvGraphicFramePr>
        <xdr:cNvPr id="10" name="Chart 9">
          <a:extLst>
            <a:ext uri="{FF2B5EF4-FFF2-40B4-BE49-F238E27FC236}">
              <a16:creationId xmlns:a16="http://schemas.microsoft.com/office/drawing/2014/main" id="{8D483B2F-2BD4-49E0-AF40-56867CF73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32</xdr:col>
      <xdr:colOff>0</xdr:colOff>
      <xdr:row>77</xdr:row>
      <xdr:rowOff>42862</xdr:rowOff>
    </xdr:from>
    <xdr:to>
      <xdr:col>37</xdr:col>
      <xdr:colOff>504825</xdr:colOff>
      <xdr:row>91</xdr:row>
      <xdr:rowOff>119062</xdr:rowOff>
    </xdr:to>
    <xdr:graphicFrame macro="">
      <xdr:nvGraphicFramePr>
        <xdr:cNvPr id="14" name="Chart 13">
          <a:extLst>
            <a:ext uri="{FF2B5EF4-FFF2-40B4-BE49-F238E27FC236}">
              <a16:creationId xmlns:a16="http://schemas.microsoft.com/office/drawing/2014/main" id="{266167F8-5039-6ED2-F7F5-3AB6D8BDC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300878</xdr:colOff>
      <xdr:row>14</xdr:row>
      <xdr:rowOff>167248</xdr:rowOff>
    </xdr:from>
    <xdr:to>
      <xdr:col>30</xdr:col>
      <xdr:colOff>601196</xdr:colOff>
      <xdr:row>29</xdr:row>
      <xdr:rowOff>52948</xdr:rowOff>
    </xdr:to>
    <xdr:graphicFrame macro="">
      <xdr:nvGraphicFramePr>
        <xdr:cNvPr id="16" name="Chart 15">
          <a:extLst>
            <a:ext uri="{FF2B5EF4-FFF2-40B4-BE49-F238E27FC236}">
              <a16:creationId xmlns:a16="http://schemas.microsoft.com/office/drawing/2014/main" id="{E4848C9D-4CFF-76DB-7FB5-32873484B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79</xdr:col>
      <xdr:colOff>14009</xdr:colOff>
      <xdr:row>179</xdr:row>
      <xdr:rowOff>184816</xdr:rowOff>
    </xdr:from>
    <xdr:to>
      <xdr:col>86</xdr:col>
      <xdr:colOff>318809</xdr:colOff>
      <xdr:row>194</xdr:row>
      <xdr:rowOff>70516</xdr:rowOff>
    </xdr:to>
    <xdr:graphicFrame macro="">
      <xdr:nvGraphicFramePr>
        <xdr:cNvPr id="21" name="Chart 20">
          <a:extLst>
            <a:ext uri="{FF2B5EF4-FFF2-40B4-BE49-F238E27FC236}">
              <a16:creationId xmlns:a16="http://schemas.microsoft.com/office/drawing/2014/main" id="{01A64B47-0D67-472D-A26A-0AEADC857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77</xdr:col>
      <xdr:colOff>303959</xdr:colOff>
      <xdr:row>160</xdr:row>
      <xdr:rowOff>130829</xdr:rowOff>
    </xdr:from>
    <xdr:to>
      <xdr:col>85</xdr:col>
      <xdr:colOff>3640</xdr:colOff>
      <xdr:row>175</xdr:row>
      <xdr:rowOff>16529</xdr:rowOff>
    </xdr:to>
    <xdr:graphicFrame macro="">
      <xdr:nvGraphicFramePr>
        <xdr:cNvPr id="26" name="Chart 25">
          <a:extLst>
            <a:ext uri="{FF2B5EF4-FFF2-40B4-BE49-F238E27FC236}">
              <a16:creationId xmlns:a16="http://schemas.microsoft.com/office/drawing/2014/main" id="{2E4DBF3E-5BD9-56D0-9764-DFC0FB842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67</xdr:col>
      <xdr:colOff>106452</xdr:colOff>
      <xdr:row>158</xdr:row>
      <xdr:rowOff>158004</xdr:rowOff>
    </xdr:from>
    <xdr:to>
      <xdr:col>74</xdr:col>
      <xdr:colOff>550630</xdr:colOff>
      <xdr:row>173</xdr:row>
      <xdr:rowOff>180504</xdr:rowOff>
    </xdr:to>
    <xdr:graphicFrame macro="">
      <xdr:nvGraphicFramePr>
        <xdr:cNvPr id="2" name="Chart 1">
          <a:extLst>
            <a:ext uri="{FF2B5EF4-FFF2-40B4-BE49-F238E27FC236}">
              <a16:creationId xmlns:a16="http://schemas.microsoft.com/office/drawing/2014/main" id="{9FCF88BE-0C3E-5F2A-8213-8CD37EBD9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86</xdr:col>
      <xdr:colOff>33625</xdr:colOff>
      <xdr:row>159</xdr:row>
      <xdr:rowOff>79562</xdr:rowOff>
    </xdr:from>
    <xdr:to>
      <xdr:col>93</xdr:col>
      <xdr:colOff>369802</xdr:colOff>
      <xdr:row>173</xdr:row>
      <xdr:rowOff>155762</xdr:rowOff>
    </xdr:to>
    <xdr:graphicFrame macro="">
      <xdr:nvGraphicFramePr>
        <xdr:cNvPr id="5" name="Chart 4">
          <a:extLst>
            <a:ext uri="{FF2B5EF4-FFF2-40B4-BE49-F238E27FC236}">
              <a16:creationId xmlns:a16="http://schemas.microsoft.com/office/drawing/2014/main" id="{CE01873A-8BE7-DD2B-EE06-25D131CB3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30</xdr:col>
      <xdr:colOff>0</xdr:colOff>
      <xdr:row>89</xdr:row>
      <xdr:rowOff>0</xdr:rowOff>
    </xdr:from>
    <xdr:to>
      <xdr:col>40</xdr:col>
      <xdr:colOff>309842</xdr:colOff>
      <xdr:row>107</xdr:row>
      <xdr:rowOff>72838</xdr:rowOff>
    </xdr:to>
    <xdr:graphicFrame macro="">
      <xdr:nvGraphicFramePr>
        <xdr:cNvPr id="17" name="Chart 16">
          <a:extLst>
            <a:ext uri="{FF2B5EF4-FFF2-40B4-BE49-F238E27FC236}">
              <a16:creationId xmlns:a16="http://schemas.microsoft.com/office/drawing/2014/main" id="{CCF56999-2F6C-412B-92C4-12D076CBF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68</xdr:col>
      <xdr:colOff>16808</xdr:colOff>
      <xdr:row>173</xdr:row>
      <xdr:rowOff>124384</xdr:rowOff>
    </xdr:from>
    <xdr:to>
      <xdr:col>77</xdr:col>
      <xdr:colOff>330750</xdr:colOff>
      <xdr:row>188</xdr:row>
      <xdr:rowOff>146884</xdr:rowOff>
    </xdr:to>
    <xdr:graphicFrame macro="">
      <xdr:nvGraphicFramePr>
        <xdr:cNvPr id="15" name="Chart 14">
          <a:extLst>
            <a:ext uri="{FF2B5EF4-FFF2-40B4-BE49-F238E27FC236}">
              <a16:creationId xmlns:a16="http://schemas.microsoft.com/office/drawing/2014/main" id="{D58054CD-8F88-9A09-D997-DD221EBA7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51</xdr:col>
      <xdr:colOff>67235</xdr:colOff>
      <xdr:row>162</xdr:row>
      <xdr:rowOff>124385</xdr:rowOff>
    </xdr:from>
    <xdr:to>
      <xdr:col>59</xdr:col>
      <xdr:colOff>224118</xdr:colOff>
      <xdr:row>177</xdr:row>
      <xdr:rowOff>10085</xdr:rowOff>
    </xdr:to>
    <xdr:graphicFrame macro="">
      <xdr:nvGraphicFramePr>
        <xdr:cNvPr id="19" name="Chart 18">
          <a:extLst>
            <a:ext uri="{FF2B5EF4-FFF2-40B4-BE49-F238E27FC236}">
              <a16:creationId xmlns:a16="http://schemas.microsoft.com/office/drawing/2014/main" id="{88F36EBB-D6F3-F68D-4F41-61C3FD1DF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67235</xdr:colOff>
      <xdr:row>164</xdr:row>
      <xdr:rowOff>124385</xdr:rowOff>
    </xdr:from>
    <xdr:to>
      <xdr:col>21</xdr:col>
      <xdr:colOff>403412</xdr:colOff>
      <xdr:row>179</xdr:row>
      <xdr:rowOff>10085</xdr:rowOff>
    </xdr:to>
    <xdr:graphicFrame macro="">
      <xdr:nvGraphicFramePr>
        <xdr:cNvPr id="24" name="Chart 23">
          <a:extLst>
            <a:ext uri="{FF2B5EF4-FFF2-40B4-BE49-F238E27FC236}">
              <a16:creationId xmlns:a16="http://schemas.microsoft.com/office/drawing/2014/main" id="{48940CE1-C92F-193E-853C-63248F2CB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47</xdr:col>
      <xdr:colOff>302559</xdr:colOff>
      <xdr:row>184</xdr:row>
      <xdr:rowOff>90767</xdr:rowOff>
    </xdr:from>
    <xdr:to>
      <xdr:col>55</xdr:col>
      <xdr:colOff>33617</xdr:colOff>
      <xdr:row>198</xdr:row>
      <xdr:rowOff>166967</xdr:rowOff>
    </xdr:to>
    <xdr:graphicFrame macro="">
      <xdr:nvGraphicFramePr>
        <xdr:cNvPr id="27" name="Chart 26">
          <a:extLst>
            <a:ext uri="{FF2B5EF4-FFF2-40B4-BE49-F238E27FC236}">
              <a16:creationId xmlns:a16="http://schemas.microsoft.com/office/drawing/2014/main" id="{E3DE4BEE-0433-A706-CB97-BE22D1D3B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3</xdr:col>
      <xdr:colOff>0</xdr:colOff>
      <xdr:row>27</xdr:row>
      <xdr:rowOff>171449</xdr:rowOff>
    </xdr:from>
    <xdr:to>
      <xdr:col>9</xdr:col>
      <xdr:colOff>0</xdr:colOff>
      <xdr:row>41</xdr:row>
      <xdr:rowOff>52387</xdr:rowOff>
    </xdr:to>
    <xdr:sp macro="" textlink="">
      <xdr:nvSpPr>
        <xdr:cNvPr id="2" name="TextBox 3">
          <a:extLst>
            <a:ext uri="{FF2B5EF4-FFF2-40B4-BE49-F238E27FC236}">
              <a16:creationId xmlns:a16="http://schemas.microsoft.com/office/drawing/2014/main" id="{39D9AD73-43BC-4DB7-A256-954CC9E6BBBB}"/>
            </a:ext>
          </a:extLst>
        </xdr:cNvPr>
        <xdr:cNvSpPr txBox="1"/>
      </xdr:nvSpPr>
      <xdr:spPr>
        <a:xfrm>
          <a:off x="0" y="6229349"/>
          <a:ext cx="9010650" cy="2547938"/>
        </a:xfrm>
        <a:prstGeom prst="rect">
          <a:avLst/>
        </a:prstGeom>
        <a:solidFill>
          <a:srgbClr val="C6DBF2"/>
        </a:solidFill>
      </xdr:spPr>
      <xdr:txBody>
        <a:bodyPr vertOverflow="clip" wrap="square" rtlCol="0"/>
        <a:lstStyle/>
        <a:p>
          <a:r>
            <a:rPr lang="en-GB" sz="1000" b="0" i="0">
              <a:solidFill>
                <a:srgbClr val="000000"/>
              </a:solidFill>
              <a:latin typeface="Arial"/>
            </a:rPr>
            <a:t>Notes on this section:</a:t>
          </a:r>
        </a:p>
        <a:p>
          <a:endParaRPr lang="en-GB" sz="1000" b="0" i="0">
            <a:solidFill>
              <a:srgbClr val="000000"/>
            </a:solidFill>
            <a:latin typeface="Arial"/>
          </a:endParaRPr>
        </a:p>
        <a:p>
          <a:r>
            <a:rPr lang="en-GB" sz="1000" b="0" i="0">
              <a:solidFill>
                <a:srgbClr val="000000"/>
              </a:solidFill>
              <a:latin typeface="Arial"/>
            </a:rPr>
            <a:t>1. All Remote Casino, Betting &amp; Bingo (RCBB) GGY between April 2008 - October 2014 was data submitted under the Gambling Act 2005 and represents the whole regulated market (regardless of where the customer was based). All RCBB GGY from November 2014 onwards is data under the Gambling (Licensing and Advertising) Act 2014 and relates to Great Britain customers only. Hence, April 2014 - March 2015 is broken down as follows;</a:t>
          </a:r>
        </a:p>
        <a:p>
          <a:endParaRPr lang="en-GB" sz="1000" b="0" i="0">
            <a:solidFill>
              <a:srgbClr val="000000"/>
            </a:solidFill>
            <a:latin typeface="Arial"/>
          </a:endParaRPr>
        </a:p>
        <a:p>
          <a:r>
            <a:rPr lang="en-GB" sz="1000" b="0" i="0">
              <a:solidFill>
                <a:srgbClr val="000000"/>
              </a:solidFill>
              <a:latin typeface="Arial"/>
            </a:rPr>
            <a:t>Gambling Act 2005 - (April 2014 - October 2014) = £753.53m (spread across remote betting, bingo and casino)</a:t>
          </a:r>
        </a:p>
        <a:p>
          <a:r>
            <a:rPr lang="en-GB" sz="1000" b="0" i="0">
              <a:solidFill>
                <a:sysClr val="windowText" lastClr="000000"/>
              </a:solidFill>
              <a:latin typeface="Arial"/>
            </a:rPr>
            <a:t>Gambling Act 2014 - (November 2014 - March 2015) = £1485.47m (spread across remote betting, bingo and casino)</a:t>
          </a:r>
        </a:p>
        <a:p>
          <a:endParaRPr lang="en-GB" sz="1000" b="0" i="0">
            <a:solidFill>
              <a:sysClr val="windowText" lastClr="000000"/>
            </a:solidFill>
            <a:latin typeface="Arial"/>
          </a:endParaRPr>
        </a:p>
        <a:p>
          <a:r>
            <a:rPr lang="en-GB" sz="1000" b="0" i="0">
              <a:solidFill>
                <a:sysClr val="windowText" lastClr="000000"/>
              </a:solidFill>
              <a:latin typeface="Arial"/>
            </a:rPr>
            <a:t>Remote Casino, Betting &amp; Bingo</a:t>
          </a:r>
          <a:r>
            <a:rPr lang="en-GB" sz="1000" b="0" i="0" baseline="0">
              <a:solidFill>
                <a:sysClr val="windowText" lastClr="000000"/>
              </a:solidFill>
              <a:latin typeface="Arial"/>
            </a:rPr>
            <a:t> (RCBB) GGY prior to November 2014 can be found on  tab 12 of this publication</a:t>
          </a:r>
          <a:endParaRPr lang="en-GB" sz="1000" b="0" i="0">
            <a:solidFill>
              <a:sysClr val="windowText" lastClr="000000"/>
            </a:solidFill>
            <a:latin typeface="Arial"/>
          </a:endParaRPr>
        </a:p>
        <a:p>
          <a:endParaRPr lang="en-GB" sz="1000" b="0" i="0">
            <a:solidFill>
              <a:srgbClr val="000000"/>
            </a:solidFill>
            <a:latin typeface="Arial"/>
          </a:endParaRPr>
        </a:p>
        <a:p>
          <a:r>
            <a:rPr lang="en-GB" sz="1000" b="0" i="0">
              <a:solidFill>
                <a:srgbClr val="000000"/>
              </a:solidFill>
              <a:latin typeface="Arial"/>
            </a:rPr>
            <a:t>2. For The National Lottery and Lotteries, figures are a GGY equivalent and relate to the proceeds from ticket sales minus the amount given out in prizes. This includes any GGY equivalent raised through External Lottery Managers. The National Lottery figures include data from Northern Ireland.</a:t>
          </a:r>
        </a:p>
        <a:p>
          <a:endParaRPr lang="en-GB" sz="1000" b="0" i="0">
            <a:solidFill>
              <a:srgbClr val="000000"/>
            </a:solidFill>
            <a:latin typeface="Arial"/>
          </a:endParaRPr>
        </a:p>
        <a:p>
          <a:r>
            <a:rPr lang="en-GB" sz="1000" b="0" i="0">
              <a:solidFill>
                <a:sysClr val="windowText" lastClr="000000"/>
              </a:solidFill>
              <a:latin typeface="Arial"/>
            </a:rPr>
            <a:t>3. For The</a:t>
          </a:r>
          <a:r>
            <a:rPr lang="en-GB" sz="1000" b="0" i="0" baseline="0">
              <a:solidFill>
                <a:sysClr val="windowText" lastClr="000000"/>
              </a:solidFill>
              <a:latin typeface="Arial"/>
            </a:rPr>
            <a:t> National Lottery non-remote relates to retails sales and remote relates to non-retail sales</a:t>
          </a:r>
          <a:endParaRPr lang="en-GB" sz="1000" b="0" i="0">
            <a:solidFill>
              <a:sysClr val="windowText" lastClr="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a:p>
          <a:endParaRPr lang="en-GB" sz="1000" b="0" i="0">
            <a:solidFill>
              <a:srgbClr val="000000"/>
            </a:solidFill>
            <a:latin typeface="Arial"/>
          </a:endParaRPr>
        </a:p>
      </xdr:txBody>
    </xdr:sp>
    <xdr:clientData/>
  </xdr:twoCellAnchor>
  <xdr:twoCellAnchor>
    <xdr:from>
      <xdr:col>10</xdr:col>
      <xdr:colOff>466725</xdr:colOff>
      <xdr:row>2</xdr:row>
      <xdr:rowOff>128587</xdr:rowOff>
    </xdr:from>
    <xdr:to>
      <xdr:col>18</xdr:col>
      <xdr:colOff>238125</xdr:colOff>
      <xdr:row>14</xdr:row>
      <xdr:rowOff>100012</xdr:rowOff>
    </xdr:to>
    <xdr:graphicFrame macro="">
      <xdr:nvGraphicFramePr>
        <xdr:cNvPr id="4" name="Chart 3">
          <a:extLst>
            <a:ext uri="{FF2B5EF4-FFF2-40B4-BE49-F238E27FC236}">
              <a16:creationId xmlns:a16="http://schemas.microsoft.com/office/drawing/2014/main" id="{26D9F0D3-CEFF-2914-9294-14702782F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15</xdr:row>
      <xdr:rowOff>133350</xdr:rowOff>
    </xdr:from>
    <xdr:to>
      <xdr:col>18</xdr:col>
      <xdr:colOff>228600</xdr:colOff>
      <xdr:row>29</xdr:row>
      <xdr:rowOff>104775</xdr:rowOff>
    </xdr:to>
    <xdr:graphicFrame macro="">
      <xdr:nvGraphicFramePr>
        <xdr:cNvPr id="5" name="Chart 4">
          <a:extLst>
            <a:ext uri="{FF2B5EF4-FFF2-40B4-BE49-F238E27FC236}">
              <a16:creationId xmlns:a16="http://schemas.microsoft.com/office/drawing/2014/main" id="{814FCF82-F28C-4B2C-B1E5-6D0F10CD6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20</xdr:col>
      <xdr:colOff>9525</xdr:colOff>
      <xdr:row>8</xdr:row>
      <xdr:rowOff>47625</xdr:rowOff>
    </xdr:from>
    <xdr:to>
      <xdr:col>29</xdr:col>
      <xdr:colOff>161220</xdr:colOff>
      <xdr:row>48</xdr:row>
      <xdr:rowOff>141911</xdr:rowOff>
    </xdr:to>
    <xdr:pic>
      <xdr:nvPicPr>
        <xdr:cNvPr id="2" name="Picture 1">
          <a:extLst>
            <a:ext uri="{FF2B5EF4-FFF2-40B4-BE49-F238E27FC236}">
              <a16:creationId xmlns:a16="http://schemas.microsoft.com/office/drawing/2014/main" id="{697227AE-6034-CC1C-D847-D336E210256A}"/>
            </a:ext>
          </a:extLst>
        </xdr:cNvPr>
        <xdr:cNvPicPr>
          <a:picLocks noChangeAspect="1"/>
        </xdr:cNvPicPr>
      </xdr:nvPicPr>
      <xdr:blipFill>
        <a:blip xmlns:r="http://schemas.openxmlformats.org/officeDocument/2006/relationships" r:embed="rId1"/>
        <a:stretch>
          <a:fillRect/>
        </a:stretch>
      </xdr:blipFill>
      <xdr:spPr>
        <a:xfrm>
          <a:off x="11487150" y="1571625"/>
          <a:ext cx="5638095" cy="771428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11</xdr:col>
      <xdr:colOff>247650</xdr:colOff>
      <xdr:row>31</xdr:row>
      <xdr:rowOff>114300</xdr:rowOff>
    </xdr:from>
    <xdr:to>
      <xdr:col>20</xdr:col>
      <xdr:colOff>237326</xdr:colOff>
      <xdr:row>55</xdr:row>
      <xdr:rowOff>94681</xdr:rowOff>
    </xdr:to>
    <xdr:pic>
      <xdr:nvPicPr>
        <xdr:cNvPr id="2" name="Picture 1">
          <a:extLst>
            <a:ext uri="{FF2B5EF4-FFF2-40B4-BE49-F238E27FC236}">
              <a16:creationId xmlns:a16="http://schemas.microsoft.com/office/drawing/2014/main" id="{14F874CB-5C9E-3CAC-F8F5-FB80EEE37F8B}"/>
            </a:ext>
          </a:extLst>
        </xdr:cNvPr>
        <xdr:cNvPicPr>
          <a:picLocks noChangeAspect="1"/>
        </xdr:cNvPicPr>
      </xdr:nvPicPr>
      <xdr:blipFill>
        <a:blip xmlns:r="http://schemas.openxmlformats.org/officeDocument/2006/relationships" r:embed="rId1"/>
        <a:stretch>
          <a:fillRect/>
        </a:stretch>
      </xdr:blipFill>
      <xdr:spPr>
        <a:xfrm>
          <a:off x="8248650" y="6781800"/>
          <a:ext cx="6390476" cy="4552381"/>
        </a:xfrm>
        <a:prstGeom prst="rect">
          <a:avLst/>
        </a:prstGeom>
      </xdr:spPr>
    </xdr:pic>
    <xdr:clientData/>
  </xdr:twoCellAnchor>
  <xdr:twoCellAnchor editAs="oneCell">
    <xdr:from>
      <xdr:col>10</xdr:col>
      <xdr:colOff>447675</xdr:colOff>
      <xdr:row>22</xdr:row>
      <xdr:rowOff>161925</xdr:rowOff>
    </xdr:from>
    <xdr:to>
      <xdr:col>17</xdr:col>
      <xdr:colOff>494646</xdr:colOff>
      <xdr:row>28</xdr:row>
      <xdr:rowOff>28449</xdr:rowOff>
    </xdr:to>
    <xdr:pic>
      <xdr:nvPicPr>
        <xdr:cNvPr id="3" name="Picture 2">
          <a:extLst>
            <a:ext uri="{FF2B5EF4-FFF2-40B4-BE49-F238E27FC236}">
              <a16:creationId xmlns:a16="http://schemas.microsoft.com/office/drawing/2014/main" id="{FDC234B6-9433-92FB-646D-7B6339BE009C}"/>
            </a:ext>
          </a:extLst>
        </xdr:cNvPr>
        <xdr:cNvPicPr>
          <a:picLocks noChangeAspect="1"/>
        </xdr:cNvPicPr>
      </xdr:nvPicPr>
      <xdr:blipFill>
        <a:blip xmlns:r="http://schemas.openxmlformats.org/officeDocument/2006/relationships" r:embed="rId2"/>
        <a:stretch>
          <a:fillRect/>
        </a:stretch>
      </xdr:blipFill>
      <xdr:spPr>
        <a:xfrm>
          <a:off x="7839075" y="4543425"/>
          <a:ext cx="5228571" cy="1009524"/>
        </a:xfrm>
        <a:prstGeom prst="rect">
          <a:avLst/>
        </a:prstGeom>
      </xdr:spPr>
    </xdr:pic>
    <xdr:clientData/>
  </xdr:twoCellAnchor>
  <xdr:twoCellAnchor editAs="oneCell">
    <xdr:from>
      <xdr:col>11</xdr:col>
      <xdr:colOff>447675</xdr:colOff>
      <xdr:row>59</xdr:row>
      <xdr:rowOff>9525</xdr:rowOff>
    </xdr:from>
    <xdr:to>
      <xdr:col>24</xdr:col>
      <xdr:colOff>379755</xdr:colOff>
      <xdr:row>92</xdr:row>
      <xdr:rowOff>103977</xdr:rowOff>
    </xdr:to>
    <xdr:pic>
      <xdr:nvPicPr>
        <xdr:cNvPr id="4" name="Picture 3">
          <a:extLst>
            <a:ext uri="{FF2B5EF4-FFF2-40B4-BE49-F238E27FC236}">
              <a16:creationId xmlns:a16="http://schemas.microsoft.com/office/drawing/2014/main" id="{7B1F44F4-68CD-DEA1-BA30-27E05A0AB96C}"/>
            </a:ext>
          </a:extLst>
        </xdr:cNvPr>
        <xdr:cNvPicPr>
          <a:picLocks noChangeAspect="1"/>
        </xdr:cNvPicPr>
      </xdr:nvPicPr>
      <xdr:blipFill>
        <a:blip xmlns:r="http://schemas.openxmlformats.org/officeDocument/2006/relationships" r:embed="rId3"/>
        <a:stretch>
          <a:fillRect/>
        </a:stretch>
      </xdr:blipFill>
      <xdr:spPr>
        <a:xfrm>
          <a:off x="8448675" y="8582025"/>
          <a:ext cx="9961905" cy="638095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14</xdr:col>
      <xdr:colOff>123825</xdr:colOff>
      <xdr:row>39</xdr:row>
      <xdr:rowOff>47625</xdr:rowOff>
    </xdr:from>
    <xdr:to>
      <xdr:col>24</xdr:col>
      <xdr:colOff>37349</xdr:colOff>
      <xdr:row>46</xdr:row>
      <xdr:rowOff>152220</xdr:rowOff>
    </xdr:to>
    <xdr:pic>
      <xdr:nvPicPr>
        <xdr:cNvPr id="3" name="Picture 2">
          <a:extLst>
            <a:ext uri="{FF2B5EF4-FFF2-40B4-BE49-F238E27FC236}">
              <a16:creationId xmlns:a16="http://schemas.microsoft.com/office/drawing/2014/main" id="{64F3E44D-3750-996A-AF34-ADB0EB549E09}"/>
            </a:ext>
          </a:extLst>
        </xdr:cNvPr>
        <xdr:cNvPicPr>
          <a:picLocks noChangeAspect="1"/>
        </xdr:cNvPicPr>
      </xdr:nvPicPr>
      <xdr:blipFill>
        <a:blip xmlns:r="http://schemas.openxmlformats.org/officeDocument/2006/relationships" r:embed="rId1"/>
        <a:stretch>
          <a:fillRect/>
        </a:stretch>
      </xdr:blipFill>
      <xdr:spPr>
        <a:xfrm>
          <a:off x="9267825" y="7134225"/>
          <a:ext cx="6009524" cy="1438095"/>
        </a:xfrm>
        <a:prstGeom prst="rect">
          <a:avLst/>
        </a:prstGeom>
      </xdr:spPr>
    </xdr:pic>
    <xdr:clientData/>
  </xdr:twoCellAnchor>
  <xdr:twoCellAnchor editAs="oneCell">
    <xdr:from>
      <xdr:col>14</xdr:col>
      <xdr:colOff>419100</xdr:colOff>
      <xdr:row>60</xdr:row>
      <xdr:rowOff>57150</xdr:rowOff>
    </xdr:from>
    <xdr:to>
      <xdr:col>25</xdr:col>
      <xdr:colOff>561119</xdr:colOff>
      <xdr:row>78</xdr:row>
      <xdr:rowOff>180531</xdr:rowOff>
    </xdr:to>
    <xdr:pic>
      <xdr:nvPicPr>
        <xdr:cNvPr id="2" name="Picture 1">
          <a:extLst>
            <a:ext uri="{FF2B5EF4-FFF2-40B4-BE49-F238E27FC236}">
              <a16:creationId xmlns:a16="http://schemas.microsoft.com/office/drawing/2014/main" id="{962E1E53-1825-489F-A239-B6965CA72C43}"/>
            </a:ext>
          </a:extLst>
        </xdr:cNvPr>
        <xdr:cNvPicPr>
          <a:picLocks noChangeAspect="1"/>
        </xdr:cNvPicPr>
      </xdr:nvPicPr>
      <xdr:blipFill>
        <a:blip xmlns:r="http://schemas.openxmlformats.org/officeDocument/2006/relationships" r:embed="rId2"/>
        <a:stretch>
          <a:fillRect/>
        </a:stretch>
      </xdr:blipFill>
      <xdr:spPr>
        <a:xfrm>
          <a:off x="9563100" y="11334750"/>
          <a:ext cx="6847619" cy="3552381"/>
        </a:xfrm>
        <a:prstGeom prst="rect">
          <a:avLst/>
        </a:prstGeom>
      </xdr:spPr>
    </xdr:pic>
    <xdr:clientData/>
  </xdr:twoCellAnchor>
  <xdr:twoCellAnchor>
    <xdr:from>
      <xdr:col>15</xdr:col>
      <xdr:colOff>166687</xdr:colOff>
      <xdr:row>18</xdr:row>
      <xdr:rowOff>180975</xdr:rowOff>
    </xdr:from>
    <xdr:to>
      <xdr:col>22</xdr:col>
      <xdr:colOff>471487</xdr:colOff>
      <xdr:row>33</xdr:row>
      <xdr:rowOff>28575</xdr:rowOff>
    </xdr:to>
    <xdr:graphicFrame macro="">
      <xdr:nvGraphicFramePr>
        <xdr:cNvPr id="4" name="Chart 3">
          <a:extLst>
            <a:ext uri="{FF2B5EF4-FFF2-40B4-BE49-F238E27FC236}">
              <a16:creationId xmlns:a16="http://schemas.microsoft.com/office/drawing/2014/main" id="{E0E22400-6239-2851-4128-FC1864EAD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433387</xdr:colOff>
      <xdr:row>27</xdr:row>
      <xdr:rowOff>0</xdr:rowOff>
    </xdr:from>
    <xdr:to>
      <xdr:col>13</xdr:col>
      <xdr:colOff>128587</xdr:colOff>
      <xdr:row>41</xdr:row>
      <xdr:rowOff>76200</xdr:rowOff>
    </xdr:to>
    <xdr:graphicFrame macro="">
      <xdr:nvGraphicFramePr>
        <xdr:cNvPr id="5" name="Chart 4">
          <a:extLst>
            <a:ext uri="{FF2B5EF4-FFF2-40B4-BE49-F238E27FC236}">
              <a16:creationId xmlns:a16="http://schemas.microsoft.com/office/drawing/2014/main" id="{4236C132-0075-2353-F248-1793D34A8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190500</xdr:colOff>
      <xdr:row>82</xdr:row>
      <xdr:rowOff>9525</xdr:rowOff>
    </xdr:from>
    <xdr:to>
      <xdr:col>21</xdr:col>
      <xdr:colOff>86646</xdr:colOff>
      <xdr:row>106</xdr:row>
      <xdr:rowOff>637</xdr:rowOff>
    </xdr:to>
    <xdr:pic>
      <xdr:nvPicPr>
        <xdr:cNvPr id="6" name="Picture 5">
          <a:extLst>
            <a:ext uri="{FF2B5EF4-FFF2-40B4-BE49-F238E27FC236}">
              <a16:creationId xmlns:a16="http://schemas.microsoft.com/office/drawing/2014/main" id="{100F1553-BA03-3DA7-B269-E91BB0DFC379}"/>
            </a:ext>
          </a:extLst>
        </xdr:cNvPr>
        <xdr:cNvPicPr>
          <a:picLocks noChangeAspect="1"/>
        </xdr:cNvPicPr>
      </xdr:nvPicPr>
      <xdr:blipFill>
        <a:blip xmlns:r="http://schemas.openxmlformats.org/officeDocument/2006/relationships" r:embed="rId5"/>
        <a:stretch>
          <a:fillRect/>
        </a:stretch>
      </xdr:blipFill>
      <xdr:spPr>
        <a:xfrm>
          <a:off x="6896100" y="15478125"/>
          <a:ext cx="6601746" cy="456311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47625</xdr:colOff>
      <xdr:row>3</xdr:row>
      <xdr:rowOff>133350</xdr:rowOff>
    </xdr:from>
    <xdr:to>
      <xdr:col>19</xdr:col>
      <xdr:colOff>246863</xdr:colOff>
      <xdr:row>37</xdr:row>
      <xdr:rowOff>27779</xdr:rowOff>
    </xdr:to>
    <xdr:pic>
      <xdr:nvPicPr>
        <xdr:cNvPr id="2" name="Picture 1">
          <a:extLst>
            <a:ext uri="{FF2B5EF4-FFF2-40B4-BE49-F238E27FC236}">
              <a16:creationId xmlns:a16="http://schemas.microsoft.com/office/drawing/2014/main" id="{A7C9CD6F-2615-41DA-F749-04F4057EE106}"/>
            </a:ext>
          </a:extLst>
        </xdr:cNvPr>
        <xdr:cNvPicPr>
          <a:picLocks noChangeAspect="1"/>
        </xdr:cNvPicPr>
      </xdr:nvPicPr>
      <xdr:blipFill>
        <a:blip xmlns:r="http://schemas.openxmlformats.org/officeDocument/2006/relationships" r:embed="rId1"/>
        <a:stretch>
          <a:fillRect/>
        </a:stretch>
      </xdr:blipFill>
      <xdr:spPr>
        <a:xfrm>
          <a:off x="5534025" y="704850"/>
          <a:ext cx="6295238" cy="6371429"/>
        </a:xfrm>
        <a:prstGeom prst="rect">
          <a:avLst/>
        </a:prstGeom>
      </xdr:spPr>
    </xdr:pic>
    <xdr:clientData/>
  </xdr:twoCellAnchor>
  <xdr:twoCellAnchor editAs="oneCell">
    <xdr:from>
      <xdr:col>0</xdr:col>
      <xdr:colOff>47625</xdr:colOff>
      <xdr:row>6</xdr:row>
      <xdr:rowOff>9525</xdr:rowOff>
    </xdr:from>
    <xdr:to>
      <xdr:col>9</xdr:col>
      <xdr:colOff>46939</xdr:colOff>
      <xdr:row>21</xdr:row>
      <xdr:rowOff>18692</xdr:rowOff>
    </xdr:to>
    <xdr:pic>
      <xdr:nvPicPr>
        <xdr:cNvPr id="3" name="Picture 2">
          <a:extLst>
            <a:ext uri="{FF2B5EF4-FFF2-40B4-BE49-F238E27FC236}">
              <a16:creationId xmlns:a16="http://schemas.microsoft.com/office/drawing/2014/main" id="{983E7488-8FCC-1B54-CB05-D189CAF57313}"/>
            </a:ext>
          </a:extLst>
        </xdr:cNvPr>
        <xdr:cNvPicPr>
          <a:picLocks noChangeAspect="1"/>
        </xdr:cNvPicPr>
      </xdr:nvPicPr>
      <xdr:blipFill>
        <a:blip xmlns:r="http://schemas.openxmlformats.org/officeDocument/2006/relationships" r:embed="rId2"/>
        <a:stretch>
          <a:fillRect/>
        </a:stretch>
      </xdr:blipFill>
      <xdr:spPr>
        <a:xfrm>
          <a:off x="47625" y="1152525"/>
          <a:ext cx="5485714" cy="286666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14</xdr:col>
      <xdr:colOff>56512</xdr:colOff>
      <xdr:row>28</xdr:row>
      <xdr:rowOff>37619</xdr:rowOff>
    </xdr:to>
    <xdr:pic>
      <xdr:nvPicPr>
        <xdr:cNvPr id="2" name="Picture 1">
          <a:extLst>
            <a:ext uri="{FF2B5EF4-FFF2-40B4-BE49-F238E27FC236}">
              <a16:creationId xmlns:a16="http://schemas.microsoft.com/office/drawing/2014/main" id="{F9352A67-2CE3-4BEB-AF96-DB785A013B22}"/>
            </a:ext>
          </a:extLst>
        </xdr:cNvPr>
        <xdr:cNvPicPr>
          <a:picLocks noChangeAspect="1"/>
        </xdr:cNvPicPr>
      </xdr:nvPicPr>
      <xdr:blipFill>
        <a:blip xmlns:r="http://schemas.openxmlformats.org/officeDocument/2006/relationships" r:embed="rId1"/>
        <a:stretch>
          <a:fillRect/>
        </a:stretch>
      </xdr:blipFill>
      <xdr:spPr>
        <a:xfrm>
          <a:off x="4267200" y="1524000"/>
          <a:ext cx="4323712" cy="3847619"/>
        </a:xfrm>
        <a:prstGeom prst="rect">
          <a:avLst/>
        </a:prstGeom>
      </xdr:spPr>
    </xdr:pic>
    <xdr:clientData/>
  </xdr:twoCellAnchor>
  <xdr:oneCellAnchor>
    <xdr:from>
      <xdr:col>17</xdr:col>
      <xdr:colOff>0</xdr:colOff>
      <xdr:row>15</xdr:row>
      <xdr:rowOff>0</xdr:rowOff>
    </xdr:from>
    <xdr:ext cx="2419048" cy="2495238"/>
    <xdr:pic>
      <xdr:nvPicPr>
        <xdr:cNvPr id="3" name="Picture 2">
          <a:extLst>
            <a:ext uri="{FF2B5EF4-FFF2-40B4-BE49-F238E27FC236}">
              <a16:creationId xmlns:a16="http://schemas.microsoft.com/office/drawing/2014/main" id="{0AD0193D-C0D5-487F-9BB9-91ADD010BE4E}"/>
            </a:ext>
          </a:extLst>
        </xdr:cNvPr>
        <xdr:cNvPicPr>
          <a:picLocks noChangeAspect="1"/>
        </xdr:cNvPicPr>
      </xdr:nvPicPr>
      <xdr:blipFill>
        <a:blip xmlns:r="http://schemas.openxmlformats.org/officeDocument/2006/relationships" r:embed="rId2"/>
        <a:stretch>
          <a:fillRect/>
        </a:stretch>
      </xdr:blipFill>
      <xdr:spPr>
        <a:xfrm>
          <a:off x="10363200" y="2857500"/>
          <a:ext cx="2419048" cy="2495238"/>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2</xdr:col>
      <xdr:colOff>419100</xdr:colOff>
      <xdr:row>35</xdr:row>
      <xdr:rowOff>142875</xdr:rowOff>
    </xdr:from>
    <xdr:ext cx="6639852" cy="2943636"/>
    <xdr:pic>
      <xdr:nvPicPr>
        <xdr:cNvPr id="2" name="Picture 1">
          <a:extLst>
            <a:ext uri="{FF2B5EF4-FFF2-40B4-BE49-F238E27FC236}">
              <a16:creationId xmlns:a16="http://schemas.microsoft.com/office/drawing/2014/main" id="{D58C0B77-BEE4-40D6-B8A8-D656D59B8DE4}"/>
            </a:ext>
          </a:extLst>
        </xdr:cNvPr>
        <xdr:cNvPicPr>
          <a:picLocks noChangeAspect="1"/>
        </xdr:cNvPicPr>
      </xdr:nvPicPr>
      <xdr:blipFill>
        <a:blip xmlns:r="http://schemas.openxmlformats.org/officeDocument/2006/relationships" r:embed="rId1"/>
        <a:stretch>
          <a:fillRect/>
        </a:stretch>
      </xdr:blipFill>
      <xdr:spPr>
        <a:xfrm>
          <a:off x="1638300" y="6810375"/>
          <a:ext cx="6639852" cy="2943636"/>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twoCellAnchor>
    <xdr:from>
      <xdr:col>26</xdr:col>
      <xdr:colOff>142875</xdr:colOff>
      <xdr:row>30</xdr:row>
      <xdr:rowOff>100012</xdr:rowOff>
    </xdr:from>
    <xdr:to>
      <xdr:col>33</xdr:col>
      <xdr:colOff>447675</xdr:colOff>
      <xdr:row>44</xdr:row>
      <xdr:rowOff>176212</xdr:rowOff>
    </xdr:to>
    <xdr:graphicFrame macro="">
      <xdr:nvGraphicFramePr>
        <xdr:cNvPr id="2" name="Chart 1">
          <a:extLst>
            <a:ext uri="{FF2B5EF4-FFF2-40B4-BE49-F238E27FC236}">
              <a16:creationId xmlns:a16="http://schemas.microsoft.com/office/drawing/2014/main" id="{5C04C4D2-9920-45EC-B854-DF3E97454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571500</xdr:colOff>
      <xdr:row>18</xdr:row>
      <xdr:rowOff>157162</xdr:rowOff>
    </xdr:from>
    <xdr:to>
      <xdr:col>42</xdr:col>
      <xdr:colOff>266700</xdr:colOff>
      <xdr:row>33</xdr:row>
      <xdr:rowOff>42862</xdr:rowOff>
    </xdr:to>
    <xdr:graphicFrame macro="">
      <xdr:nvGraphicFramePr>
        <xdr:cNvPr id="3" name="Chart 2">
          <a:extLst>
            <a:ext uri="{FF2B5EF4-FFF2-40B4-BE49-F238E27FC236}">
              <a16:creationId xmlns:a16="http://schemas.microsoft.com/office/drawing/2014/main" id="{577D2724-1171-4880-B20C-F24EA95BC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12</xdr:col>
      <xdr:colOff>347662</xdr:colOff>
      <xdr:row>7</xdr:row>
      <xdr:rowOff>128587</xdr:rowOff>
    </xdr:from>
    <xdr:ext cx="65" cy="172227"/>
    <xdr:sp macro="" textlink="">
      <xdr:nvSpPr>
        <xdr:cNvPr id="4" name="TextBox 3">
          <a:extLst>
            <a:ext uri="{FF2B5EF4-FFF2-40B4-BE49-F238E27FC236}">
              <a16:creationId xmlns:a16="http://schemas.microsoft.com/office/drawing/2014/main" id="{B960BCF0-7DCC-4B81-A99C-CCBBE71C99B9}"/>
            </a:ext>
          </a:extLst>
        </xdr:cNvPr>
        <xdr:cNvSpPr txBox="1"/>
      </xdr:nvSpPr>
      <xdr:spPr>
        <a:xfrm>
          <a:off x="7662862" y="14620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AU" sz="1100"/>
        </a:p>
      </xdr:txBody>
    </xdr:sp>
    <xdr:clientData/>
  </xdr:oneCellAnchor>
</xdr:wsDr>
</file>

<file path=xl/drawings/drawing28.xml><?xml version="1.0" encoding="utf-8"?>
<xdr:wsDr xmlns:xdr="http://schemas.openxmlformats.org/drawingml/2006/spreadsheetDrawing" xmlns:a="http://schemas.openxmlformats.org/drawingml/2006/main">
  <xdr:twoCellAnchor>
    <xdr:from>
      <xdr:col>12</xdr:col>
      <xdr:colOff>238125</xdr:colOff>
      <xdr:row>7</xdr:row>
      <xdr:rowOff>71437</xdr:rowOff>
    </xdr:from>
    <xdr:to>
      <xdr:col>19</xdr:col>
      <xdr:colOff>542925</xdr:colOff>
      <xdr:row>13</xdr:row>
      <xdr:rowOff>14287</xdr:rowOff>
    </xdr:to>
    <xdr:graphicFrame macro="">
      <xdr:nvGraphicFramePr>
        <xdr:cNvPr id="2" name="Chart 1">
          <a:extLst>
            <a:ext uri="{FF2B5EF4-FFF2-40B4-BE49-F238E27FC236}">
              <a16:creationId xmlns:a16="http://schemas.microsoft.com/office/drawing/2014/main" id="{47630B18-09C2-4C16-A320-F288CDA33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323850</xdr:colOff>
      <xdr:row>14</xdr:row>
      <xdr:rowOff>128587</xdr:rowOff>
    </xdr:from>
    <xdr:to>
      <xdr:col>22</xdr:col>
      <xdr:colOff>19050</xdr:colOff>
      <xdr:row>28</xdr:row>
      <xdr:rowOff>4762</xdr:rowOff>
    </xdr:to>
    <xdr:graphicFrame macro="">
      <xdr:nvGraphicFramePr>
        <xdr:cNvPr id="3" name="Chart 2">
          <a:extLst>
            <a:ext uri="{FF2B5EF4-FFF2-40B4-BE49-F238E27FC236}">
              <a16:creationId xmlns:a16="http://schemas.microsoft.com/office/drawing/2014/main" id="{59FE8716-9F33-3BB4-CC12-F4F28F977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umason\AppData\Local\Microsoft\Windows\Temporary%20Internet%20Files\Content.IE5\LJ67GIF2\PR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aulmason\Downloads\Chinaste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rf50022\shared\EXCISE\BOARD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EQU\RESEARCH\Industrials\Tourism%20&amp;%20Leisure\horizon\FGL%20Work%2010%20February%202003%20-%20Revised%20Forma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ONSOL\INDONESI\INDOSAT.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Startup" Target="GAMING/Industry%20-%20Gaming/gaming%20macau_wi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CONSOL\PHILIPPI\ICT08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EXCEL\M032\CPM\BASEMETS\METALPR\Metalp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EXCEL\M031\BRL\WES\W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FFICE\Manop\oil&amp;gas\oil_pric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rf50020\KAI-Indirect%20Taxes\Revenue%20monitoring%20general\Bulletins_PG\drafts\AGL_Draft_Templ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XCEL\M031\MNC\COMPANY\CHEM\WES\PROFIT.WES\PROF_W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avid\CEY\CEY_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Paul%20Young\MCC\MC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MEDIA\Companies\Data\Pric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X:\GEM%20Telecom\Emerging%20Europe\korea\KT07My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rajl\Desktop\Copy%20of%20Adelaide%20Brighton%20Model%20(Chan)%20(3).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CONSOL\PHILIPPI\PLT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vidan\Downloads\ALL%20AU-Broker%20Estimates.xlsx"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PM%20-%20Research/Gaming/2.%20Sector%20Data/2.%20General%20Macro/AUS%20Macro/Gaming%20Macro%20Master%20-%20v8.xlsx" TargetMode="External"/><Relationship Id="rId2" Type="http://schemas.openxmlformats.org/officeDocument/2006/relationships/externalLinkPath" Target="file:///P:\Research\PM%20-%20Research\Gaming\2.%20Sector%20Data\2.%20General%20Macro\AUS%20Macro\Gaming%20Macro%20Master%20-%20v8.xlsx" TargetMode="External"/><Relationship Id="rId1" Type="http://schemas.openxmlformats.org/officeDocument/2006/relationships/externalLinkPath" Target="/Research/PM%20-%20Research/Gaming/2.%20Sector%20Data/2.%20General%20Macro/AUS%20Macro/Gaming%20Macro%20Master%20-%20v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Prices"/>
      <sheetName val="Slides"/>
      <sheetName val="IP and Price Charts"/>
      <sheetName val="Very Long Term"/>
      <sheetName val="Charts"/>
      <sheetName val="Equitchart"/>
      <sheetName val="Sheet2"/>
      <sheetName val="Daily"/>
      <sheetName val="Derivative"/>
    </sheetNames>
    <sheetDataSet>
      <sheetData sheetId="0" refreshError="1">
        <row r="270">
          <cell r="U270">
            <v>131.5</v>
          </cell>
          <cell r="BI270">
            <v>49.237711165048545</v>
          </cell>
        </row>
        <row r="271">
          <cell r="U271">
            <v>131.5</v>
          </cell>
          <cell r="BI271">
            <v>57.276065217391313</v>
          </cell>
        </row>
        <row r="272">
          <cell r="U272">
            <v>132</v>
          </cell>
          <cell r="BI272">
            <v>62.346644927536239</v>
          </cell>
        </row>
        <row r="273">
          <cell r="U273">
            <v>134.5</v>
          </cell>
          <cell r="BI273">
            <v>61.364783132530114</v>
          </cell>
        </row>
        <row r="274">
          <cell r="U274">
            <v>133</v>
          </cell>
          <cell r="BI274">
            <v>61.597875000000002</v>
          </cell>
        </row>
        <row r="275">
          <cell r="U275">
            <v>132</v>
          </cell>
          <cell r="BI275">
            <v>60.140438848920859</v>
          </cell>
        </row>
        <row r="276">
          <cell r="U276">
            <v>130.5</v>
          </cell>
          <cell r="BI276">
            <v>58.63464832535886</v>
          </cell>
        </row>
        <row r="277">
          <cell r="U277">
            <v>132.5</v>
          </cell>
          <cell r="BI277">
            <v>57.310124105011937</v>
          </cell>
        </row>
        <row r="278">
          <cell r="U278">
            <v>139</v>
          </cell>
          <cell r="BI278">
            <v>57.916802850356291</v>
          </cell>
        </row>
        <row r="279">
          <cell r="U279">
            <v>139.5</v>
          </cell>
          <cell r="BI279">
            <v>56.738296208530805</v>
          </cell>
        </row>
        <row r="280">
          <cell r="U280">
            <v>139</v>
          </cell>
          <cell r="BI280">
            <v>56.533599056603776</v>
          </cell>
        </row>
        <row r="281">
          <cell r="U281">
            <v>143</v>
          </cell>
          <cell r="BI281">
            <v>58.493519999999997</v>
          </cell>
        </row>
        <row r="282">
          <cell r="U282">
            <v>143.5</v>
          </cell>
          <cell r="BI282">
            <v>60.061039812646364</v>
          </cell>
        </row>
        <row r="283">
          <cell r="U283">
            <v>148.5</v>
          </cell>
          <cell r="BI283">
            <v>63.721297674418601</v>
          </cell>
        </row>
        <row r="284">
          <cell r="U284">
            <v>151</v>
          </cell>
          <cell r="BI284">
            <v>69.159649769585258</v>
          </cell>
        </row>
        <row r="285">
          <cell r="U285">
            <v>147.5</v>
          </cell>
          <cell r="BI285">
            <v>71.400185354691089</v>
          </cell>
        </row>
        <row r="286">
          <cell r="U286">
            <v>147.5</v>
          </cell>
          <cell r="BI286">
            <v>72.793113895216408</v>
          </cell>
        </row>
        <row r="287">
          <cell r="U287">
            <v>149</v>
          </cell>
          <cell r="BI287">
            <v>77.571644796380085</v>
          </cell>
        </row>
        <row r="288">
          <cell r="U288">
            <v>150.5</v>
          </cell>
          <cell r="BI288">
            <v>85.577144796380097</v>
          </cell>
        </row>
        <row r="289">
          <cell r="U289">
            <v>153</v>
          </cell>
          <cell r="BI289">
            <v>78.434133333333335</v>
          </cell>
        </row>
        <row r="290">
          <cell r="U290">
            <v>151.5</v>
          </cell>
          <cell r="BI290">
            <v>79.224537610619478</v>
          </cell>
        </row>
        <row r="291">
          <cell r="U291">
            <v>149.5</v>
          </cell>
          <cell r="BI291">
            <v>83.332105263157885</v>
          </cell>
        </row>
        <row r="292">
          <cell r="U292">
            <v>147</v>
          </cell>
          <cell r="BI292">
            <v>85.698189542483661</v>
          </cell>
        </row>
        <row r="293">
          <cell r="U293">
            <v>147</v>
          </cell>
          <cell r="BI293">
            <v>103.1051533477322</v>
          </cell>
        </row>
        <row r="294">
          <cell r="U294">
            <v>149.5</v>
          </cell>
          <cell r="BI294">
            <v>97.400250000000014</v>
          </cell>
        </row>
        <row r="295">
          <cell r="U295">
            <v>150.5</v>
          </cell>
          <cell r="BI295">
            <v>110.62897674418606</v>
          </cell>
        </row>
        <row r="296">
          <cell r="U296">
            <v>161.5</v>
          </cell>
          <cell r="BI296">
            <v>119.55773221757325</v>
          </cell>
        </row>
        <row r="297">
          <cell r="U297">
            <v>203.5</v>
          </cell>
          <cell r="BI297">
            <v>117.61002286902286</v>
          </cell>
        </row>
        <row r="298">
          <cell r="U298">
            <v>219.5</v>
          </cell>
          <cell r="BI298">
            <v>110.86171604938272</v>
          </cell>
        </row>
        <row r="299">
          <cell r="U299">
            <v>224.5</v>
          </cell>
          <cell r="BI299">
            <v>93.775083673469382</v>
          </cell>
        </row>
        <row r="300">
          <cell r="U300">
            <v>231</v>
          </cell>
          <cell r="BI300">
            <v>89.585099391480739</v>
          </cell>
        </row>
        <row r="301">
          <cell r="U301">
            <v>239.5</v>
          </cell>
          <cell r="BI301">
            <v>88.728961923847706</v>
          </cell>
        </row>
        <row r="302">
          <cell r="U302">
            <v>230</v>
          </cell>
          <cell r="BI302">
            <v>85.827960474308298</v>
          </cell>
        </row>
        <row r="303">
          <cell r="U303">
            <v>201</v>
          </cell>
          <cell r="BI303">
            <v>84.875741176470598</v>
          </cell>
        </row>
        <row r="304">
          <cell r="U304">
            <v>197.5</v>
          </cell>
          <cell r="BI304">
            <v>83.495551456310679</v>
          </cell>
        </row>
        <row r="305">
          <cell r="U305">
            <v>189.5</v>
          </cell>
          <cell r="BI305">
            <v>82.982294797687871</v>
          </cell>
        </row>
        <row r="306">
          <cell r="U306">
            <v>192</v>
          </cell>
          <cell r="BI306">
            <v>82.939497131931176</v>
          </cell>
        </row>
        <row r="307">
          <cell r="U307">
            <v>190</v>
          </cell>
          <cell r="BI307">
            <v>83.061712927756659</v>
          </cell>
        </row>
        <row r="308">
          <cell r="U308">
            <v>185</v>
          </cell>
          <cell r="BI308">
            <v>82.90881250000001</v>
          </cell>
        </row>
        <row r="309">
          <cell r="U309">
            <v>185</v>
          </cell>
          <cell r="BI309">
            <v>72.92893018867926</v>
          </cell>
        </row>
        <row r="310">
          <cell r="U310">
            <v>180</v>
          </cell>
          <cell r="BI310">
            <v>64.017197740112991</v>
          </cell>
        </row>
        <row r="311">
          <cell r="U311">
            <v>189.5</v>
          </cell>
          <cell r="BI311">
            <v>53.157185046728976</v>
          </cell>
        </row>
        <row r="312">
          <cell r="U312">
            <v>186</v>
          </cell>
          <cell r="BI312">
            <v>53.587433333333323</v>
          </cell>
        </row>
        <row r="313">
          <cell r="U313">
            <v>178</v>
          </cell>
          <cell r="BI313">
            <v>57.046162361623615</v>
          </cell>
        </row>
        <row r="314">
          <cell r="U314">
            <v>190</v>
          </cell>
          <cell r="BI314">
            <v>53.184280219780227</v>
          </cell>
        </row>
        <row r="315">
          <cell r="U315">
            <v>186</v>
          </cell>
          <cell r="BI315">
            <v>50.615628415300549</v>
          </cell>
        </row>
        <row r="316">
          <cell r="U316">
            <v>183</v>
          </cell>
          <cell r="BI316">
            <v>49.136430379746841</v>
          </cell>
        </row>
        <row r="317">
          <cell r="U317">
            <v>192</v>
          </cell>
          <cell r="BI317">
            <v>48.308169064748199</v>
          </cell>
        </row>
        <row r="318">
          <cell r="U318">
            <v>197.5</v>
          </cell>
          <cell r="BI318">
            <v>48.584553763440873</v>
          </cell>
        </row>
        <row r="319">
          <cell r="U319">
            <v>201</v>
          </cell>
          <cell r="BI319">
            <v>50.276640429338102</v>
          </cell>
        </row>
        <row r="320">
          <cell r="U320">
            <v>209.5</v>
          </cell>
          <cell r="BI320">
            <v>55.152176785714296</v>
          </cell>
        </row>
        <row r="321">
          <cell r="U321">
            <v>199.5</v>
          </cell>
          <cell r="BI321">
            <v>70.123042780748662</v>
          </cell>
        </row>
        <row r="322">
          <cell r="U322">
            <v>199</v>
          </cell>
          <cell r="BI322">
            <v>68.914170212765953</v>
          </cell>
        </row>
        <row r="323">
          <cell r="U323">
            <v>194.5</v>
          </cell>
          <cell r="BI323">
            <v>67.758878306878302</v>
          </cell>
        </row>
        <row r="324">
          <cell r="U324">
            <v>210</v>
          </cell>
          <cell r="BI324">
            <v>72.143131578947376</v>
          </cell>
        </row>
        <row r="325">
          <cell r="U325">
            <v>212</v>
          </cell>
          <cell r="BI325">
            <v>67.772759162303672</v>
          </cell>
        </row>
        <row r="326">
          <cell r="U326">
            <v>212.5</v>
          </cell>
          <cell r="BI326">
            <v>67.185046874999998</v>
          </cell>
        </row>
        <row r="327">
          <cell r="U327">
            <v>210</v>
          </cell>
          <cell r="BI327">
            <v>64.680015544041453</v>
          </cell>
        </row>
        <row r="328">
          <cell r="U328">
            <v>206</v>
          </cell>
          <cell r="BI328">
            <v>63.704122203098102</v>
          </cell>
        </row>
        <row r="329">
          <cell r="U329">
            <v>202</v>
          </cell>
          <cell r="BI329">
            <v>65.975311643835624</v>
          </cell>
        </row>
        <row r="330">
          <cell r="U330">
            <v>204</v>
          </cell>
          <cell r="BI330">
            <v>76.715207836456557</v>
          </cell>
        </row>
        <row r="331">
          <cell r="U331">
            <v>208.5</v>
          </cell>
          <cell r="BI331">
            <v>87.969000000000008</v>
          </cell>
        </row>
        <row r="332">
          <cell r="U332">
            <v>216.5</v>
          </cell>
          <cell r="BI332">
            <v>95.122771812080529</v>
          </cell>
        </row>
        <row r="333">
          <cell r="U333">
            <v>217.5</v>
          </cell>
          <cell r="BI333">
            <v>87.16507</v>
          </cell>
        </row>
        <row r="334">
          <cell r="U334">
            <v>208</v>
          </cell>
          <cell r="BI334">
            <v>88.459445182724252</v>
          </cell>
        </row>
        <row r="335">
          <cell r="U335">
            <v>210</v>
          </cell>
          <cell r="BI335">
            <v>75.582505785123971</v>
          </cell>
        </row>
        <row r="336">
          <cell r="U336">
            <v>206</v>
          </cell>
          <cell r="BI336">
            <v>74.399067434210522</v>
          </cell>
        </row>
        <row r="337">
          <cell r="U337">
            <v>200</v>
          </cell>
          <cell r="BI337">
            <v>72.644926350245498</v>
          </cell>
        </row>
        <row r="338">
          <cell r="U338">
            <v>196.5</v>
          </cell>
          <cell r="BI338">
            <v>76.584063621533446</v>
          </cell>
        </row>
        <row r="339">
          <cell r="U339">
            <v>187.5</v>
          </cell>
          <cell r="BI339">
            <v>80.511301948051951</v>
          </cell>
        </row>
        <row r="340">
          <cell r="U340">
            <v>188</v>
          </cell>
          <cell r="BI340">
            <v>82.370569354838722</v>
          </cell>
        </row>
        <row r="341">
          <cell r="U341">
            <v>185</v>
          </cell>
          <cell r="BI341">
            <v>88.690146067415739</v>
          </cell>
        </row>
        <row r="342">
          <cell r="U342">
            <v>190</v>
          </cell>
          <cell r="BI342">
            <v>85.213248803827753</v>
          </cell>
        </row>
        <row r="343">
          <cell r="U343">
            <v>192</v>
          </cell>
          <cell r="BI343">
            <v>74.61351904761905</v>
          </cell>
        </row>
        <row r="344">
          <cell r="U344">
            <v>193.5</v>
          </cell>
          <cell r="BI344">
            <v>73.92390378548896</v>
          </cell>
        </row>
        <row r="345">
          <cell r="U345">
            <v>198</v>
          </cell>
          <cell r="BI345">
            <v>72.265262910798128</v>
          </cell>
        </row>
        <row r="346">
          <cell r="U346">
            <v>199</v>
          </cell>
          <cell r="BI346">
            <v>67.993655813953495</v>
          </cell>
        </row>
        <row r="347">
          <cell r="U347">
            <v>194.5</v>
          </cell>
          <cell r="BI347">
            <v>70.719355384615383</v>
          </cell>
        </row>
        <row r="348">
          <cell r="U348">
            <v>187</v>
          </cell>
          <cell r="BI348">
            <v>71.676045801526712</v>
          </cell>
        </row>
        <row r="349">
          <cell r="U349">
            <v>183.5</v>
          </cell>
          <cell r="BI349">
            <v>78.189614567526547</v>
          </cell>
        </row>
        <row r="350">
          <cell r="U350">
            <v>186</v>
          </cell>
          <cell r="BI350">
            <v>84.027654135338352</v>
          </cell>
        </row>
        <row r="351">
          <cell r="U351">
            <v>183</v>
          </cell>
          <cell r="BI351">
            <v>99.772470938897314</v>
          </cell>
        </row>
        <row r="352">
          <cell r="U352">
            <v>176.5</v>
          </cell>
          <cell r="BI352">
            <v>96.129253333333324</v>
          </cell>
        </row>
        <row r="353">
          <cell r="U353">
            <v>173</v>
          </cell>
          <cell r="BI353">
            <v>101.99512665684831</v>
          </cell>
        </row>
        <row r="354">
          <cell r="U354">
            <v>167.5</v>
          </cell>
          <cell r="BI354">
            <v>116.78290948905111</v>
          </cell>
        </row>
        <row r="355">
          <cell r="U355">
            <v>184</v>
          </cell>
          <cell r="BI355">
            <v>122.86154479768786</v>
          </cell>
        </row>
        <row r="356">
          <cell r="U356">
            <v>218</v>
          </cell>
          <cell r="BI356">
            <v>135.69774248927035</v>
          </cell>
        </row>
        <row r="357">
          <cell r="U357">
            <v>253.5</v>
          </cell>
          <cell r="BI357">
            <v>132.54557932011352</v>
          </cell>
        </row>
        <row r="358">
          <cell r="U358">
            <v>309.5</v>
          </cell>
          <cell r="BI358">
            <v>139.92308403361343</v>
          </cell>
        </row>
        <row r="359">
          <cell r="U359">
            <v>306</v>
          </cell>
          <cell r="BI359">
            <v>154.31223407202216</v>
          </cell>
        </row>
        <row r="360">
          <cell r="U360">
            <v>265</v>
          </cell>
          <cell r="BI360">
            <v>140.47763835616439</v>
          </cell>
        </row>
        <row r="361">
          <cell r="U361">
            <v>258</v>
          </cell>
          <cell r="BI361">
            <v>132.6694681139756</v>
          </cell>
        </row>
        <row r="362">
          <cell r="U362">
            <v>268</v>
          </cell>
          <cell r="BI362">
            <v>133.3556572580645</v>
          </cell>
        </row>
        <row r="363">
          <cell r="U363">
            <v>269</v>
          </cell>
          <cell r="BI363">
            <v>141.39264893617022</v>
          </cell>
        </row>
        <row r="364">
          <cell r="U364">
            <v>268</v>
          </cell>
          <cell r="BI364">
            <v>129.89508947368421</v>
          </cell>
        </row>
        <row r="365">
          <cell r="U365">
            <v>283</v>
          </cell>
          <cell r="BI365">
            <v>123.38255656697009</v>
          </cell>
        </row>
        <row r="366">
          <cell r="U366">
            <v>299</v>
          </cell>
          <cell r="BI366">
            <v>115.55061153846154</v>
          </cell>
        </row>
        <row r="367">
          <cell r="U367">
            <v>317</v>
          </cell>
          <cell r="BI367">
            <v>119.18399240506331</v>
          </cell>
        </row>
        <row r="368">
          <cell r="U368">
            <v>306</v>
          </cell>
          <cell r="BI368">
            <v>112.6433483146069</v>
          </cell>
        </row>
        <row r="369">
          <cell r="U369">
            <v>283</v>
          </cell>
          <cell r="BI369">
            <v>96.501404202719414</v>
          </cell>
        </row>
        <row r="370">
          <cell r="U370">
            <v>273</v>
          </cell>
          <cell r="BI370">
            <v>77.285247246022038</v>
          </cell>
        </row>
        <row r="371">
          <cell r="U371">
            <v>286</v>
          </cell>
          <cell r="BI371">
            <v>72.113112727272721</v>
          </cell>
        </row>
        <row r="372">
          <cell r="U372">
            <v>301</v>
          </cell>
          <cell r="BI372">
            <v>79.120271186440775</v>
          </cell>
        </row>
        <row r="373">
          <cell r="U373">
            <v>299</v>
          </cell>
          <cell r="BI373">
            <v>82.646524038461536</v>
          </cell>
        </row>
        <row r="374">
          <cell r="U374">
            <v>302</v>
          </cell>
          <cell r="BI374">
            <v>84.830098927294387</v>
          </cell>
        </row>
        <row r="375">
          <cell r="U375">
            <v>304</v>
          </cell>
          <cell r="BI375">
            <v>82.968191263282179</v>
          </cell>
        </row>
        <row r="376">
          <cell r="U376">
            <v>293</v>
          </cell>
          <cell r="BI376">
            <v>76.673653037383275</v>
          </cell>
        </row>
        <row r="377">
          <cell r="U377">
            <v>291</v>
          </cell>
          <cell r="BI377">
            <v>69.356291666666664</v>
          </cell>
        </row>
        <row r="378">
          <cell r="U378">
            <v>291</v>
          </cell>
          <cell r="BI378">
            <v>65.178316513761473</v>
          </cell>
        </row>
        <row r="379">
          <cell r="U379">
            <v>289</v>
          </cell>
          <cell r="BI379">
            <v>63.14641363636364</v>
          </cell>
        </row>
        <row r="380">
          <cell r="U380">
            <v>286</v>
          </cell>
          <cell r="BI380">
            <v>66.387220090293539</v>
          </cell>
        </row>
        <row r="381">
          <cell r="U381">
            <v>286</v>
          </cell>
          <cell r="BI381">
            <v>68.648235690235765</v>
          </cell>
        </row>
        <row r="382">
          <cell r="U382">
            <v>288</v>
          </cell>
          <cell r="BI382">
            <v>62.639839464882947</v>
          </cell>
        </row>
        <row r="383">
          <cell r="U383">
            <v>279</v>
          </cell>
          <cell r="BI383">
            <v>63.4975226519337</v>
          </cell>
        </row>
        <row r="384">
          <cell r="U384">
            <v>292</v>
          </cell>
          <cell r="BI384">
            <v>69.114636065573777</v>
          </cell>
        </row>
        <row r="385">
          <cell r="U385">
            <v>273</v>
          </cell>
          <cell r="BI385">
            <v>72.053359002169202</v>
          </cell>
        </row>
        <row r="386">
          <cell r="U386">
            <v>254</v>
          </cell>
          <cell r="BI386">
            <v>66.132557465091381</v>
          </cell>
        </row>
        <row r="387">
          <cell r="U387">
            <v>237</v>
          </cell>
          <cell r="BI387">
            <v>61.840249464668091</v>
          </cell>
        </row>
        <row r="388">
          <cell r="U388">
            <v>232</v>
          </cell>
          <cell r="BI388">
            <v>57.244730277185504</v>
          </cell>
        </row>
        <row r="389">
          <cell r="U389">
            <v>249</v>
          </cell>
          <cell r="BI389">
            <v>57.765510095642995</v>
          </cell>
        </row>
        <row r="390">
          <cell r="U390">
            <v>255</v>
          </cell>
          <cell r="BI390">
            <v>55.356298728813549</v>
          </cell>
        </row>
        <row r="391">
          <cell r="U391">
            <v>260</v>
          </cell>
          <cell r="BI391">
            <v>52.618574445617746</v>
          </cell>
        </row>
        <row r="392">
          <cell r="U392">
            <v>258</v>
          </cell>
          <cell r="BI392">
            <v>52.133904963041182</v>
          </cell>
        </row>
        <row r="393">
          <cell r="U393">
            <v>246</v>
          </cell>
          <cell r="BI393">
            <v>48.776434736842113</v>
          </cell>
        </row>
        <row r="394">
          <cell r="U394">
            <v>236</v>
          </cell>
          <cell r="BI394">
            <v>48.322388946819601</v>
          </cell>
        </row>
        <row r="395">
          <cell r="U395">
            <v>236</v>
          </cell>
          <cell r="BI395">
            <v>43.255376288659797</v>
          </cell>
        </row>
        <row r="396">
          <cell r="U396">
            <v>230</v>
          </cell>
          <cell r="BI396">
            <v>45.67377230769231</v>
          </cell>
        </row>
        <row r="397">
          <cell r="U397">
            <v>225</v>
          </cell>
          <cell r="BI397">
            <v>43.145757420675537</v>
          </cell>
        </row>
        <row r="398">
          <cell r="U398">
            <v>200</v>
          </cell>
          <cell r="BI398">
            <v>42.517553735926306</v>
          </cell>
        </row>
        <row r="399">
          <cell r="U399">
            <v>179</v>
          </cell>
          <cell r="BI399">
            <v>40.878917431192711</v>
          </cell>
        </row>
        <row r="400">
          <cell r="U400">
            <v>157</v>
          </cell>
          <cell r="BI400">
            <v>38.048816326530613</v>
          </cell>
        </row>
        <row r="401">
          <cell r="U401">
            <v>162</v>
          </cell>
          <cell r="BI401">
            <v>36.962048106448307</v>
          </cell>
        </row>
        <row r="402">
          <cell r="U402">
            <v>172</v>
          </cell>
          <cell r="BI402">
            <v>39.148902962206336</v>
          </cell>
        </row>
        <row r="403">
          <cell r="U403">
            <v>191</v>
          </cell>
          <cell r="BI403">
            <v>37.409828571428577</v>
          </cell>
        </row>
        <row r="404">
          <cell r="U404">
            <v>217</v>
          </cell>
          <cell r="BI404">
            <v>36.428697247706459</v>
          </cell>
        </row>
        <row r="405">
          <cell r="U405">
            <v>221</v>
          </cell>
          <cell r="BI405">
            <v>37.33919331983806</v>
          </cell>
        </row>
        <row r="406">
          <cell r="U406">
            <v>228</v>
          </cell>
          <cell r="BI406">
            <v>35.203397177419355</v>
          </cell>
        </row>
        <row r="407">
          <cell r="U407">
            <v>223</v>
          </cell>
          <cell r="BI407">
            <v>33.09763279678068</v>
          </cell>
        </row>
        <row r="408">
          <cell r="U408">
            <v>218</v>
          </cell>
          <cell r="BI408">
            <v>32.574595190380762</v>
          </cell>
        </row>
        <row r="409">
          <cell r="U409">
            <v>220</v>
          </cell>
          <cell r="BI409">
            <v>32.057544455544459</v>
          </cell>
        </row>
        <row r="410">
          <cell r="U410">
            <v>223</v>
          </cell>
          <cell r="BI410">
            <v>32.503960159362549</v>
          </cell>
        </row>
        <row r="411">
          <cell r="U411">
            <v>212</v>
          </cell>
          <cell r="BI411">
            <v>33.534502976190481</v>
          </cell>
        </row>
        <row r="412">
          <cell r="U412">
            <v>208</v>
          </cell>
          <cell r="BI412">
            <v>32.27890801186944</v>
          </cell>
        </row>
        <row r="413">
          <cell r="U413">
            <v>211</v>
          </cell>
          <cell r="BI413">
            <v>31.974630177514793</v>
          </cell>
        </row>
        <row r="414">
          <cell r="U414">
            <v>212</v>
          </cell>
          <cell r="BI414">
            <v>31.386020568070528</v>
          </cell>
        </row>
        <row r="415">
          <cell r="U415">
            <v>211</v>
          </cell>
          <cell r="BI415">
            <v>31.784453216374271</v>
          </cell>
        </row>
        <row r="416">
          <cell r="U416">
            <v>216</v>
          </cell>
          <cell r="BI416">
            <v>36.000113702623906</v>
          </cell>
        </row>
        <row r="417">
          <cell r="U417">
            <v>223</v>
          </cell>
          <cell r="BI417">
            <v>37.596659244917717</v>
          </cell>
        </row>
        <row r="418">
          <cell r="U418">
            <v>218</v>
          </cell>
          <cell r="BI418">
            <v>35.296391304347829</v>
          </cell>
        </row>
        <row r="419">
          <cell r="U419">
            <v>217</v>
          </cell>
          <cell r="BI419">
            <v>37.650639344262295</v>
          </cell>
        </row>
        <row r="420">
          <cell r="U420">
            <v>211</v>
          </cell>
          <cell r="BI420">
            <v>38.225429394812679</v>
          </cell>
        </row>
        <row r="421">
          <cell r="U421">
            <v>215</v>
          </cell>
          <cell r="BI421">
            <v>36.094614942528736</v>
          </cell>
        </row>
        <row r="422">
          <cell r="U422">
            <v>214</v>
          </cell>
          <cell r="BI422">
            <v>30.922656160458455</v>
          </cell>
        </row>
        <row r="423">
          <cell r="U423">
            <v>216</v>
          </cell>
          <cell r="BI423">
            <v>31.607294957183633</v>
          </cell>
        </row>
        <row r="424">
          <cell r="U424">
            <v>216</v>
          </cell>
          <cell r="BI424">
            <v>33.728353276353275</v>
          </cell>
        </row>
        <row r="425">
          <cell r="U425">
            <v>220</v>
          </cell>
          <cell r="BI425">
            <v>31.748826540284359</v>
          </cell>
        </row>
        <row r="426">
          <cell r="U426">
            <v>222</v>
          </cell>
          <cell r="BI426">
            <v>32.027049195837279</v>
          </cell>
        </row>
        <row r="427">
          <cell r="U427">
            <v>231</v>
          </cell>
          <cell r="BI427">
            <v>27.930132643461903</v>
          </cell>
        </row>
        <row r="428">
          <cell r="U428">
            <v>236</v>
          </cell>
          <cell r="BI428">
            <v>26.570064606741578</v>
          </cell>
        </row>
        <row r="429">
          <cell r="U429">
            <v>249</v>
          </cell>
          <cell r="BI429">
            <v>29.345186915887847</v>
          </cell>
        </row>
        <row r="430">
          <cell r="U430">
            <v>255</v>
          </cell>
          <cell r="BI430">
            <v>28.273155783582087</v>
          </cell>
        </row>
        <row r="431">
          <cell r="U431">
            <v>252</v>
          </cell>
          <cell r="BI431">
            <v>29.188839069767447</v>
          </cell>
        </row>
        <row r="432">
          <cell r="U432">
            <v>231</v>
          </cell>
          <cell r="BI432">
            <v>30.173623955431754</v>
          </cell>
        </row>
        <row r="433">
          <cell r="U433">
            <v>223</v>
          </cell>
          <cell r="BI433">
            <v>30.902499536607969</v>
          </cell>
        </row>
        <row r="434">
          <cell r="U434">
            <v>208</v>
          </cell>
          <cell r="BI434">
            <v>29.864489361702127</v>
          </cell>
        </row>
        <row r="435">
          <cell r="U435">
            <v>194</v>
          </cell>
          <cell r="BI435">
            <v>29.231347465437789</v>
          </cell>
        </row>
        <row r="436">
          <cell r="U436">
            <v>183</v>
          </cell>
          <cell r="BI436">
            <v>29.142957798165142</v>
          </cell>
        </row>
        <row r="437">
          <cell r="U437">
            <v>186</v>
          </cell>
          <cell r="BI437">
            <v>28.706073972602741</v>
          </cell>
        </row>
        <row r="438">
          <cell r="S438">
            <v>29.177</v>
          </cell>
          <cell r="U438">
            <v>183</v>
          </cell>
          <cell r="BI438">
            <v>27.023317561419468</v>
          </cell>
        </row>
        <row r="439">
          <cell r="S439">
            <v>27.58</v>
          </cell>
          <cell r="U439">
            <v>181</v>
          </cell>
          <cell r="BI439">
            <v>26.980148587055609</v>
          </cell>
        </row>
        <row r="440">
          <cell r="S440">
            <v>28.353000000000002</v>
          </cell>
          <cell r="U440">
            <v>187</v>
          </cell>
          <cell r="BI440">
            <v>27.126896425297893</v>
          </cell>
        </row>
        <row r="441">
          <cell r="S441">
            <v>29.908999999999999</v>
          </cell>
          <cell r="U441">
            <v>181</v>
          </cell>
          <cell r="BI441">
            <v>27.395290708371665</v>
          </cell>
        </row>
        <row r="442">
          <cell r="S442">
            <v>32.063000000000002</v>
          </cell>
          <cell r="U442">
            <v>183</v>
          </cell>
          <cell r="BI442">
            <v>27.837269724770643</v>
          </cell>
        </row>
        <row r="443">
          <cell r="S443">
            <v>36.454000000000001</v>
          </cell>
          <cell r="U443">
            <v>185</v>
          </cell>
          <cell r="BI443">
            <v>30.825159049360142</v>
          </cell>
        </row>
        <row r="444">
          <cell r="S444">
            <v>36.576000000000001</v>
          </cell>
          <cell r="U444">
            <v>177</v>
          </cell>
          <cell r="BI444">
            <v>27.961980821917805</v>
          </cell>
        </row>
        <row r="445">
          <cell r="S445">
            <v>37.011000000000003</v>
          </cell>
          <cell r="U445">
            <v>173</v>
          </cell>
          <cell r="BI445">
            <v>28.845446167883217</v>
          </cell>
        </row>
        <row r="446">
          <cell r="S446">
            <v>39.478000000000002</v>
          </cell>
          <cell r="U446">
            <v>169</v>
          </cell>
          <cell r="BI446">
            <v>29.840299090909092</v>
          </cell>
        </row>
        <row r="447">
          <cell r="S447">
            <v>40.167000000000002</v>
          </cell>
          <cell r="U447">
            <v>165</v>
          </cell>
          <cell r="BI447">
            <v>31.789535390199639</v>
          </cell>
        </row>
        <row r="448">
          <cell r="S448">
            <v>37.170999999999999</v>
          </cell>
          <cell r="U448">
            <v>165</v>
          </cell>
          <cell r="BI448">
            <v>34.566421195652175</v>
          </cell>
        </row>
        <row r="449">
          <cell r="S449">
            <v>36.18</v>
          </cell>
          <cell r="U449">
            <v>162</v>
          </cell>
          <cell r="BI449">
            <v>37.704203068592065</v>
          </cell>
        </row>
        <row r="450">
          <cell r="P450">
            <v>80.40929049728588</v>
          </cell>
          <cell r="Q450">
            <v>61.055</v>
          </cell>
          <cell r="R450">
            <v>53.134465876802999</v>
          </cell>
          <cell r="S450">
            <v>34.427</v>
          </cell>
          <cell r="U450">
            <v>160</v>
          </cell>
          <cell r="BI450">
            <v>33.544121973094178</v>
          </cell>
        </row>
        <row r="451">
          <cell r="P451">
            <v>86.271198886516572</v>
          </cell>
          <cell r="Q451">
            <v>62.588000000000001</v>
          </cell>
          <cell r="R451">
            <v>58.215788079470201</v>
          </cell>
          <cell r="S451">
            <v>33.555999999999997</v>
          </cell>
          <cell r="U451">
            <v>168</v>
          </cell>
          <cell r="BI451">
            <v>33.169844504021448</v>
          </cell>
        </row>
        <row r="452">
          <cell r="P452">
            <v>87.931783524515765</v>
          </cell>
          <cell r="Q452">
            <v>66.483999999999995</v>
          </cell>
          <cell r="R452">
            <v>62.0183036151683</v>
          </cell>
          <cell r="S452">
            <v>33.158000000000001</v>
          </cell>
          <cell r="U452">
            <v>171</v>
          </cell>
          <cell r="BI452">
            <v>34.960597506678539</v>
          </cell>
        </row>
        <row r="453">
          <cell r="P453">
            <v>90.162949620255617</v>
          </cell>
          <cell r="Q453">
            <v>67.323999999999998</v>
          </cell>
          <cell r="R453">
            <v>63.546856958178303</v>
          </cell>
          <cell r="S453">
            <v>34.531999999999996</v>
          </cell>
          <cell r="U453">
            <v>177</v>
          </cell>
          <cell r="BI453">
            <v>39.697880319148936</v>
          </cell>
        </row>
        <row r="454">
          <cell r="P454">
            <v>89.714331388039341</v>
          </cell>
          <cell r="Q454">
            <v>68.965999999999994</v>
          </cell>
          <cell r="R454">
            <v>64.0291156672412</v>
          </cell>
          <cell r="S454">
            <v>38.008000000000003</v>
          </cell>
          <cell r="U454">
            <v>202</v>
          </cell>
          <cell r="BI454">
            <v>49.393596816976135</v>
          </cell>
        </row>
        <row r="455">
          <cell r="P455">
            <v>92.716895039999997</v>
          </cell>
          <cell r="Q455">
            <v>71.299000000000007</v>
          </cell>
          <cell r="R455">
            <v>66.784000000000006</v>
          </cell>
          <cell r="S455">
            <v>39.798999999999999</v>
          </cell>
          <cell r="U455">
            <v>202</v>
          </cell>
          <cell r="BI455">
            <v>44.645696302816908</v>
          </cell>
        </row>
        <row r="456">
          <cell r="P456">
            <v>110.92000500000002</v>
          </cell>
          <cell r="Q456">
            <v>76.867000000000004</v>
          </cell>
          <cell r="R456">
            <v>77.400000000000006</v>
          </cell>
          <cell r="S456">
            <v>37.594000000000001</v>
          </cell>
          <cell r="U456">
            <v>216</v>
          </cell>
          <cell r="BI456">
            <v>46.958415276558391</v>
          </cell>
        </row>
        <row r="457">
          <cell r="P457">
            <v>115.268125602</v>
          </cell>
          <cell r="Q457">
            <v>79.665000000000006</v>
          </cell>
          <cell r="R457">
            <v>82.117000000000004</v>
          </cell>
          <cell r="S457">
            <v>36.44</v>
          </cell>
          <cell r="U457">
            <v>240</v>
          </cell>
          <cell r="BI457">
            <v>46.45771416083916</v>
          </cell>
        </row>
        <row r="458">
          <cell r="P458">
            <v>110.10562286999999</v>
          </cell>
          <cell r="Q458">
            <v>82.146000000000001</v>
          </cell>
          <cell r="R458">
            <v>79.209999999999994</v>
          </cell>
          <cell r="S458">
            <v>34.283999999999999</v>
          </cell>
          <cell r="U458">
            <v>242</v>
          </cell>
          <cell r="BI458">
            <v>45.418737804878049</v>
          </cell>
        </row>
        <row r="459">
          <cell r="P459">
            <v>131.75228167500001</v>
          </cell>
          <cell r="Q459">
            <v>89.161000000000001</v>
          </cell>
          <cell r="R459">
            <v>89.025000000000006</v>
          </cell>
          <cell r="S459">
            <v>34.889000000000003</v>
          </cell>
          <cell r="U459">
            <v>258</v>
          </cell>
          <cell r="BI459">
            <v>42.116395308427457</v>
          </cell>
        </row>
        <row r="460">
          <cell r="P460">
            <v>108.12390321300001</v>
          </cell>
          <cell r="Q460">
            <v>114.483</v>
          </cell>
          <cell r="R460">
            <v>76.248999999999995</v>
          </cell>
          <cell r="S460">
            <v>38.421999999999997</v>
          </cell>
          <cell r="U460">
            <v>269</v>
          </cell>
          <cell r="BI460">
            <v>44.820018181818185</v>
          </cell>
        </row>
        <row r="461">
          <cell r="P461">
            <v>114.507954756</v>
          </cell>
          <cell r="Q461">
            <v>130.13</v>
          </cell>
          <cell r="R461">
            <v>82.731999999999999</v>
          </cell>
          <cell r="S461">
            <v>39.253999999999998</v>
          </cell>
          <cell r="U461">
            <v>348</v>
          </cell>
          <cell r="BI461">
            <v>45.912653414001724</v>
          </cell>
        </row>
        <row r="462">
          <cell r="P462">
            <v>127.24856098999997</v>
          </cell>
          <cell r="Q462">
            <v>120.79900000000001</v>
          </cell>
          <cell r="R462">
            <v>90.83</v>
          </cell>
          <cell r="S462">
            <v>39.81</v>
          </cell>
          <cell r="U462">
            <v>367</v>
          </cell>
          <cell r="BI462">
            <v>46.284645994832047</v>
          </cell>
        </row>
        <row r="463">
          <cell r="P463">
            <v>134.75967499999999</v>
          </cell>
          <cell r="Q463">
            <v>105.69799999999999</v>
          </cell>
          <cell r="R463">
            <v>97</v>
          </cell>
          <cell r="S463">
            <v>39.722000000000001</v>
          </cell>
          <cell r="U463">
            <v>394</v>
          </cell>
          <cell r="BI463">
            <v>45.479323580034425</v>
          </cell>
        </row>
        <row r="464">
          <cell r="P464">
            <v>155.11637159999998</v>
          </cell>
          <cell r="Q464">
            <v>107.018</v>
          </cell>
          <cell r="R464">
            <v>114.6</v>
          </cell>
          <cell r="S464">
            <v>44.500999999999998</v>
          </cell>
          <cell r="U464">
            <v>709</v>
          </cell>
          <cell r="BI464">
            <v>44.841174957118362</v>
          </cell>
        </row>
        <row r="465">
          <cell r="P465">
            <v>150.16484880000002</v>
          </cell>
          <cell r="Q465">
            <v>103.706</v>
          </cell>
          <cell r="R465">
            <v>113.9</v>
          </cell>
          <cell r="S465">
            <v>48.462000000000003</v>
          </cell>
          <cell r="U465">
            <v>821</v>
          </cell>
          <cell r="BI465">
            <v>44.648042662116048</v>
          </cell>
        </row>
        <row r="466">
          <cell r="P466">
            <v>170.165234</v>
          </cell>
          <cell r="Q466">
            <v>111.039</v>
          </cell>
          <cell r="R466">
            <v>137</v>
          </cell>
          <cell r="S466">
            <v>53.332000000000001</v>
          </cell>
          <cell r="U466">
            <v>775</v>
          </cell>
          <cell r="BI466">
            <v>45.786558673469386</v>
          </cell>
        </row>
        <row r="467">
          <cell r="P467">
            <v>207.68264540000004</v>
          </cell>
          <cell r="Q467">
            <v>115.22499999999999</v>
          </cell>
          <cell r="R467">
            <v>164.9</v>
          </cell>
          <cell r="S467">
            <v>61.866999999999997</v>
          </cell>
          <cell r="U467">
            <v>710</v>
          </cell>
          <cell r="BI467">
            <v>46.211822184589337</v>
          </cell>
        </row>
        <row r="468">
          <cell r="P468">
            <v>152.39278079999997</v>
          </cell>
          <cell r="Q468">
            <v>100.40300000000001</v>
          </cell>
          <cell r="R468">
            <v>122.6</v>
          </cell>
          <cell r="S468">
            <v>56.081000000000003</v>
          </cell>
          <cell r="U468">
            <v>663</v>
          </cell>
          <cell r="BI468">
            <v>42.085500000000003</v>
          </cell>
        </row>
        <row r="469">
          <cell r="P469">
            <v>155.1617372</v>
          </cell>
          <cell r="Q469">
            <v>99.820999999999998</v>
          </cell>
          <cell r="R469">
            <v>125.2</v>
          </cell>
          <cell r="S469">
            <v>59.344999999999999</v>
          </cell>
          <cell r="U469">
            <v>645</v>
          </cell>
          <cell r="BI469">
            <v>40.74358487394958</v>
          </cell>
        </row>
        <row r="470">
          <cell r="P470">
            <v>140.3754898</v>
          </cell>
          <cell r="Q470">
            <v>110.474</v>
          </cell>
          <cell r="R470">
            <v>109.9</v>
          </cell>
          <cell r="S470">
            <v>60.298000000000002</v>
          </cell>
          <cell r="U470">
            <v>540</v>
          </cell>
          <cell r="BI470">
            <v>41.096982441471575</v>
          </cell>
        </row>
        <row r="471">
          <cell r="P471">
            <v>128.99706</v>
          </cell>
          <cell r="Q471">
            <v>133.334</v>
          </cell>
          <cell r="R471">
            <v>106.5</v>
          </cell>
          <cell r="S471">
            <v>68.850999999999999</v>
          </cell>
          <cell r="U471">
            <v>526</v>
          </cell>
          <cell r="BI471">
            <v>44.005047499999996</v>
          </cell>
        </row>
        <row r="472">
          <cell r="P472">
            <v>125.72594880000001</v>
          </cell>
          <cell r="Q472">
            <v>149.89699999999999</v>
          </cell>
          <cell r="R472">
            <v>110.4</v>
          </cell>
          <cell r="S472">
            <v>70.634</v>
          </cell>
          <cell r="U472">
            <v>607</v>
          </cell>
          <cell r="BI472">
            <v>46.287984219269106</v>
          </cell>
        </row>
        <row r="473">
          <cell r="P473">
            <v>132.67094449999999</v>
          </cell>
          <cell r="Q473">
            <v>158.708</v>
          </cell>
          <cell r="R473">
            <v>113.5</v>
          </cell>
          <cell r="S473">
            <v>72.236000000000004</v>
          </cell>
          <cell r="U473">
            <v>769</v>
          </cell>
          <cell r="BI473">
            <v>48.770813741721852</v>
          </cell>
        </row>
        <row r="474">
          <cell r="P474">
            <v>122.3846592</v>
          </cell>
          <cell r="Q474">
            <v>154</v>
          </cell>
          <cell r="R474">
            <v>108.8</v>
          </cell>
          <cell r="S474">
            <v>80.400000000000006</v>
          </cell>
          <cell r="U474">
            <v>806</v>
          </cell>
          <cell r="BI474">
            <v>44.878318219291017</v>
          </cell>
        </row>
        <row r="475">
          <cell r="P475">
            <v>123.83938875000001</v>
          </cell>
          <cell r="Q475">
            <v>140.6</v>
          </cell>
          <cell r="R475">
            <v>99.022000000000006</v>
          </cell>
          <cell r="S475">
            <v>90.9</v>
          </cell>
          <cell r="U475">
            <v>842</v>
          </cell>
          <cell r="BI475">
            <v>41.222514379622027</v>
          </cell>
        </row>
        <row r="476">
          <cell r="P476">
            <v>114.79501651864285</v>
          </cell>
          <cell r="Q476">
            <v>148.1</v>
          </cell>
          <cell r="R476">
            <v>94.063049986392102</v>
          </cell>
          <cell r="S476">
            <v>89.4</v>
          </cell>
          <cell r="U476">
            <v>780</v>
          </cell>
          <cell r="BI476">
            <v>38.838348323793952</v>
          </cell>
        </row>
        <row r="477">
          <cell r="P477">
            <v>121.62383262269795</v>
          </cell>
          <cell r="Q477">
            <v>141.4</v>
          </cell>
          <cell r="R477">
            <v>96.423387462578205</v>
          </cell>
          <cell r="S477">
            <v>76.099999999999994</v>
          </cell>
          <cell r="U477">
            <v>694</v>
          </cell>
          <cell r="BI477">
            <v>39.709821428571423</v>
          </cell>
        </row>
        <row r="478">
          <cell r="P478">
            <v>136.93431339199901</v>
          </cell>
          <cell r="Q478">
            <v>124.1</v>
          </cell>
          <cell r="R478">
            <v>102.481629320512</v>
          </cell>
          <cell r="S478">
            <v>78.2</v>
          </cell>
          <cell r="U478">
            <v>612</v>
          </cell>
          <cell r="BI478">
            <v>41.816558966074318</v>
          </cell>
        </row>
        <row r="479">
          <cell r="P479">
            <v>114.9212036</v>
          </cell>
          <cell r="Q479">
            <v>115.6</v>
          </cell>
          <cell r="R479">
            <v>86.8</v>
          </cell>
          <cell r="S479">
            <v>75.599999999999994</v>
          </cell>
          <cell r="U479">
            <v>552</v>
          </cell>
          <cell r="BI479">
            <v>43.292344883158748</v>
          </cell>
        </row>
        <row r="480">
          <cell r="P480">
            <v>105.79476799999999</v>
          </cell>
          <cell r="Q480">
            <v>113.5</v>
          </cell>
          <cell r="R480">
            <v>79.599999999999994</v>
          </cell>
          <cell r="S480">
            <v>75.599999999999994</v>
          </cell>
          <cell r="U480">
            <v>558</v>
          </cell>
          <cell r="BI480">
            <v>44.546388443017662</v>
          </cell>
        </row>
        <row r="481">
          <cell r="P481">
            <v>106.58306399999999</v>
          </cell>
          <cell r="Q481">
            <v>131.30000000000001</v>
          </cell>
          <cell r="R481">
            <v>81.599999999999994</v>
          </cell>
          <cell r="S481">
            <v>82</v>
          </cell>
          <cell r="U481">
            <v>587</v>
          </cell>
          <cell r="BI481">
            <v>45.403049759229546</v>
          </cell>
        </row>
        <row r="482">
          <cell r="P482">
            <v>100.3348884</v>
          </cell>
          <cell r="Q482">
            <v>130.80000000000001</v>
          </cell>
          <cell r="R482">
            <v>77.900000000000006</v>
          </cell>
          <cell r="S482">
            <v>75.599999999999994</v>
          </cell>
          <cell r="U482">
            <v>512</v>
          </cell>
          <cell r="BI482">
            <v>47.145636509207371</v>
          </cell>
        </row>
        <row r="483">
          <cell r="P483">
            <v>105.47821760000001</v>
          </cell>
          <cell r="Q483">
            <v>129.80000000000001</v>
          </cell>
          <cell r="R483">
            <v>82.6</v>
          </cell>
          <cell r="S483">
            <v>73.900000000000006</v>
          </cell>
          <cell r="U483">
            <v>474</v>
          </cell>
          <cell r="BI483">
            <v>48.337768924302793</v>
          </cell>
        </row>
        <row r="484">
          <cell r="P484">
            <v>100.8317708</v>
          </cell>
          <cell r="Q484">
            <v>117.4</v>
          </cell>
          <cell r="R484">
            <v>78.8</v>
          </cell>
          <cell r="S484">
            <v>65.7</v>
          </cell>
          <cell r="U484">
            <v>445</v>
          </cell>
          <cell r="BI484">
            <v>44.369023034154083</v>
          </cell>
        </row>
        <row r="485">
          <cell r="P485">
            <v>93.443139934682037</v>
          </cell>
          <cell r="Q485">
            <v>110.2</v>
          </cell>
          <cell r="R485">
            <v>74.0723940850948</v>
          </cell>
          <cell r="S485">
            <v>68.3</v>
          </cell>
          <cell r="U485">
            <v>400</v>
          </cell>
          <cell r="BI485">
            <v>45.319462025316462</v>
          </cell>
        </row>
        <row r="486">
          <cell r="O486">
            <v>69.309625328857805</v>
          </cell>
          <cell r="P486">
            <v>89.919050349269668</v>
          </cell>
          <cell r="Q486">
            <v>107.3</v>
          </cell>
          <cell r="R486">
            <v>69.309625328857805</v>
          </cell>
          <cell r="S486">
            <v>58.7</v>
          </cell>
          <cell r="U486">
            <v>320.62833339243787</v>
          </cell>
          <cell r="BI486">
            <v>44.753840125391854</v>
          </cell>
          <cell r="BZ486">
            <v>500</v>
          </cell>
        </row>
        <row r="487">
          <cell r="O487">
            <v>65.953007348271797</v>
          </cell>
          <cell r="P487">
            <v>86.848832713417409</v>
          </cell>
          <cell r="Q487">
            <v>107.1</v>
          </cell>
          <cell r="R487">
            <v>65.953007348271797</v>
          </cell>
          <cell r="S487">
            <v>63.3</v>
          </cell>
          <cell r="U487">
            <v>316.98206493636093</v>
          </cell>
          <cell r="BI487">
            <v>49.162060889929741</v>
          </cell>
          <cell r="BZ487">
            <v>490</v>
          </cell>
        </row>
        <row r="488">
          <cell r="O488">
            <v>71.078653724031597</v>
          </cell>
          <cell r="P488">
            <v>94.243755601923283</v>
          </cell>
          <cell r="Q488">
            <v>119.1</v>
          </cell>
          <cell r="R488">
            <v>71.078653724031597</v>
          </cell>
          <cell r="S488">
            <v>75.599999999999994</v>
          </cell>
          <cell r="U488">
            <v>421.02700032411281</v>
          </cell>
          <cell r="BI488">
            <v>66.401244167962673</v>
          </cell>
          <cell r="BZ488">
            <v>490</v>
          </cell>
        </row>
        <row r="489">
          <cell r="O489">
            <v>69.218905923977104</v>
          </cell>
          <cell r="P489">
            <v>92.181239680667645</v>
          </cell>
          <cell r="Q489">
            <v>121.9</v>
          </cell>
          <cell r="R489">
            <v>69.218905923977104</v>
          </cell>
          <cell r="S489">
            <v>76.5</v>
          </cell>
          <cell r="U489">
            <v>406.07308384450073</v>
          </cell>
          <cell r="BI489">
            <v>52.266744186046509</v>
          </cell>
          <cell r="BZ489">
            <v>480</v>
          </cell>
        </row>
        <row r="490">
          <cell r="O490">
            <v>69.264265626417497</v>
          </cell>
          <cell r="P490">
            <v>90.058852717046193</v>
          </cell>
          <cell r="Q490">
            <v>124.3</v>
          </cell>
          <cell r="R490">
            <v>69.264265626417497</v>
          </cell>
          <cell r="S490">
            <v>80.5</v>
          </cell>
          <cell r="U490">
            <v>395.09022394961926</v>
          </cell>
          <cell r="BI490">
            <v>51.497368421052634</v>
          </cell>
          <cell r="BZ490">
            <v>440</v>
          </cell>
        </row>
        <row r="491">
          <cell r="O491">
            <v>71.033294021591203</v>
          </cell>
          <cell r="P491">
            <v>90.02951474190327</v>
          </cell>
          <cell r="Q491">
            <v>117.3</v>
          </cell>
          <cell r="R491">
            <v>71.033294021591203</v>
          </cell>
          <cell r="S491">
            <v>77.8</v>
          </cell>
          <cell r="U491">
            <v>382.32482349835908</v>
          </cell>
          <cell r="BI491">
            <v>52.001538461538466</v>
          </cell>
          <cell r="BZ491">
            <v>420</v>
          </cell>
        </row>
        <row r="492">
          <cell r="O492">
            <v>71.260092533792999</v>
          </cell>
          <cell r="P492">
            <v>90.191262496598057</v>
          </cell>
          <cell r="Q492">
            <v>131.4</v>
          </cell>
          <cell r="R492">
            <v>71.260092533792999</v>
          </cell>
          <cell r="S492">
            <v>74.3</v>
          </cell>
          <cell r="U492">
            <v>423.16094878441231</v>
          </cell>
          <cell r="BI492">
            <v>53.942113323124047</v>
          </cell>
          <cell r="BZ492">
            <v>420</v>
          </cell>
        </row>
        <row r="493">
          <cell r="O493">
            <v>80.830989748707296</v>
          </cell>
          <cell r="P493">
            <v>99.033320330218686</v>
          </cell>
          <cell r="Q493">
            <v>134.19999999999999</v>
          </cell>
          <cell r="R493">
            <v>80.830989748707296</v>
          </cell>
          <cell r="S493">
            <v>73.3</v>
          </cell>
          <cell r="U493">
            <v>498.12748599841166</v>
          </cell>
          <cell r="BI493">
            <v>53.491571753986342</v>
          </cell>
          <cell r="BZ493">
            <v>420</v>
          </cell>
        </row>
        <row r="494">
          <cell r="O494">
            <v>93.7</v>
          </cell>
          <cell r="P494">
            <v>113.3695977</v>
          </cell>
          <cell r="Q494">
            <v>137.5</v>
          </cell>
          <cell r="R494">
            <v>93.7</v>
          </cell>
          <cell r="S494">
            <v>69.7</v>
          </cell>
          <cell r="U494">
            <v>492.68127840625596</v>
          </cell>
          <cell r="BI494">
            <v>51.116063348416297</v>
          </cell>
          <cell r="BZ494">
            <v>420</v>
          </cell>
        </row>
        <row r="495">
          <cell r="O495">
            <v>88.269980948924996</v>
          </cell>
          <cell r="P495">
            <v>112.48879216184345</v>
          </cell>
          <cell r="Q495">
            <v>124.6</v>
          </cell>
          <cell r="R495">
            <v>88.269980948924996</v>
          </cell>
          <cell r="S495">
            <v>61.4</v>
          </cell>
          <cell r="U495">
            <v>415.57985148184866</v>
          </cell>
          <cell r="BI495">
            <v>45.974157303370795</v>
          </cell>
          <cell r="BZ495">
            <v>420</v>
          </cell>
        </row>
        <row r="496">
          <cell r="O496">
            <v>73.391998548489497</v>
          </cell>
          <cell r="P496">
            <v>94.760519277873499</v>
          </cell>
          <cell r="Q496">
            <v>117.3</v>
          </cell>
          <cell r="R496">
            <v>73.391998548489497</v>
          </cell>
          <cell r="S496">
            <v>58</v>
          </cell>
          <cell r="U496">
            <v>390.10021104441006</v>
          </cell>
          <cell r="BI496">
            <v>42.148206278026905</v>
          </cell>
          <cell r="BZ496">
            <v>420</v>
          </cell>
        </row>
        <row r="497">
          <cell r="O497">
            <v>69.099999999999994</v>
          </cell>
          <cell r="P497">
            <v>89.357286899999991</v>
          </cell>
          <cell r="Q497">
            <v>112.9</v>
          </cell>
          <cell r="R497">
            <v>69.099999999999994</v>
          </cell>
          <cell r="S497">
            <v>57.4</v>
          </cell>
          <cell r="U497">
            <v>370.4253153938227</v>
          </cell>
          <cell r="BI497">
            <v>37.619955323901713</v>
          </cell>
          <cell r="BZ497">
            <v>420</v>
          </cell>
        </row>
        <row r="498">
          <cell r="O498">
            <v>68.7</v>
          </cell>
          <cell r="P498">
            <v>87.527097600000019</v>
          </cell>
          <cell r="Q498">
            <v>111.1</v>
          </cell>
          <cell r="R498">
            <v>68.7</v>
          </cell>
          <cell r="S498">
            <v>54.7</v>
          </cell>
          <cell r="U498">
            <v>389.04457663699623</v>
          </cell>
          <cell r="BI498">
            <v>36.028709198813054</v>
          </cell>
          <cell r="BZ498">
            <v>420</v>
          </cell>
        </row>
        <row r="499">
          <cell r="O499">
            <v>68.220992470289403</v>
          </cell>
          <cell r="P499">
            <v>86.894647192234416</v>
          </cell>
          <cell r="Q499">
            <v>111.1</v>
          </cell>
          <cell r="R499">
            <v>68.220992470289403</v>
          </cell>
          <cell r="S499">
            <v>53.9</v>
          </cell>
          <cell r="U499">
            <v>393.65514238281429</v>
          </cell>
          <cell r="BI499">
            <v>35.606375092661231</v>
          </cell>
          <cell r="BZ499">
            <v>430</v>
          </cell>
        </row>
        <row r="500">
          <cell r="O500">
            <v>67.858114850766597</v>
          </cell>
          <cell r="P500">
            <v>87.536289576340394</v>
          </cell>
          <cell r="Q500">
            <v>109.6</v>
          </cell>
          <cell r="R500">
            <v>67.858114850766597</v>
          </cell>
          <cell r="S500">
            <v>54.4</v>
          </cell>
          <cell r="U500">
            <v>394.83901987644134</v>
          </cell>
          <cell r="BI500">
            <v>36.133876945885838</v>
          </cell>
          <cell r="BZ500">
            <v>445</v>
          </cell>
        </row>
        <row r="501">
          <cell r="O501">
            <v>63.140705796970003</v>
          </cell>
          <cell r="P501">
            <v>80.773568719949239</v>
          </cell>
          <cell r="Q501">
            <v>112.2</v>
          </cell>
          <cell r="R501">
            <v>63.140705796970003</v>
          </cell>
          <cell r="S501">
            <v>56.89</v>
          </cell>
          <cell r="U501">
            <v>409.62895668014914</v>
          </cell>
          <cell r="BI501">
            <v>35.922115384615388</v>
          </cell>
          <cell r="BZ501">
            <v>450</v>
          </cell>
        </row>
        <row r="502">
          <cell r="O502">
            <v>58.786174362696201</v>
          </cell>
          <cell r="P502">
            <v>77.258730291209318</v>
          </cell>
          <cell r="Q502">
            <v>104.7</v>
          </cell>
          <cell r="R502">
            <v>58.786174362696201</v>
          </cell>
          <cell r="S502">
            <v>49.82</v>
          </cell>
          <cell r="U502">
            <v>383.6121633746622</v>
          </cell>
          <cell r="BI502">
            <v>33.03669859985262</v>
          </cell>
          <cell r="BZ502">
            <v>440</v>
          </cell>
        </row>
        <row r="503">
          <cell r="O503">
            <v>57.833620611448801</v>
          </cell>
          <cell r="P503">
            <v>75.294400344733759</v>
          </cell>
          <cell r="Q503">
            <v>100.7</v>
          </cell>
          <cell r="R503">
            <v>57.833620611448801</v>
          </cell>
          <cell r="S503">
            <v>48.15</v>
          </cell>
          <cell r="U503">
            <v>375.72688263737064</v>
          </cell>
          <cell r="BI503">
            <v>32.67817781043351</v>
          </cell>
          <cell r="BZ503">
            <v>440</v>
          </cell>
        </row>
        <row r="504">
          <cell r="O504">
            <v>58.831534065136502</v>
          </cell>
          <cell r="P504">
            <v>75.667589494692862</v>
          </cell>
          <cell r="Q504">
            <v>101.1</v>
          </cell>
          <cell r="R504">
            <v>58.831534065136502</v>
          </cell>
          <cell r="S504">
            <v>48.22</v>
          </cell>
          <cell r="U504">
            <v>387.72333041324686</v>
          </cell>
          <cell r="BI504">
            <v>32.499706529713862</v>
          </cell>
          <cell r="BZ504">
            <v>428</v>
          </cell>
        </row>
        <row r="505">
          <cell r="O505">
            <v>56.971786265082102</v>
          </cell>
          <cell r="P505">
            <v>72.594019776830265</v>
          </cell>
          <cell r="Q505">
            <v>101.4</v>
          </cell>
          <cell r="R505">
            <v>56.971786265082102</v>
          </cell>
          <cell r="S505">
            <v>47.46</v>
          </cell>
          <cell r="U505">
            <v>369.59830243933629</v>
          </cell>
          <cell r="BI505">
            <v>32.014191660570596</v>
          </cell>
          <cell r="BZ505">
            <v>428</v>
          </cell>
        </row>
        <row r="506">
          <cell r="O506">
            <v>54.9759593577066</v>
          </cell>
          <cell r="P506">
            <v>68.762940397350988</v>
          </cell>
          <cell r="Q506">
            <v>105.4</v>
          </cell>
          <cell r="R506">
            <v>54.9759593577066</v>
          </cell>
          <cell r="U506">
            <v>348.55807134022882</v>
          </cell>
          <cell r="BI506">
            <v>31.791028446389497</v>
          </cell>
          <cell r="BZ506">
            <v>405</v>
          </cell>
        </row>
        <row r="507">
          <cell r="O507">
            <v>52.1636578064048</v>
          </cell>
          <cell r="P507">
            <v>66.560723033656913</v>
          </cell>
          <cell r="Q507">
            <v>107.3</v>
          </cell>
          <cell r="R507">
            <v>52.1636578064048</v>
          </cell>
          <cell r="U507">
            <v>337.76500179662236</v>
          </cell>
          <cell r="BI507">
            <v>30.708157319737801</v>
          </cell>
          <cell r="BZ507">
            <v>400</v>
          </cell>
        </row>
        <row r="508">
          <cell r="O508">
            <v>51.483262269799503</v>
          </cell>
          <cell r="P508">
            <v>65.600487616801232</v>
          </cell>
          <cell r="Q508">
            <v>107.8</v>
          </cell>
          <cell r="R508">
            <v>51.483262269799503</v>
          </cell>
          <cell r="U508">
            <v>328.72958129918516</v>
          </cell>
          <cell r="BI508">
            <v>29.67150108774474</v>
          </cell>
          <cell r="BZ508">
            <v>393</v>
          </cell>
        </row>
        <row r="509">
          <cell r="O509">
            <v>49.759593577066099</v>
          </cell>
          <cell r="P509">
            <v>65.490392452145471</v>
          </cell>
          <cell r="Q509">
            <v>100.3</v>
          </cell>
          <cell r="R509">
            <v>49.759593577066099</v>
          </cell>
          <cell r="U509">
            <v>322.9891868225053</v>
          </cell>
          <cell r="BI509">
            <v>31.129284164859001</v>
          </cell>
          <cell r="BZ509">
            <v>393</v>
          </cell>
        </row>
        <row r="510">
          <cell r="O510">
            <v>53.388369772294297</v>
          </cell>
          <cell r="P510">
            <v>71.203481493241398</v>
          </cell>
          <cell r="Q510">
            <v>97</v>
          </cell>
          <cell r="R510">
            <v>53.388369772294297</v>
          </cell>
          <cell r="U510">
            <v>341.10599146750502</v>
          </cell>
          <cell r="BI510">
            <v>29.949927745664741</v>
          </cell>
          <cell r="BZ510">
            <v>410</v>
          </cell>
        </row>
        <row r="511">
          <cell r="O511">
            <v>57.470742991926002</v>
          </cell>
          <cell r="P511">
            <v>76.160515966615293</v>
          </cell>
          <cell r="Q511">
            <v>100.2</v>
          </cell>
          <cell r="R511">
            <v>57.470742991926002</v>
          </cell>
          <cell r="U511">
            <v>356.73267955475325</v>
          </cell>
          <cell r="BI511">
            <v>29.372098053352559</v>
          </cell>
          <cell r="BZ511">
            <v>410</v>
          </cell>
        </row>
        <row r="512">
          <cell r="O512">
            <v>58.060419123650497</v>
          </cell>
          <cell r="P512">
            <v>75.560177810033508</v>
          </cell>
          <cell r="Q512">
            <v>101</v>
          </cell>
          <cell r="R512">
            <v>58.060419123650497</v>
          </cell>
          <cell r="U512">
            <v>336.56800058719665</v>
          </cell>
          <cell r="BI512">
            <v>30.161206896551729</v>
          </cell>
          <cell r="BZ512">
            <v>410</v>
          </cell>
        </row>
        <row r="513">
          <cell r="O513">
            <v>59.738728113943601</v>
          </cell>
          <cell r="P513">
            <v>78.676084142248058</v>
          </cell>
          <cell r="Q513">
            <v>100</v>
          </cell>
          <cell r="R513">
            <v>59.738728113943601</v>
          </cell>
          <cell r="U513">
            <v>336.69521278043385</v>
          </cell>
          <cell r="BI513">
            <v>30.861505376344088</v>
          </cell>
          <cell r="BZ513">
            <v>390</v>
          </cell>
        </row>
        <row r="514">
          <cell r="O514">
            <v>59.285131089540101</v>
          </cell>
          <cell r="P514">
            <v>78.119839381293716</v>
          </cell>
          <cell r="Q514">
            <v>101</v>
          </cell>
          <cell r="R514">
            <v>59.285131089540101</v>
          </cell>
          <cell r="U514">
            <v>332.40482068994822</v>
          </cell>
          <cell r="BI514">
            <v>30.031759656652362</v>
          </cell>
          <cell r="BZ514">
            <v>385</v>
          </cell>
        </row>
        <row r="515">
          <cell r="O515">
            <v>57.833620611448801</v>
          </cell>
          <cell r="P515">
            <v>77.235065317971532</v>
          </cell>
          <cell r="Q515">
            <v>104.3</v>
          </cell>
          <cell r="R515">
            <v>57.833620611448801</v>
          </cell>
          <cell r="U515">
            <v>326.33123333561502</v>
          </cell>
          <cell r="BI515">
            <v>31.595649072753215</v>
          </cell>
          <cell r="BZ515">
            <v>385</v>
          </cell>
        </row>
        <row r="516">
          <cell r="O516">
            <v>59.557289304182198</v>
          </cell>
          <cell r="P516">
            <v>80.028618570262225</v>
          </cell>
          <cell r="Q516">
            <v>114.3</v>
          </cell>
          <cell r="R516">
            <v>59.557289304182198</v>
          </cell>
          <cell r="U516">
            <v>340.1946820767298</v>
          </cell>
          <cell r="BI516">
            <v>35.934281650071128</v>
          </cell>
          <cell r="BZ516">
            <v>385</v>
          </cell>
        </row>
        <row r="517">
          <cell r="O517">
            <v>59.1944116846594</v>
          </cell>
          <cell r="P517">
            <v>82.975056246031087</v>
          </cell>
          <cell r="Q517">
            <v>114.5</v>
          </cell>
          <cell r="R517">
            <v>59.1944116846594</v>
          </cell>
          <cell r="U517">
            <v>329.79152869882336</v>
          </cell>
          <cell r="BI517">
            <v>37.372888573456358</v>
          </cell>
          <cell r="BZ517">
            <v>385</v>
          </cell>
        </row>
        <row r="518">
          <cell r="O518">
            <v>57.606822099246997</v>
          </cell>
          <cell r="P518">
            <v>80.681810759321365</v>
          </cell>
          <cell r="Q518">
            <v>109.9</v>
          </cell>
          <cell r="R518">
            <v>57.606822099246997</v>
          </cell>
          <cell r="U518">
            <v>313.8718608277988</v>
          </cell>
          <cell r="BI518">
            <v>35.529603399433427</v>
          </cell>
          <cell r="BZ518">
            <v>385</v>
          </cell>
        </row>
        <row r="519">
          <cell r="O519">
            <v>53.252290664973202</v>
          </cell>
          <cell r="P519">
            <v>76.577912274335418</v>
          </cell>
          <cell r="Q519">
            <v>102.2</v>
          </cell>
          <cell r="R519">
            <v>53.252290664973202</v>
          </cell>
          <cell r="U519">
            <v>286.08104798105796</v>
          </cell>
          <cell r="BI519">
            <v>30.611847672778559</v>
          </cell>
          <cell r="BZ519">
            <v>385</v>
          </cell>
        </row>
        <row r="520">
          <cell r="O520">
            <v>52.571895128367998</v>
          </cell>
          <cell r="P520">
            <v>77.050999228885118</v>
          </cell>
          <cell r="Q520">
            <v>97.9</v>
          </cell>
          <cell r="R520">
            <v>52.571895128367998</v>
          </cell>
          <cell r="U520">
            <v>252.4914130542312</v>
          </cell>
          <cell r="BI520">
            <v>26.14704641350211</v>
          </cell>
          <cell r="BZ520">
            <v>380</v>
          </cell>
        </row>
        <row r="521">
          <cell r="O521">
            <v>54.749160845504903</v>
          </cell>
          <cell r="P521">
            <v>79.507935861380815</v>
          </cell>
          <cell r="Q521">
            <v>100.3</v>
          </cell>
          <cell r="R521">
            <v>54.749160845504903</v>
          </cell>
          <cell r="U521">
            <v>259.74241970649513</v>
          </cell>
          <cell r="BI521">
            <v>25.735533707865169</v>
          </cell>
          <cell r="BZ521">
            <v>370</v>
          </cell>
        </row>
        <row r="522">
          <cell r="O522">
            <v>54.749160845504854</v>
          </cell>
          <cell r="P522">
            <v>80.679567903474549</v>
          </cell>
          <cell r="Q522">
            <v>102.4</v>
          </cell>
          <cell r="R522">
            <v>54.749160845504854</v>
          </cell>
          <cell r="U522">
            <v>269.10760130997636</v>
          </cell>
          <cell r="BI522">
            <v>24.666806722689078</v>
          </cell>
          <cell r="BZ522">
            <v>350</v>
          </cell>
        </row>
        <row r="523">
          <cell r="O523">
            <v>54.522362333303093</v>
          </cell>
          <cell r="P523">
            <v>78.370498140252195</v>
          </cell>
          <cell r="Q523">
            <v>100.3</v>
          </cell>
          <cell r="R523">
            <v>54.522362333303093</v>
          </cell>
          <cell r="U523">
            <v>273.97238526367357</v>
          </cell>
          <cell r="BI523">
            <v>23.355586592178778</v>
          </cell>
          <cell r="BZ523">
            <v>350</v>
          </cell>
        </row>
        <row r="524">
          <cell r="O524">
            <v>52.299736913725845</v>
          </cell>
          <cell r="P524">
            <v>74.09994085094803</v>
          </cell>
          <cell r="Q524">
            <v>97.7</v>
          </cell>
          <cell r="R524">
            <v>52.299736913725845</v>
          </cell>
          <cell r="U524">
            <v>270.97640409685118</v>
          </cell>
          <cell r="BI524">
            <v>22.826778242677822</v>
          </cell>
          <cell r="BZ524">
            <v>365</v>
          </cell>
        </row>
        <row r="525">
          <cell r="O525">
            <v>50.303910006350357</v>
          </cell>
          <cell r="P525">
            <v>70.691279869364053</v>
          </cell>
          <cell r="Q525">
            <v>88.6</v>
          </cell>
          <cell r="R525">
            <v>50.303910006350357</v>
          </cell>
          <cell r="U525">
            <v>271.00361967141731</v>
          </cell>
          <cell r="BI525">
            <v>23.612856150104243</v>
          </cell>
          <cell r="BZ525">
            <v>365</v>
          </cell>
        </row>
        <row r="526">
          <cell r="O526">
            <v>50.984305542955639</v>
          </cell>
          <cell r="P526">
            <v>75.320287217635851</v>
          </cell>
          <cell r="Q526">
            <v>81.420665880431827</v>
          </cell>
          <cell r="R526">
            <v>50.984305542955639</v>
          </cell>
          <cell r="U526">
            <v>261.51302360736236</v>
          </cell>
          <cell r="BI526">
            <v>22.760103001416617</v>
          </cell>
          <cell r="BZ526">
            <v>375</v>
          </cell>
        </row>
        <row r="527">
          <cell r="O527">
            <v>52.844053343010074</v>
          </cell>
          <cell r="P527">
            <v>78.61356164383561</v>
          </cell>
          <cell r="Q527">
            <v>84.096888324412589</v>
          </cell>
          <cell r="R527">
            <v>52.844053343010074</v>
          </cell>
          <cell r="U527">
            <v>251.03687215525085</v>
          </cell>
          <cell r="BI527">
            <v>22.052700831024929</v>
          </cell>
          <cell r="BZ527">
            <v>375</v>
          </cell>
        </row>
        <row r="528">
          <cell r="O528">
            <v>54.522362333303093</v>
          </cell>
          <cell r="P528">
            <v>79.781046176177085</v>
          </cell>
          <cell r="Q528">
            <v>87.40814660255829</v>
          </cell>
          <cell r="R528">
            <v>54.522362333303093</v>
          </cell>
          <cell r="U528">
            <v>228.54278741914712</v>
          </cell>
          <cell r="BI528">
            <v>21.653112033195022</v>
          </cell>
          <cell r="BZ528">
            <v>383</v>
          </cell>
        </row>
        <row r="529">
          <cell r="O529">
            <v>53.161571260092536</v>
          </cell>
          <cell r="P529">
            <v>79.250984486981778</v>
          </cell>
          <cell r="Q529">
            <v>88.360700353805683</v>
          </cell>
          <cell r="R529">
            <v>53.161571260092536</v>
          </cell>
          <cell r="U529">
            <v>214.25137082257132</v>
          </cell>
          <cell r="BI529">
            <v>21.608281573498967</v>
          </cell>
          <cell r="BZ529">
            <v>365</v>
          </cell>
        </row>
        <row r="530">
          <cell r="O530">
            <v>50.576068220992475</v>
          </cell>
          <cell r="P530">
            <v>78.376063911820737</v>
          </cell>
          <cell r="Q530">
            <v>84.459765943935409</v>
          </cell>
          <cell r="R530">
            <v>50.576068220992475</v>
          </cell>
          <cell r="U530">
            <v>197.52115598565328</v>
          </cell>
          <cell r="BI530">
            <v>20.842866988283944</v>
          </cell>
          <cell r="BZ530">
            <v>365</v>
          </cell>
        </row>
        <row r="531">
          <cell r="O531">
            <v>49.305996552662613</v>
          </cell>
          <cell r="P531">
            <v>74.021909280595111</v>
          </cell>
          <cell r="Q531">
            <v>74.662070216819373</v>
          </cell>
          <cell r="R531">
            <v>49.305996552662613</v>
          </cell>
          <cell r="U531">
            <v>201.89420398980326</v>
          </cell>
          <cell r="BI531">
            <v>21.245435827041867</v>
          </cell>
          <cell r="BZ531">
            <v>365</v>
          </cell>
        </row>
        <row r="532">
          <cell r="O532">
            <v>47.038011430645014</v>
          </cell>
          <cell r="P532">
            <v>71.497777374580423</v>
          </cell>
          <cell r="Q532">
            <v>73.936314977773748</v>
          </cell>
          <cell r="R532">
            <v>47.038011430645014</v>
          </cell>
          <cell r="U532">
            <v>210.29185817221853</v>
          </cell>
          <cell r="BI532">
            <v>22.329276643232895</v>
          </cell>
          <cell r="BZ532">
            <v>365</v>
          </cell>
        </row>
        <row r="533">
          <cell r="O533">
            <v>49.651594285541499</v>
          </cell>
          <cell r="P533">
            <v>73.329794129590525</v>
          </cell>
          <cell r="Q533">
            <v>78.209999999999994</v>
          </cell>
          <cell r="R533">
            <v>49.651594285541499</v>
          </cell>
          <cell r="U533">
            <v>232.28708888822652</v>
          </cell>
          <cell r="BI533">
            <v>25.396954051719124</v>
          </cell>
          <cell r="BZ533">
            <v>350</v>
          </cell>
        </row>
        <row r="534">
          <cell r="U534">
            <v>253.08896771325669</v>
          </cell>
          <cell r="BI534">
            <v>26.99751860119601</v>
          </cell>
          <cell r="BZ534">
            <v>345</v>
          </cell>
        </row>
        <row r="535">
          <cell r="U535">
            <v>264.31539222178878</v>
          </cell>
          <cell r="BI535">
            <v>26.624373275991417</v>
          </cell>
          <cell r="BZ535">
            <v>345</v>
          </cell>
        </row>
        <row r="536">
          <cell r="U536">
            <v>253.54463137293109</v>
          </cell>
          <cell r="BI536">
            <v>24.719013417468581</v>
          </cell>
          <cell r="BZ536">
            <v>358</v>
          </cell>
        </row>
        <row r="537">
          <cell r="U537">
            <v>245.37466535586273</v>
          </cell>
          <cell r="BI537">
            <v>24.072669773285213</v>
          </cell>
          <cell r="BZ537">
            <v>358</v>
          </cell>
        </row>
        <row r="538">
          <cell r="U538">
            <v>276.17911476807797</v>
          </cell>
          <cell r="BI538">
            <v>25.886883596677752</v>
          </cell>
          <cell r="BZ538">
            <v>405</v>
          </cell>
        </row>
        <row r="539">
          <cell r="U539">
            <v>285.03778428935601</v>
          </cell>
          <cell r="BI539">
            <v>28.627362187305039</v>
          </cell>
          <cell r="BZ539">
            <v>425</v>
          </cell>
        </row>
        <row r="540">
          <cell r="U540">
            <v>282.54950318616619</v>
          </cell>
          <cell r="BI540">
            <v>31.524967014398204</v>
          </cell>
          <cell r="BZ540">
            <v>435</v>
          </cell>
        </row>
        <row r="541">
          <cell r="U541">
            <v>273.85995902112057</v>
          </cell>
          <cell r="BI541">
            <v>31.14360684482039</v>
          </cell>
          <cell r="BZ541">
            <v>435</v>
          </cell>
        </row>
        <row r="542">
          <cell r="U542">
            <v>288.78817293600792</v>
          </cell>
          <cell r="BI542">
            <v>33.138935742971881</v>
          </cell>
          <cell r="BZ542">
            <v>435</v>
          </cell>
        </row>
        <row r="543">
          <cell r="U543">
            <v>306.19249359894008</v>
          </cell>
          <cell r="BI543">
            <v>34.639926421404681</v>
          </cell>
          <cell r="BZ543">
            <v>435</v>
          </cell>
        </row>
        <row r="544">
          <cell r="U544">
            <v>342.85438595478422</v>
          </cell>
          <cell r="BI544">
            <v>35.912301534356239</v>
          </cell>
          <cell r="BZ544">
            <v>490</v>
          </cell>
        </row>
        <row r="545">
          <cell r="U545">
            <v>388.27099454781325</v>
          </cell>
          <cell r="BI545">
            <v>34.075785619174439</v>
          </cell>
          <cell r="BZ545">
            <v>515</v>
          </cell>
        </row>
        <row r="546">
          <cell r="U546">
            <v>435.2655959282045</v>
          </cell>
          <cell r="BI546">
            <v>35.719918837384114</v>
          </cell>
          <cell r="BZ546">
            <v>510</v>
          </cell>
        </row>
        <row r="547">
          <cell r="U547">
            <v>385.95086681604994</v>
          </cell>
          <cell r="BI547">
            <v>31.013818903241191</v>
          </cell>
          <cell r="BZ547">
            <v>530</v>
          </cell>
        </row>
        <row r="548">
          <cell r="U548">
            <v>341.81381154910656</v>
          </cell>
          <cell r="BI548">
            <v>31.230472060440498</v>
          </cell>
          <cell r="BZ548">
            <v>580</v>
          </cell>
        </row>
        <row r="549">
          <cell r="U549">
            <v>335.66631286419732</v>
          </cell>
        </row>
        <row r="835">
          <cell r="DI835">
            <v>17.599564546856573</v>
          </cell>
        </row>
        <row r="836">
          <cell r="DI836">
            <v>18.325319785902206</v>
          </cell>
        </row>
        <row r="837">
          <cell r="DI837">
            <v>19.459312346911005</v>
          </cell>
        </row>
        <row r="838">
          <cell r="DI838">
            <v>21.818016873809309</v>
          </cell>
        </row>
        <row r="839">
          <cell r="DI839">
            <v>25.582872176358524</v>
          </cell>
        </row>
        <row r="840">
          <cell r="DI840">
            <v>32.477546947292026</v>
          </cell>
        </row>
        <row r="841">
          <cell r="DI841">
            <v>35.743445522997369</v>
          </cell>
        </row>
        <row r="842">
          <cell r="DI842">
            <v>39.735099337748345</v>
          </cell>
        </row>
        <row r="843">
          <cell r="DI843">
            <v>44.134990474462491</v>
          </cell>
        </row>
        <row r="844">
          <cell r="DI844">
            <v>48.670960718497689</v>
          </cell>
        </row>
        <row r="845">
          <cell r="DI845">
            <v>55.837793704073306</v>
          </cell>
        </row>
        <row r="846">
          <cell r="DI846">
            <v>58.060419123650547</v>
          </cell>
        </row>
        <row r="847">
          <cell r="DI847">
            <v>54.749160845504854</v>
          </cell>
        </row>
        <row r="848">
          <cell r="DI848">
            <v>52.889413045450425</v>
          </cell>
        </row>
        <row r="849">
          <cell r="DI849">
            <v>50.984305542955639</v>
          </cell>
        </row>
        <row r="850">
          <cell r="DI850">
            <v>49.12455774290121</v>
          </cell>
        </row>
        <row r="851">
          <cell r="DI851">
            <v>45.450421845232697</v>
          </cell>
        </row>
        <row r="852">
          <cell r="DI852">
            <v>45.677220357434457</v>
          </cell>
        </row>
        <row r="853">
          <cell r="DI853">
            <v>51.301823460038101</v>
          </cell>
        </row>
        <row r="854">
          <cell r="DI854">
            <v>60.6</v>
          </cell>
        </row>
        <row r="855">
          <cell r="DI855">
            <v>63.70000000000001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Data"/>
      <sheetName val="Methodology"/>
      <sheetName val="ForecasterTable"/>
      <sheetName val="ChinaTable"/>
      <sheetName val="Charts"/>
      <sheetName val="Annual (summary)"/>
      <sheetName val="Summary"/>
      <sheetName val="IronOreSum"/>
      <sheetName val="ChinaFE"/>
      <sheetName val="MonthlyData"/>
      <sheetName val="LRDATA"/>
      <sheetName val="Taiwa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llion_Hectolitres_Pure_Alcoho"/>
      <sheetName val="FST_graphs"/>
      <sheetName val="BOARDNEW"/>
      <sheetName val="D1+2"/>
      <sheetName val="D3"/>
      <sheetName val="E2"/>
      <sheetName val="F1"/>
      <sheetName val="G2&amp;g3_FY_"/>
      <sheetName val="G2&amp;g3__(calendar)"/>
      <sheetName val="F1_calendar"/>
      <sheetName val="tax_ben"/>
      <sheetName val="Dept"/>
      <sheetName val=""/>
      <sheetName val="%govtax"/>
      <sheetName val="J1"/>
      <sheetName val="M1"/>
      <sheetName val="G2&amp;g3_"/>
      <sheetName val="Sheet1"/>
      <sheetName val="Million Hectolitres Pure Alcoho"/>
      <sheetName val="FST graphs"/>
      <sheetName val="G2&amp;g3 FY "/>
      <sheetName val="G2&amp;g3  (calendar)"/>
      <sheetName val="F1 calendar"/>
      <sheetName val="tax ben"/>
      <sheetName val="G2&amp;g3 "/>
    </sheetNames>
    <sheetDataSet>
      <sheetData sheetId="0"/>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wth (LS)"/>
      <sheetName val="Growth"/>
      <sheetName val="Summary"/>
      <sheetName val="Tables 2003"/>
      <sheetName val="TABLES"/>
      <sheetName val="Ratios"/>
      <sheetName val="valuation"/>
      <sheetName val="Fin"/>
      <sheetName val="Depreciation"/>
      <sheetName val="Division"/>
      <sheetName val="Equity"/>
      <sheetName val="Tax"/>
      <sheetName val="Econ"/>
      <sheetName val="Strat"/>
      <sheetName val="Bal"/>
      <sheetName val="CUB"/>
      <sheetName val="ALH"/>
      <sheetName val="Mol"/>
      <sheetName val="Asia"/>
      <sheetName val="Intern"/>
      <sheetName val="Beringer BLass"/>
      <sheetName val="Beringer P&amp;L"/>
      <sheetName val="Ber COGS"/>
      <sheetName val="Berringer"/>
      <sheetName val="Beringer ws"/>
      <sheetName val="ROIC"/>
      <sheetName val="Beringer ROICl"/>
      <sheetName val="Res Fin"/>
      <sheetName val="Molson USA"/>
      <sheetName val="Foster's USA LLC"/>
      <sheetName val="Assoc "/>
      <sheetName val="DCF"/>
      <sheetName val="GRAPH1"/>
      <sheetName val="assumpt"/>
      <sheetName val="Cou"/>
      <sheetName val="Revenue"/>
      <sheetName val="EBIT"/>
      <sheetName val="Sheet2"/>
      <sheetName val="Sheet1"/>
      <sheetName val="BU_B3"/>
      <sheetName val="BU_B4 (old)"/>
      <sheetName val="BU_B4"/>
      <sheetName val="Check"/>
      <sheetName val="SHEET"/>
      <sheetName val="Chart1"/>
      <sheetName val="BU_FXya"/>
      <sheetName val="BU_B2wrong"/>
      <sheetName val="BU_B2"/>
      <sheetName val="leecheck"/>
      <sheetName val="three-years"/>
      <sheetName val="TEST2"/>
      <sheetName val="Magazines"/>
      <sheetName val="YQAD"/>
      <sheetName val="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A7" t="str">
            <v>Year 30 June</v>
          </cell>
        </row>
        <row r="14">
          <cell r="C14">
            <v>7.8331312494902701</v>
          </cell>
          <cell r="D14">
            <v>7.1468655227907751</v>
          </cell>
          <cell r="E14">
            <v>10.455338944107316</v>
          </cell>
          <cell r="F14">
            <v>7.8083681778056659</v>
          </cell>
        </row>
        <row r="16">
          <cell r="C16">
            <v>13.963256094854962</v>
          </cell>
          <cell r="D16">
            <v>8.3548605417224238</v>
          </cell>
          <cell r="E16">
            <v>14.081387758652729</v>
          </cell>
          <cell r="F16">
            <v>9.1053609983836505</v>
          </cell>
        </row>
        <row r="17">
          <cell r="C17">
            <v>4.5833333333333339</v>
          </cell>
          <cell r="D17">
            <v>5.416666666666667</v>
          </cell>
          <cell r="E17">
            <v>4.5833333333333339</v>
          </cell>
          <cell r="F17">
            <v>5.8333333333333339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Interface"/>
      <sheetName val="Page Details"/>
      <sheetName val="Page Sizes"/>
      <sheetName val="Sample Layout"/>
      <sheetName val="INDOSAT"/>
      <sheetName val="ol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Gaming"/>
      <sheetName val="Monthly Data"/>
      <sheetName val="Quarterly"/>
      <sheetName val="Rooms Project"/>
      <sheetName val="Mainland China Visitors"/>
      <sheetName val="Sensitivity"/>
      <sheetName val="Win per Visitor"/>
      <sheetName val="Macau Market Share"/>
      <sheetName val="Exhibits"/>
      <sheetName val="Exhibits2"/>
      <sheetName val="Charts"/>
      <sheetName val="Charts2"/>
      <sheetName val="Timeline"/>
      <sheetName val="Conferences"/>
      <sheetName val="Condos"/>
      <sheetName val="List"/>
      <sheetName val="Gaming Detail"/>
      <sheetName val="Projects"/>
      <sheetName val="IVS"/>
      <sheetName val="China GDP"/>
      <sheetName val="Macau Airlines"/>
      <sheetName val="DSF Taxes"/>
      <sheetName val="HK Visitation"/>
      <sheetName val="Macau Stats"/>
      <sheetName val="Notes"/>
      <sheetName val="Links"/>
    </sheetNames>
    <sheetDataSet>
      <sheetData sheetId="0" refreshError="1"/>
      <sheetData sheetId="1" refreshError="1">
        <row r="1">
          <cell r="A1" t="str">
            <v>Macau Gaming Market</v>
          </cell>
          <cell r="BN1" t="str">
            <v>GamingTag</v>
          </cell>
        </row>
        <row r="2">
          <cell r="A2" t="str">
            <v>Days in Quarter</v>
          </cell>
          <cell r="B2">
            <v>365</v>
          </cell>
          <cell r="C2">
            <v>365</v>
          </cell>
          <cell r="D2">
            <v>365</v>
          </cell>
          <cell r="E2">
            <v>366</v>
          </cell>
          <cell r="F2">
            <v>365</v>
          </cell>
          <cell r="G2">
            <v>365</v>
          </cell>
          <cell r="H2">
            <v>365</v>
          </cell>
          <cell r="I2">
            <v>91</v>
          </cell>
          <cell r="J2">
            <v>91</v>
          </cell>
          <cell r="K2">
            <v>92</v>
          </cell>
          <cell r="L2">
            <v>92</v>
          </cell>
          <cell r="M2">
            <v>366</v>
          </cell>
          <cell r="N2">
            <v>90</v>
          </cell>
          <cell r="O2">
            <v>91</v>
          </cell>
          <cell r="P2">
            <v>92</v>
          </cell>
          <cell r="Q2">
            <v>92</v>
          </cell>
          <cell r="R2">
            <v>365</v>
          </cell>
          <cell r="S2">
            <v>90</v>
          </cell>
          <cell r="T2">
            <v>91</v>
          </cell>
          <cell r="U2">
            <v>92</v>
          </cell>
          <cell r="V2">
            <v>92</v>
          </cell>
          <cell r="W2">
            <v>365</v>
          </cell>
          <cell r="X2">
            <v>90</v>
          </cell>
          <cell r="Y2">
            <v>91</v>
          </cell>
          <cell r="Z2">
            <v>92</v>
          </cell>
          <cell r="AA2">
            <v>92</v>
          </cell>
          <cell r="AB2">
            <v>365</v>
          </cell>
          <cell r="AC2">
            <v>91</v>
          </cell>
          <cell r="AD2">
            <v>91</v>
          </cell>
          <cell r="AE2">
            <v>92</v>
          </cell>
          <cell r="AF2">
            <v>92</v>
          </cell>
          <cell r="AG2">
            <v>366</v>
          </cell>
          <cell r="AH2">
            <v>90</v>
          </cell>
          <cell r="AI2">
            <v>91</v>
          </cell>
          <cell r="AJ2">
            <v>92</v>
          </cell>
          <cell r="AK2">
            <v>92</v>
          </cell>
          <cell r="AL2">
            <v>365</v>
          </cell>
          <cell r="AM2">
            <v>90</v>
          </cell>
          <cell r="AN2">
            <v>91</v>
          </cell>
          <cell r="AO2">
            <v>92</v>
          </cell>
          <cell r="AP2">
            <v>92</v>
          </cell>
          <cell r="AQ2">
            <v>365</v>
          </cell>
          <cell r="AR2">
            <v>90</v>
          </cell>
          <cell r="AS2">
            <v>91</v>
          </cell>
          <cell r="AT2">
            <v>92</v>
          </cell>
          <cell r="AU2">
            <v>92</v>
          </cell>
          <cell r="AV2">
            <v>365</v>
          </cell>
          <cell r="AW2">
            <v>365</v>
          </cell>
          <cell r="AX2">
            <v>365</v>
          </cell>
          <cell r="AY2">
            <v>365</v>
          </cell>
          <cell r="AZ2">
            <v>365</v>
          </cell>
          <cell r="BA2">
            <v>366</v>
          </cell>
          <cell r="BB2">
            <v>365</v>
          </cell>
          <cell r="BC2">
            <v>365</v>
          </cell>
          <cell r="BD2">
            <v>365</v>
          </cell>
          <cell r="BE2">
            <v>366</v>
          </cell>
          <cell r="BF2">
            <v>365</v>
          </cell>
          <cell r="BG2">
            <v>365</v>
          </cell>
          <cell r="BH2">
            <v>365</v>
          </cell>
          <cell r="BI2">
            <v>366</v>
          </cell>
          <cell r="BK2">
            <v>365</v>
          </cell>
          <cell r="BN2" t="str">
            <v>gt:daysRow</v>
          </cell>
        </row>
        <row r="3">
          <cell r="B3">
            <v>34334</v>
          </cell>
          <cell r="C3">
            <v>34699</v>
          </cell>
          <cell r="D3">
            <v>35064</v>
          </cell>
          <cell r="E3">
            <v>35430</v>
          </cell>
          <cell r="F3">
            <v>35795</v>
          </cell>
          <cell r="G3">
            <v>36160</v>
          </cell>
          <cell r="H3">
            <v>36525</v>
          </cell>
          <cell r="I3">
            <v>36616</v>
          </cell>
          <cell r="J3">
            <v>36707</v>
          </cell>
          <cell r="K3">
            <v>36799</v>
          </cell>
          <cell r="L3">
            <v>36891</v>
          </cell>
          <cell r="M3">
            <v>36891</v>
          </cell>
          <cell r="N3">
            <v>36981</v>
          </cell>
          <cell r="O3">
            <v>37072</v>
          </cell>
          <cell r="P3">
            <v>37164</v>
          </cell>
          <cell r="Q3">
            <v>37256</v>
          </cell>
          <cell r="R3">
            <v>37256</v>
          </cell>
          <cell r="S3">
            <v>37346</v>
          </cell>
          <cell r="T3">
            <v>37437</v>
          </cell>
          <cell r="U3">
            <v>37529</v>
          </cell>
          <cell r="V3">
            <v>37621</v>
          </cell>
          <cell r="W3">
            <v>37621</v>
          </cell>
          <cell r="X3">
            <v>37711</v>
          </cell>
          <cell r="Y3">
            <v>37802</v>
          </cell>
          <cell r="Z3">
            <v>37894</v>
          </cell>
          <cell r="AA3">
            <v>37986</v>
          </cell>
          <cell r="AB3">
            <v>37986</v>
          </cell>
          <cell r="AC3">
            <v>38077</v>
          </cell>
          <cell r="AD3">
            <v>38168</v>
          </cell>
          <cell r="AE3">
            <v>38260</v>
          </cell>
          <cell r="AF3">
            <v>38352</v>
          </cell>
          <cell r="AG3">
            <v>38352</v>
          </cell>
          <cell r="AH3">
            <v>38442</v>
          </cell>
          <cell r="AI3">
            <v>38533</v>
          </cell>
          <cell r="AJ3">
            <v>38625</v>
          </cell>
          <cell r="AK3">
            <v>38717</v>
          </cell>
          <cell r="AL3">
            <v>38717</v>
          </cell>
          <cell r="AM3">
            <v>38807</v>
          </cell>
          <cell r="AN3">
            <v>38898</v>
          </cell>
          <cell r="AO3">
            <v>38990</v>
          </cell>
          <cell r="AP3">
            <v>39082</v>
          </cell>
          <cell r="AQ3">
            <v>39082</v>
          </cell>
          <cell r="AR3">
            <v>39172</v>
          </cell>
          <cell r="AS3">
            <v>39263</v>
          </cell>
          <cell r="AT3">
            <v>39355</v>
          </cell>
          <cell r="AU3">
            <v>39447</v>
          </cell>
          <cell r="AV3">
            <v>39447</v>
          </cell>
          <cell r="AW3">
            <v>39813</v>
          </cell>
          <cell r="AX3">
            <v>40178</v>
          </cell>
          <cell r="AY3">
            <v>40543</v>
          </cell>
          <cell r="AZ3">
            <v>40908</v>
          </cell>
          <cell r="BA3">
            <v>41274</v>
          </cell>
          <cell r="BB3">
            <v>41639</v>
          </cell>
          <cell r="BC3">
            <v>42004</v>
          </cell>
          <cell r="BD3">
            <v>42369</v>
          </cell>
          <cell r="BE3">
            <v>42735</v>
          </cell>
          <cell r="BF3">
            <v>43100</v>
          </cell>
          <cell r="BG3">
            <v>43465</v>
          </cell>
          <cell r="BH3">
            <v>43830</v>
          </cell>
          <cell r="BI3">
            <v>44196</v>
          </cell>
          <cell r="BK3">
            <v>39447</v>
          </cell>
        </row>
        <row r="5">
          <cell r="B5">
            <v>1993</v>
          </cell>
          <cell r="C5">
            <v>1994</v>
          </cell>
          <cell r="D5">
            <v>1995</v>
          </cell>
          <cell r="E5">
            <v>1996</v>
          </cell>
          <cell r="F5">
            <v>1997</v>
          </cell>
          <cell r="G5">
            <v>1998</v>
          </cell>
          <cell r="H5">
            <v>1999</v>
          </cell>
          <cell r="I5" t="str">
            <v>1Q00</v>
          </cell>
          <cell r="J5" t="str">
            <v>2Q00</v>
          </cell>
          <cell r="K5" t="str">
            <v>3Q00</v>
          </cell>
          <cell r="L5" t="str">
            <v>4Q00</v>
          </cell>
          <cell r="M5">
            <v>2000</v>
          </cell>
          <cell r="N5" t="str">
            <v>1Q01</v>
          </cell>
          <cell r="O5" t="str">
            <v>2Q01</v>
          </cell>
          <cell r="P5" t="str">
            <v>3Q01</v>
          </cell>
          <cell r="Q5" t="str">
            <v>4Q01</v>
          </cell>
          <cell r="R5">
            <v>2001</v>
          </cell>
          <cell r="S5" t="str">
            <v>1Q02</v>
          </cell>
          <cell r="T5" t="str">
            <v>2Q02</v>
          </cell>
          <cell r="U5" t="str">
            <v>3Q02</v>
          </cell>
          <cell r="V5" t="str">
            <v>4Q02</v>
          </cell>
          <cell r="W5">
            <v>2002</v>
          </cell>
          <cell r="X5" t="str">
            <v>1Q03</v>
          </cell>
          <cell r="Y5" t="str">
            <v>2Q03</v>
          </cell>
          <cell r="Z5" t="str">
            <v>3Q03</v>
          </cell>
          <cell r="AA5" t="str">
            <v>4Q03</v>
          </cell>
          <cell r="AB5">
            <v>2003</v>
          </cell>
          <cell r="AC5" t="str">
            <v>1Q04</v>
          </cell>
          <cell r="AD5" t="str">
            <v>2Q04</v>
          </cell>
          <cell r="AE5" t="str">
            <v>3Q04</v>
          </cell>
          <cell r="AF5" t="str">
            <v>4Q04</v>
          </cell>
          <cell r="AG5">
            <v>2004</v>
          </cell>
          <cell r="AH5" t="str">
            <v>1Q05</v>
          </cell>
          <cell r="AI5" t="str">
            <v>2Q05</v>
          </cell>
          <cell r="AJ5" t="str">
            <v>3Q05</v>
          </cell>
          <cell r="AK5" t="str">
            <v>4Q05</v>
          </cell>
          <cell r="AL5">
            <v>2005</v>
          </cell>
          <cell r="AM5" t="str">
            <v>1Q06</v>
          </cell>
          <cell r="AN5" t="str">
            <v>2Q06</v>
          </cell>
          <cell r="AO5" t="str">
            <v>3Q06</v>
          </cell>
          <cell r="AP5" t="str">
            <v>4Q06</v>
          </cell>
          <cell r="AQ5">
            <v>2006</v>
          </cell>
          <cell r="AR5" t="str">
            <v>1Q07E</v>
          </cell>
          <cell r="AS5" t="str">
            <v>2Q07E</v>
          </cell>
          <cell r="AT5" t="str">
            <v>3Q07E</v>
          </cell>
          <cell r="AU5" t="str">
            <v>4Q07E</v>
          </cell>
          <cell r="AV5" t="str">
            <v>2007E</v>
          </cell>
          <cell r="AW5" t="str">
            <v>2008E</v>
          </cell>
          <cell r="AX5" t="str">
            <v>2009E</v>
          </cell>
          <cell r="AY5" t="str">
            <v>2010E</v>
          </cell>
          <cell r="AZ5" t="str">
            <v>2011E</v>
          </cell>
          <cell r="BA5" t="str">
            <v>2012E</v>
          </cell>
          <cell r="BB5" t="str">
            <v>2013E</v>
          </cell>
          <cell r="BC5" t="str">
            <v>2014E</v>
          </cell>
          <cell r="BD5" t="str">
            <v>2015E</v>
          </cell>
          <cell r="BE5" t="str">
            <v>2016E</v>
          </cell>
          <cell r="BF5" t="str">
            <v>2017E</v>
          </cell>
          <cell r="BG5" t="str">
            <v>2018E</v>
          </cell>
          <cell r="BH5" t="str">
            <v>2019E</v>
          </cell>
          <cell r="BI5" t="str">
            <v>2020E</v>
          </cell>
          <cell r="BK5" t="str">
            <v>2007E</v>
          </cell>
          <cell r="BN5" t="str">
            <v>gt:dateRow</v>
          </cell>
        </row>
        <row r="7">
          <cell r="A7" t="str">
            <v>Market Stats</v>
          </cell>
        </row>
        <row r="8">
          <cell r="A8" t="str">
            <v>Total Casino Revenue (US$ mm)</v>
          </cell>
          <cell r="C8">
            <v>1932.6084017502599</v>
          </cell>
          <cell r="D8">
            <v>2185.8227182330293</v>
          </cell>
          <cell r="E8">
            <v>2055.1445888483158</v>
          </cell>
          <cell r="F8">
            <v>2224.660161928372</v>
          </cell>
          <cell r="G8">
            <v>1814.9949815199464</v>
          </cell>
          <cell r="H8">
            <v>1621.756107296324</v>
          </cell>
          <cell r="I8">
            <v>525.02414254733333</v>
          </cell>
          <cell r="J8">
            <v>475.49036163673679</v>
          </cell>
          <cell r="K8">
            <v>511.76567318805417</v>
          </cell>
          <cell r="L8">
            <v>474.46814492903269</v>
          </cell>
          <cell r="M8">
            <v>1986.748322301157</v>
          </cell>
          <cell r="N8">
            <v>548.46985485693131</v>
          </cell>
          <cell r="O8">
            <v>560.85132357778127</v>
          </cell>
          <cell r="P8">
            <v>565.63051125219295</v>
          </cell>
          <cell r="Q8">
            <v>580.99063184734734</v>
          </cell>
          <cell r="R8">
            <v>2255.9423215342531</v>
          </cell>
          <cell r="S8">
            <v>609.58509393554687</v>
          </cell>
          <cell r="T8">
            <v>669.27221552802428</v>
          </cell>
          <cell r="U8">
            <v>667.43454308014293</v>
          </cell>
          <cell r="V8">
            <v>748.1803776184322</v>
          </cell>
          <cell r="W8">
            <v>2694.4722301621464</v>
          </cell>
          <cell r="X8">
            <v>835.80358172344654</v>
          </cell>
          <cell r="Y8">
            <v>648.36718437499371</v>
          </cell>
          <cell r="Z8">
            <v>949.70951060080347</v>
          </cell>
          <cell r="AA8">
            <v>1044.1917159822819</v>
          </cell>
          <cell r="AB8">
            <v>3478.0719926815259</v>
          </cell>
          <cell r="AC8">
            <v>1132.7191437639356</v>
          </cell>
          <cell r="AD8">
            <v>1165.1180179880098</v>
          </cell>
          <cell r="AE8">
            <v>1357.7733684226248</v>
          </cell>
          <cell r="AF8">
            <v>1356.9500868402138</v>
          </cell>
          <cell r="AG8">
            <v>5012.5606170147839</v>
          </cell>
          <cell r="AH8">
            <v>1319.8510694529909</v>
          </cell>
          <cell r="AI8">
            <v>1413.5250785261996</v>
          </cell>
          <cell r="AJ8">
            <v>1423.9329589758054</v>
          </cell>
          <cell r="AK8">
            <v>1425.7426089644091</v>
          </cell>
          <cell r="AL8">
            <v>5583.0517159194042</v>
          </cell>
          <cell r="AM8">
            <v>1545.7648858328209</v>
          </cell>
          <cell r="AN8">
            <v>1584.3034551048329</v>
          </cell>
          <cell r="AO8">
            <v>1691.4330745215916</v>
          </cell>
          <cell r="AP8">
            <v>2050.9176096994534</v>
          </cell>
          <cell r="AQ8">
            <v>6872.4190251586988</v>
          </cell>
          <cell r="AR8">
            <v>2223.1274359793588</v>
          </cell>
          <cell r="AS8">
            <v>1984.7636679356945</v>
          </cell>
          <cell r="AT8">
            <v>2098.9240474876715</v>
          </cell>
          <cell r="AU8">
            <v>2404.494797420567</v>
          </cell>
          <cell r="AV8">
            <v>8711.3099488232911</v>
          </cell>
          <cell r="AW8">
            <v>9975.4970811944731</v>
          </cell>
          <cell r="AX8">
            <v>11495.287373279902</v>
          </cell>
          <cell r="AY8">
            <v>12937.576081668471</v>
          </cell>
          <cell r="AZ8">
            <v>14045.846276805547</v>
          </cell>
          <cell r="BA8">
            <v>15168.088569510193</v>
          </cell>
          <cell r="BB8">
            <v>16316.725313575316</v>
          </cell>
          <cell r="BC8">
            <v>17500.770938002101</v>
          </cell>
          <cell r="BD8">
            <v>18742.048273832959</v>
          </cell>
          <cell r="BE8">
            <v>20042.936251620598</v>
          </cell>
          <cell r="BF8">
            <v>21405.905174473188</v>
          </cell>
          <cell r="BG8">
            <v>22833.520061594307</v>
          </cell>
          <cell r="BH8">
            <v>24328.444110237579</v>
          </cell>
          <cell r="BI8">
            <v>25893.442280172581</v>
          </cell>
          <cell r="BK8">
            <v>7942.8300614254713</v>
          </cell>
          <cell r="BL8">
            <v>768.47988739781977</v>
          </cell>
        </row>
        <row r="9">
          <cell r="A9" t="str">
            <v xml:space="preserve">  Year-over-Year growth</v>
          </cell>
          <cell r="D9">
            <v>0.1310220509511637</v>
          </cell>
          <cell r="E9">
            <v>-5.978441357327946E-2</v>
          </cell>
          <cell r="F9">
            <v>8.2483526463240864E-2</v>
          </cell>
          <cell r="G9">
            <v>-0.18414730816832769</v>
          </cell>
          <cell r="H9">
            <v>-0.10646799368106064</v>
          </cell>
          <cell r="I9" t="str">
            <v>N.M.</v>
          </cell>
          <cell r="J9" t="str">
            <v>N.M.</v>
          </cell>
          <cell r="K9" t="str">
            <v>N.M.</v>
          </cell>
          <cell r="L9" t="str">
            <v>N.M.</v>
          </cell>
          <cell r="M9">
            <v>0.22505986773394793</v>
          </cell>
          <cell r="N9">
            <v>4.465644607473318E-2</v>
          </cell>
          <cell r="O9">
            <v>0.17952196054450886</v>
          </cell>
          <cell r="P9">
            <v>0.10525293290694293</v>
          </cell>
          <cell r="Q9">
            <v>0.22450924905453351</v>
          </cell>
          <cell r="R9">
            <v>0.13549476610167788</v>
          </cell>
          <cell r="S9">
            <v>0.11142862007349064</v>
          </cell>
          <cell r="T9">
            <v>0.19331485438708551</v>
          </cell>
          <cell r="U9">
            <v>0.17998327495201094</v>
          </cell>
          <cell r="V9">
            <v>0.28776668091786584</v>
          </cell>
          <cell r="W9">
            <v>0.19438879462558756</v>
          </cell>
          <cell r="X9">
            <v>0.37110239413403101</v>
          </cell>
          <cell r="Y9">
            <v>-3.1235468420779289E-2</v>
          </cell>
          <cell r="Z9">
            <v>0.42292531971448488</v>
          </cell>
          <cell r="AA9">
            <v>0.39564167574949938</v>
          </cell>
          <cell r="AB9">
            <v>0.29081753144370848</v>
          </cell>
          <cell r="AC9">
            <v>0.35524562054190079</v>
          </cell>
          <cell r="AD9">
            <v>0.79700337411608557</v>
          </cell>
          <cell r="AE9">
            <v>0.42967228743836916</v>
          </cell>
          <cell r="AF9">
            <v>0.29952198056246471</v>
          </cell>
          <cell r="AG9">
            <v>0.44118943701053093</v>
          </cell>
          <cell r="AH9">
            <v>0.16520593539827622</v>
          </cell>
          <cell r="AI9">
            <v>0.21320334653063977</v>
          </cell>
          <cell r="AJ9">
            <v>4.8726534259572851E-2</v>
          </cell>
          <cell r="AK9">
            <v>5.069642781363104E-2</v>
          </cell>
          <cell r="AL9">
            <v>0.11381230921539953</v>
          </cell>
          <cell r="AM9">
            <v>0.17116614261142304</v>
          </cell>
          <cell r="AN9">
            <v>0.1208173658699383</v>
          </cell>
          <cell r="AO9">
            <v>0.1878600490701412</v>
          </cell>
          <cell r="AP9">
            <v>0.43849078845244116</v>
          </cell>
          <cell r="AQ9">
            <v>0.23094310689668474</v>
          </cell>
          <cell r="AR9">
            <v>0.43820541943646951</v>
          </cell>
          <cell r="AS9">
            <v>0.25276736697160285</v>
          </cell>
          <cell r="AT9">
            <v>0.24091462979186185</v>
          </cell>
          <cell r="AU9">
            <v>0.17239950841951557</v>
          </cell>
          <cell r="AV9">
            <v>0.26757549516883961</v>
          </cell>
          <cell r="AW9">
            <v>0.14512021036996225</v>
          </cell>
          <cell r="AX9">
            <v>0.15235233690263872</v>
          </cell>
          <cell r="AY9">
            <v>0.12546782534041578</v>
          </cell>
          <cell r="AZ9">
            <v>8.5662892967053317E-2</v>
          </cell>
          <cell r="BA9">
            <v>7.9898517368643729E-2</v>
          </cell>
          <cell r="BB9">
            <v>7.5727191254277848E-2</v>
          </cell>
          <cell r="BC9">
            <v>7.2566376014289613E-2</v>
          </cell>
          <cell r="BD9">
            <v>7.0927008885961929E-2</v>
          </cell>
          <cell r="BE9">
            <v>6.9410128433181839E-2</v>
          </cell>
          <cell r="BF9">
            <v>6.800245761108914E-2</v>
          </cell>
          <cell r="BG9">
            <v>6.6692572702955255E-2</v>
          </cell>
          <cell r="BH9">
            <v>6.5470590807315654E-2</v>
          </cell>
          <cell r="BI9">
            <v>6.4327918499171188E-2</v>
          </cell>
          <cell r="BK9">
            <v>0.21000660614596334</v>
          </cell>
          <cell r="BL9">
            <v>5.7568889022876268E-2</v>
          </cell>
        </row>
        <row r="10">
          <cell r="A10" t="str">
            <v>VIP Revenues (US$ mm)</v>
          </cell>
          <cell r="C10">
            <v>1158.4249182304775</v>
          </cell>
          <cell r="D10">
            <v>1373.1958703116916</v>
          </cell>
          <cell r="E10">
            <v>1311.6412933882118</v>
          </cell>
          <cell r="F10">
            <v>1543.9553513896376</v>
          </cell>
          <cell r="G10">
            <v>1152.1755032529654</v>
          </cell>
          <cell r="H10">
            <v>1070.2080149186154</v>
          </cell>
          <cell r="I10">
            <v>356.7836313191666</v>
          </cell>
          <cell r="J10">
            <v>323.12262262629986</v>
          </cell>
          <cell r="K10">
            <v>347.77375070532207</v>
          </cell>
          <cell r="L10">
            <v>322.42796849630065</v>
          </cell>
          <cell r="M10">
            <v>1350.1079731470891</v>
          </cell>
          <cell r="N10">
            <v>386.33383027944319</v>
          </cell>
          <cell r="O10">
            <v>395.05514867652977</v>
          </cell>
          <cell r="P10">
            <v>398.421535841712</v>
          </cell>
          <cell r="Q10">
            <v>409.2409713503929</v>
          </cell>
          <cell r="R10">
            <v>1589.0514861480779</v>
          </cell>
          <cell r="S10">
            <v>448.8076265927283</v>
          </cell>
          <cell r="T10">
            <v>492.75232872959464</v>
          </cell>
          <cell r="U10">
            <v>491.39934057749974</v>
          </cell>
          <cell r="V10">
            <v>550.84854088916359</v>
          </cell>
          <cell r="W10">
            <v>1983.8078367889864</v>
          </cell>
          <cell r="X10">
            <v>646.14830969658385</v>
          </cell>
          <cell r="Y10">
            <v>501.2437962789877</v>
          </cell>
          <cell r="Z10">
            <v>734.20742432344173</v>
          </cell>
          <cell r="AA10">
            <v>807.25032416093984</v>
          </cell>
          <cell r="AB10">
            <v>2688.8498544599533</v>
          </cell>
          <cell r="AC10">
            <v>851.76682704702944</v>
          </cell>
          <cell r="AD10">
            <v>827.74883397630197</v>
          </cell>
          <cell r="AE10">
            <v>954.29704649257633</v>
          </cell>
          <cell r="AF10">
            <v>973.19097327333657</v>
          </cell>
          <cell r="AG10">
            <v>3607.0036807892443</v>
          </cell>
          <cell r="AH10">
            <v>871.38028739791866</v>
          </cell>
          <cell r="AI10">
            <v>926.51373647604282</v>
          </cell>
          <cell r="AJ10">
            <v>873.66750231017863</v>
          </cell>
          <cell r="AK10">
            <v>826.27410821960814</v>
          </cell>
          <cell r="AL10">
            <v>3497.8356344037484</v>
          </cell>
          <cell r="AM10">
            <v>973.27110396866146</v>
          </cell>
          <cell r="AN10">
            <v>1013.2898875543249</v>
          </cell>
          <cell r="AO10">
            <v>1104.6934295107803</v>
          </cell>
          <cell r="AP10">
            <v>1371.0374881365419</v>
          </cell>
          <cell r="AQ10">
            <v>4462.2919091703079</v>
          </cell>
          <cell r="AR10">
            <v>1449.0493350188763</v>
          </cell>
          <cell r="AS10">
            <v>1317.2768538206224</v>
          </cell>
          <cell r="AT10">
            <v>1270.3974439373974</v>
          </cell>
          <cell r="AU10">
            <v>1508.1412369501963</v>
          </cell>
          <cell r="AV10">
            <v>5544.8648697270928</v>
          </cell>
          <cell r="AW10">
            <v>5988.4540593052607</v>
          </cell>
          <cell r="AX10">
            <v>6347.7613028635769</v>
          </cell>
          <cell r="AY10">
            <v>6601.6717549781206</v>
          </cell>
          <cell r="AZ10">
            <v>6799.7219076274641</v>
          </cell>
          <cell r="BA10">
            <v>7003.713564856288</v>
          </cell>
          <cell r="BB10">
            <v>7213.824971801977</v>
          </cell>
          <cell r="BC10">
            <v>7430.2397209560368</v>
          </cell>
          <cell r="BD10">
            <v>7653.1469125847179</v>
          </cell>
          <cell r="BE10">
            <v>7882.7413199622597</v>
          </cell>
          <cell r="BF10">
            <v>8119.2235595611273</v>
          </cell>
          <cell r="BG10">
            <v>8362.800266347962</v>
          </cell>
          <cell r="BH10">
            <v>8613.6842743384004</v>
          </cell>
          <cell r="BI10">
            <v>8872.094802568552</v>
          </cell>
          <cell r="BK10">
            <v>4009.0761184965568</v>
          </cell>
          <cell r="BL10">
            <v>1535.788751230536</v>
          </cell>
        </row>
        <row r="11">
          <cell r="A11" t="str">
            <v xml:space="preserve">  Year-over-Year growth</v>
          </cell>
          <cell r="D11">
            <v>0.18539911279643562</v>
          </cell>
          <cell r="E11">
            <v>-4.4825780687432371E-2</v>
          </cell>
          <cell r="F11">
            <v>0.17711706635990065</v>
          </cell>
          <cell r="G11">
            <v>-0.2537507627950838</v>
          </cell>
          <cell r="H11">
            <v>-7.114149546048254E-2</v>
          </cell>
          <cell r="I11" t="str">
            <v>N.M.</v>
          </cell>
          <cell r="J11" t="str">
            <v>N.M.</v>
          </cell>
          <cell r="K11" t="str">
            <v>N.M.</v>
          </cell>
          <cell r="L11" t="str">
            <v>N.M.</v>
          </cell>
          <cell r="M11">
            <v>0.26153790134879418</v>
          </cell>
          <cell r="N11">
            <v>8.2823864006928094E-2</v>
          </cell>
          <cell r="O11">
            <v>0.22261680555069607</v>
          </cell>
          <cell r="P11">
            <v>0.14563429538218697</v>
          </cell>
          <cell r="Q11">
            <v>0.26924774317488609</v>
          </cell>
          <cell r="R11">
            <v>0.17698103985269698</v>
          </cell>
          <cell r="S11">
            <v>0.16170935966983913</v>
          </cell>
          <cell r="T11">
            <v>0.24730010577095163</v>
          </cell>
          <cell r="U11">
            <v>0.23336540917488624</v>
          </cell>
          <cell r="V11">
            <v>0.34602490818918041</v>
          </cell>
          <cell r="W11">
            <v>0.24842263078448967</v>
          </cell>
          <cell r="X11">
            <v>0.43969993246779859</v>
          </cell>
          <cell r="Y11">
            <v>1.723272941456333E-2</v>
          </cell>
          <cell r="Z11">
            <v>0.49411560760458162</v>
          </cell>
          <cell r="AA11">
            <v>0.46546693735069167</v>
          </cell>
          <cell r="AB11">
            <v>0.35539834282142757</v>
          </cell>
          <cell r="AC11">
            <v>0.31822186062360713</v>
          </cell>
          <cell r="AD11">
            <v>0.65138968326619362</v>
          </cell>
          <cell r="AE11">
            <v>0.29976490958524837</v>
          </cell>
          <cell r="AF11">
            <v>0.20556281508449858</v>
          </cell>
          <cell r="AG11">
            <v>0.34146712387319189</v>
          </cell>
          <cell r="AH11">
            <v>2.3026795277865775E-2</v>
          </cell>
          <cell r="AI11">
            <v>0.11931747704831985</v>
          </cell>
          <cell r="AJ11">
            <v>-8.4491033980188424E-2</v>
          </cell>
          <cell r="AK11">
            <v>-0.15096406469900991</v>
          </cell>
          <cell r="AL11">
            <v>-3.0265576652145021E-2</v>
          </cell>
          <cell r="AM11">
            <v>0.11693036673460355</v>
          </cell>
          <cell r="AN11">
            <v>9.3658785252695331E-2</v>
          </cell>
          <cell r="AO11">
            <v>0.2644323230401906</v>
          </cell>
          <cell r="AP11">
            <v>0.65930104126189804</v>
          </cell>
          <cell r="AQ11">
            <v>0.27572944402545185</v>
          </cell>
          <cell r="AR11">
            <v>0.48884450499984688</v>
          </cell>
          <cell r="AS11">
            <v>0.3</v>
          </cell>
          <cell r="AT11">
            <v>0.15</v>
          </cell>
          <cell r="AU11">
            <v>0.1</v>
          </cell>
          <cell r="AV11">
            <v>0.24260469341596069</v>
          </cell>
          <cell r="AW11">
            <v>0.08</v>
          </cell>
          <cell r="AX11">
            <v>0.06</v>
          </cell>
          <cell r="AY11">
            <v>3.9999999999999994E-2</v>
          </cell>
          <cell r="AZ11">
            <v>0.03</v>
          </cell>
          <cell r="BA11">
            <v>0.03</v>
          </cell>
          <cell r="BB11">
            <v>0.03</v>
          </cell>
          <cell r="BC11">
            <v>0.03</v>
          </cell>
          <cell r="BD11">
            <v>0.03</v>
          </cell>
          <cell r="BE11">
            <v>0.03</v>
          </cell>
          <cell r="BF11">
            <v>0.03</v>
          </cell>
          <cell r="BG11">
            <v>0.03</v>
          </cell>
          <cell r="BH11">
            <v>0.03</v>
          </cell>
          <cell r="BI11">
            <v>0.03</v>
          </cell>
          <cell r="BK11">
            <v>0.1</v>
          </cell>
          <cell r="BL11">
            <v>0.14260469341596069</v>
          </cell>
        </row>
        <row r="12">
          <cell r="A12" t="str">
            <v>Mass Market Revenues (US$ mm)</v>
          </cell>
          <cell r="C12">
            <v>774.18348351978238</v>
          </cell>
          <cell r="D12">
            <v>812.62684792133757</v>
          </cell>
          <cell r="E12">
            <v>743.50329546010403</v>
          </cell>
          <cell r="F12">
            <v>680.70481053873436</v>
          </cell>
          <cell r="G12">
            <v>662.81947826698092</v>
          </cell>
          <cell r="H12">
            <v>551.5480923777086</v>
          </cell>
          <cell r="I12">
            <v>168.24051122816675</v>
          </cell>
          <cell r="J12">
            <v>152.36773901043691</v>
          </cell>
          <cell r="K12">
            <v>163.99192248273209</v>
          </cell>
          <cell r="L12">
            <v>152.04017643273204</v>
          </cell>
          <cell r="M12">
            <v>636.64034915406774</v>
          </cell>
          <cell r="N12">
            <v>162.13602457748809</v>
          </cell>
          <cell r="O12">
            <v>165.7961749012515</v>
          </cell>
          <cell r="P12">
            <v>167.20897541048095</v>
          </cell>
          <cell r="Q12">
            <v>171.74966049695442</v>
          </cell>
          <cell r="R12">
            <v>666.8908353861749</v>
          </cell>
          <cell r="S12">
            <v>160.7774673428186</v>
          </cell>
          <cell r="T12">
            <v>176.51988679842961</v>
          </cell>
          <cell r="U12">
            <v>176.03520250264322</v>
          </cell>
          <cell r="V12">
            <v>197.33183672926856</v>
          </cell>
          <cell r="W12">
            <v>710.66439337316001</v>
          </cell>
          <cell r="X12">
            <v>189.65527202686269</v>
          </cell>
          <cell r="Y12">
            <v>147.12338809600604</v>
          </cell>
          <cell r="Z12">
            <v>215.50208627736168</v>
          </cell>
          <cell r="AA12">
            <v>236.94139182134211</v>
          </cell>
          <cell r="AB12">
            <v>789.22213822157244</v>
          </cell>
          <cell r="AC12">
            <v>280.95231671690618</v>
          </cell>
          <cell r="AD12">
            <v>337.36918401170789</v>
          </cell>
          <cell r="AE12">
            <v>403.47632193004841</v>
          </cell>
          <cell r="AF12">
            <v>383.7591135668772</v>
          </cell>
          <cell r="AG12">
            <v>1405.5569362255396</v>
          </cell>
          <cell r="AH12">
            <v>448.47078205507222</v>
          </cell>
          <cell r="AI12">
            <v>487.01134205015683</v>
          </cell>
          <cell r="AJ12">
            <v>550.26545666562674</v>
          </cell>
          <cell r="AK12">
            <v>599.46850074480096</v>
          </cell>
          <cell r="AL12">
            <v>2085.2160815156567</v>
          </cell>
          <cell r="AM12">
            <v>572.49378186415947</v>
          </cell>
          <cell r="AN12">
            <v>571.01356755050801</v>
          </cell>
          <cell r="AO12">
            <v>586.73964501081116</v>
          </cell>
          <cell r="AP12">
            <v>679.88012156291154</v>
          </cell>
          <cell r="AQ12">
            <v>2410.12711598839</v>
          </cell>
          <cell r="AR12">
            <v>774.07810096048252</v>
          </cell>
          <cell r="AS12">
            <v>667.48681411507209</v>
          </cell>
          <cell r="AT12">
            <v>828.52660355027422</v>
          </cell>
          <cell r="AU12">
            <v>896.35356047037067</v>
          </cell>
          <cell r="AV12">
            <v>3166.4450790961996</v>
          </cell>
          <cell r="AW12">
            <v>3987.0430218892116</v>
          </cell>
          <cell r="AX12">
            <v>5147.5260704163238</v>
          </cell>
          <cell r="AY12">
            <v>6335.90432669035</v>
          </cell>
          <cell r="AZ12">
            <v>7246.1243691780828</v>
          </cell>
          <cell r="BA12">
            <v>8164.3750046539062</v>
          </cell>
          <cell r="BB12">
            <v>9102.9003417733402</v>
          </cell>
          <cell r="BC12">
            <v>10070.531217046064</v>
          </cell>
          <cell r="BD12">
            <v>11088.901361248239</v>
          </cell>
          <cell r="BE12">
            <v>12160.194931658338</v>
          </cell>
          <cell r="BF12">
            <v>13286.68161491206</v>
          </cell>
          <cell r="BG12">
            <v>14470.719795246345</v>
          </cell>
          <cell r="BH12">
            <v>15714.75983589918</v>
          </cell>
          <cell r="BI12">
            <v>17021.347477604031</v>
          </cell>
          <cell r="BK12">
            <v>3933.7539429289145</v>
          </cell>
          <cell r="BL12">
            <v>-767.30886383271491</v>
          </cell>
        </row>
        <row r="13">
          <cell r="A13" t="str">
            <v xml:space="preserve">  Year-over-Year growth</v>
          </cell>
          <cell r="D13">
            <v>4.9656657911086644E-2</v>
          </cell>
          <cell r="E13">
            <v>-8.5061861588807242E-2</v>
          </cell>
          <cell r="F13">
            <v>-8.446295437400575E-2</v>
          </cell>
          <cell r="G13">
            <v>-2.6274725835415125E-2</v>
          </cell>
          <cell r="H13">
            <v>-0.16787585389042037</v>
          </cell>
          <cell r="I13" t="str">
            <v>N.M.</v>
          </cell>
          <cell r="J13" t="str">
            <v>N.M.</v>
          </cell>
          <cell r="K13" t="str">
            <v>N.M.</v>
          </cell>
          <cell r="L13" t="str">
            <v>N.M.</v>
          </cell>
          <cell r="M13">
            <v>0.15427894312811197</v>
          </cell>
          <cell r="N13">
            <v>-3.6284284956789037E-2</v>
          </cell>
          <cell r="O13">
            <v>8.8131752679579956E-2</v>
          </cell>
          <cell r="P13">
            <v>1.9617142594859249E-2</v>
          </cell>
          <cell r="Q13">
            <v>0.12963339379537331</v>
          </cell>
          <cell r="R13">
            <v>4.7515816853742177E-2</v>
          </cell>
          <cell r="S13">
            <v>-8.3791201752341227E-3</v>
          </cell>
          <cell r="T13">
            <v>6.4680092309518988E-2</v>
          </cell>
          <cell r="U13">
            <v>5.2785605978953987E-2</v>
          </cell>
          <cell r="V13">
            <v>0.14895037438963543</v>
          </cell>
          <cell r="W13">
            <v>6.5638265911447391E-2</v>
          </cell>
          <cell r="X13">
            <v>0.17961350655231589</v>
          </cell>
          <cell r="Y13">
            <v>-0.16653363672271004</v>
          </cell>
          <cell r="Z13">
            <v>0.22419881485991899</v>
          </cell>
          <cell r="AA13">
            <v>0.20072561908201503</v>
          </cell>
          <cell r="AB13">
            <v>0.11054127036749239</v>
          </cell>
          <cell r="AC13">
            <v>0.4813841646179613</v>
          </cell>
          <cell r="AD13">
            <v>1.2931036892078374</v>
          </cell>
          <cell r="AE13">
            <v>0.87226179059238773</v>
          </cell>
          <cell r="AF13">
            <v>0.61963728927632111</v>
          </cell>
          <cell r="AG13">
            <v>0.78093957094616173</v>
          </cell>
          <cell r="AH13">
            <v>0.59625230108695404</v>
          </cell>
          <cell r="AI13">
            <v>0.44355609560728526</v>
          </cell>
          <cell r="AJ13">
            <v>0.36381102621686812</v>
          </cell>
          <cell r="AK13">
            <v>0.56209580320581076</v>
          </cell>
          <cell r="AL13">
            <v>0.48355148608583787</v>
          </cell>
          <cell r="AM13">
            <v>0.27654644354034463</v>
          </cell>
          <cell r="AN13">
            <v>0.17248515228973837</v>
          </cell>
          <cell r="AO13">
            <v>6.6284713865562894E-2</v>
          </cell>
          <cell r="AP13">
            <v>0.13413819194537213</v>
          </cell>
          <cell r="AQ13">
            <v>0.15581648221155531</v>
          </cell>
          <cell r="AR13">
            <v>0.35211617223146474</v>
          </cell>
          <cell r="AS13">
            <v>0.16895088321352492</v>
          </cell>
          <cell r="AT13">
            <v>0.41208559979785919</v>
          </cell>
          <cell r="AU13">
            <v>0.31839942372462504</v>
          </cell>
          <cell r="AV13">
            <v>0.31380832906717648</v>
          </cell>
          <cell r="AW13">
            <v>0.25915432679073525</v>
          </cell>
          <cell r="AX13">
            <v>0.29106358826728473</v>
          </cell>
          <cell r="AY13">
            <v>0.23086396067109427</v>
          </cell>
          <cell r="AZ13">
            <v>0.14366063557073927</v>
          </cell>
          <cell r="BA13">
            <v>0.12672300235166678</v>
          </cell>
          <cell r="BB13">
            <v>0.11495372720930264</v>
          </cell>
          <cell r="BC13">
            <v>0.10629918366042657</v>
          </cell>
          <cell r="BD13">
            <v>0.10112377612001366</v>
          </cell>
          <cell r="BE13">
            <v>9.6609531955427874E-2</v>
          </cell>
          <cell r="BF13">
            <v>9.2637222477493619E-2</v>
          </cell>
          <cell r="BG13">
            <v>8.9114664944285327E-2</v>
          </cell>
          <cell r="BH13">
            <v>8.5969465116828792E-2</v>
          </cell>
          <cell r="BI13">
            <v>8.3143977722144324E-2</v>
          </cell>
          <cell r="BK13">
            <v>0.34732741003516732</v>
          </cell>
          <cell r="BL13">
            <v>-3.3519080967990833E-2</v>
          </cell>
        </row>
        <row r="14">
          <cell r="BL14">
            <v>0</v>
          </cell>
        </row>
        <row r="15">
          <cell r="A15" t="str">
            <v>% VIP</v>
          </cell>
          <cell r="C15">
            <v>0.59941006009357822</v>
          </cell>
          <cell r="D15">
            <v>0.62822838231901657</v>
          </cell>
          <cell r="E15">
            <v>0.6382233641883287</v>
          </cell>
          <cell r="F15">
            <v>0.69401851923815261</v>
          </cell>
          <cell r="G15">
            <v>0.63480919505798827</v>
          </cell>
          <cell r="H15">
            <v>0.6599068812528105</v>
          </cell>
          <cell r="I15">
            <v>0.67955661922156452</v>
          </cell>
          <cell r="J15">
            <v>0.6795566192215643</v>
          </cell>
          <cell r="K15">
            <v>0.67955661922156441</v>
          </cell>
          <cell r="L15">
            <v>0.6795566192215643</v>
          </cell>
          <cell r="M15">
            <v>0.6795566192215643</v>
          </cell>
          <cell r="N15">
            <v>0.70438480229732703</v>
          </cell>
          <cell r="O15">
            <v>0.70438480229732725</v>
          </cell>
          <cell r="P15">
            <v>0.70438480229732714</v>
          </cell>
          <cell r="Q15">
            <v>0.70438480229732703</v>
          </cell>
          <cell r="R15">
            <v>0.70438480229732703</v>
          </cell>
          <cell r="S15">
            <v>0.73625098621617868</v>
          </cell>
          <cell r="T15">
            <v>0.73625098621617846</v>
          </cell>
          <cell r="U15">
            <v>0.73625098621617857</v>
          </cell>
          <cell r="V15">
            <v>0.73625098621617857</v>
          </cell>
          <cell r="W15">
            <v>0.73625098621617857</v>
          </cell>
          <cell r="X15">
            <v>0.77308631337067368</v>
          </cell>
          <cell r="Y15">
            <v>0.77308631337067357</v>
          </cell>
          <cell r="Z15">
            <v>0.77308631337067346</v>
          </cell>
          <cell r="AA15">
            <v>0.77308631337067357</v>
          </cell>
          <cell r="AB15">
            <v>0.77308631337067357</v>
          </cell>
          <cell r="AC15">
            <v>0.75196647971947927</v>
          </cell>
          <cell r="AD15">
            <v>0.71044205067372013</v>
          </cell>
          <cell r="AE15">
            <v>0.70283971440772786</v>
          </cell>
          <cell r="AF15">
            <v>0.7171899561460684</v>
          </cell>
          <cell r="AG15">
            <v>0.71959302966741678</v>
          </cell>
          <cell r="AH15">
            <v>0.66021107044983496</v>
          </cell>
          <cell r="AI15">
            <v>0.65546324614351004</v>
          </cell>
          <cell r="AJ15">
            <v>0.61355943536736657</v>
          </cell>
          <cell r="AK15">
            <v>0.57953946457402572</v>
          </cell>
          <cell r="AL15">
            <v>0.6265096245535553</v>
          </cell>
          <cell r="AM15">
            <v>0.62963721901619363</v>
          </cell>
          <cell r="AN15">
            <v>0.63958068404722113</v>
          </cell>
          <cell r="AO15">
            <v>0.65311093069599224</v>
          </cell>
          <cell r="AP15">
            <v>0.66849954461966765</v>
          </cell>
          <cell r="AQ15">
            <v>0.64930439963492537</v>
          </cell>
          <cell r="AR15">
            <v>0.65180668978632961</v>
          </cell>
          <cell r="AS15">
            <v>0.66369456228040025</v>
          </cell>
          <cell r="AT15">
            <v>0.60526127444107014</v>
          </cell>
          <cell r="AU15">
            <v>0.62721750887881389</v>
          </cell>
          <cell r="AV15">
            <v>0.63651332604415989</v>
          </cell>
          <cell r="AW15">
            <v>0.60031635622394453</v>
          </cell>
          <cell r="AX15">
            <v>0.55220553403637074</v>
          </cell>
          <cell r="AY15">
            <v>0.51027114455637257</v>
          </cell>
          <cell r="AZ15">
            <v>0.48410909343754599</v>
          </cell>
          <cell r="BA15">
            <v>0.46174002299371142</v>
          </cell>
          <cell r="BB15">
            <v>0.44211230091617482</v>
          </cell>
          <cell r="BC15">
            <v>0.42456642323234006</v>
          </cell>
          <cell r="BD15">
            <v>0.40834100951867647</v>
          </cell>
          <cell r="BE15">
            <v>0.3932927401954337</v>
          </cell>
          <cell r="BF15">
            <v>0.37929830546214899</v>
          </cell>
          <cell r="BG15">
            <v>0.36625103110641649</v>
          </cell>
          <cell r="BH15">
            <v>0.35405816480938468</v>
          </cell>
          <cell r="BI15">
            <v>0.342638676873109</v>
          </cell>
          <cell r="BK15">
            <v>0.50474152002404316</v>
          </cell>
          <cell r="BL15">
            <v>0.13177180602011673</v>
          </cell>
        </row>
        <row r="16">
          <cell r="A16" t="str">
            <v>% Mass Market</v>
          </cell>
          <cell r="C16">
            <v>0.40058993990642178</v>
          </cell>
          <cell r="D16">
            <v>0.37177161768098338</v>
          </cell>
          <cell r="E16">
            <v>0.36177663581167124</v>
          </cell>
          <cell r="F16">
            <v>0.30598148076184734</v>
          </cell>
          <cell r="G16">
            <v>0.36519080494201173</v>
          </cell>
          <cell r="H16">
            <v>0.34009311874718956</v>
          </cell>
          <cell r="I16">
            <v>0.32044338077843554</v>
          </cell>
          <cell r="J16">
            <v>0.32044338077843565</v>
          </cell>
          <cell r="K16">
            <v>0.32044338077843565</v>
          </cell>
          <cell r="L16">
            <v>0.3204433807784357</v>
          </cell>
          <cell r="M16">
            <v>0.32044338077843559</v>
          </cell>
          <cell r="N16">
            <v>0.29561519770267297</v>
          </cell>
          <cell r="O16">
            <v>0.29561519770267275</v>
          </cell>
          <cell r="P16">
            <v>0.29561519770267286</v>
          </cell>
          <cell r="Q16">
            <v>0.29561519770267286</v>
          </cell>
          <cell r="R16">
            <v>0.29561519770267281</v>
          </cell>
          <cell r="S16">
            <v>0.26374901378382137</v>
          </cell>
          <cell r="T16">
            <v>0.26374901378382148</v>
          </cell>
          <cell r="U16">
            <v>0.26374901378382148</v>
          </cell>
          <cell r="V16">
            <v>0.26374901378382137</v>
          </cell>
          <cell r="W16">
            <v>0.26374901378382143</v>
          </cell>
          <cell r="X16">
            <v>0.22691368662932634</v>
          </cell>
          <cell r="Y16">
            <v>0.22691368662932643</v>
          </cell>
          <cell r="Z16">
            <v>0.22691368662932643</v>
          </cell>
          <cell r="AA16">
            <v>0.2269136866293264</v>
          </cell>
          <cell r="AB16">
            <v>0.22691368662932634</v>
          </cell>
          <cell r="AC16">
            <v>0.24803352028052073</v>
          </cell>
          <cell r="AD16">
            <v>0.28955794932627998</v>
          </cell>
          <cell r="AE16">
            <v>0.29716028559227203</v>
          </cell>
          <cell r="AF16">
            <v>0.28281004385393166</v>
          </cell>
          <cell r="AG16">
            <v>0.28040697033258322</v>
          </cell>
          <cell r="AH16">
            <v>0.33978892955016499</v>
          </cell>
          <cell r="AI16">
            <v>0.34453675385648991</v>
          </cell>
          <cell r="AJ16">
            <v>0.38644056463263349</v>
          </cell>
          <cell r="AK16">
            <v>0.42046053542597428</v>
          </cell>
          <cell r="AL16">
            <v>0.37349037544644492</v>
          </cell>
          <cell r="AM16">
            <v>0.37036278098380632</v>
          </cell>
          <cell r="AN16">
            <v>0.36041931595277887</v>
          </cell>
          <cell r="AO16">
            <v>0.34688906930400765</v>
          </cell>
          <cell r="AP16">
            <v>0.33150045538033235</v>
          </cell>
          <cell r="AQ16">
            <v>0.35069560036507452</v>
          </cell>
          <cell r="AR16">
            <v>0.34819331021367039</v>
          </cell>
          <cell r="AS16">
            <v>0.33630543771959975</v>
          </cell>
          <cell r="AT16">
            <v>0.39473872555892986</v>
          </cell>
          <cell r="AU16">
            <v>0.37278249112118611</v>
          </cell>
          <cell r="AV16">
            <v>0.36348667395584033</v>
          </cell>
          <cell r="AW16">
            <v>0.39968364377605536</v>
          </cell>
          <cell r="AX16">
            <v>0.44779446596362921</v>
          </cell>
          <cell r="AY16">
            <v>0.48972885544362743</v>
          </cell>
          <cell r="AZ16">
            <v>0.51589090656245395</v>
          </cell>
          <cell r="BA16">
            <v>0.53825997700628869</v>
          </cell>
          <cell r="BB16">
            <v>0.55788769908382529</v>
          </cell>
          <cell r="BC16">
            <v>0.57543357676765994</v>
          </cell>
          <cell r="BD16">
            <v>0.59165899048132342</v>
          </cell>
          <cell r="BE16">
            <v>0.6067072598045663</v>
          </cell>
          <cell r="BF16">
            <v>0.62070169453785096</v>
          </cell>
          <cell r="BG16">
            <v>0.63374896889358345</v>
          </cell>
          <cell r="BH16">
            <v>0.64594183519061543</v>
          </cell>
          <cell r="BI16">
            <v>0.65736132312689111</v>
          </cell>
          <cell r="BK16">
            <v>0.49525847997595679</v>
          </cell>
          <cell r="BL16">
            <v>-0.13177180602011646</v>
          </cell>
        </row>
        <row r="17">
          <cell r="BL17">
            <v>0</v>
          </cell>
        </row>
        <row r="18">
          <cell r="A18" t="str">
            <v>Gaming Revenue / Visitor / Day (US$)</v>
          </cell>
          <cell r="I18">
            <v>158.41376235097823</v>
          </cell>
          <cell r="J18">
            <v>143.48672334848223</v>
          </cell>
          <cell r="K18">
            <v>137.83435953688036</v>
          </cell>
          <cell r="L18">
            <v>134.65832092808358</v>
          </cell>
          <cell r="M18">
            <v>143.29764578663571</v>
          </cell>
          <cell r="N18">
            <v>150.11399707548483</v>
          </cell>
          <cell r="O18">
            <v>147.62293343555933</v>
          </cell>
          <cell r="P18">
            <v>140.33811733604551</v>
          </cell>
          <cell r="Q18">
            <v>148.62915352291139</v>
          </cell>
          <cell r="R18">
            <v>146.56224959002131</v>
          </cell>
          <cell r="S18">
            <v>152.46848637074407</v>
          </cell>
          <cell r="T18">
            <v>159.59939629195657</v>
          </cell>
          <cell r="U18">
            <v>150.07573464872777</v>
          </cell>
          <cell r="V18">
            <v>167.35638549096882</v>
          </cell>
          <cell r="W18">
            <v>157.48438863797563</v>
          </cell>
          <cell r="X18">
            <v>193.25457345079735</v>
          </cell>
          <cell r="Y18">
            <v>216.95186831614348</v>
          </cell>
          <cell r="Z18">
            <v>196.77973515008657</v>
          </cell>
          <cell r="AA18">
            <v>205.59245176103926</v>
          </cell>
          <cell r="AB18">
            <v>201.99492775148218</v>
          </cell>
          <cell r="AC18">
            <v>212.80687312536119</v>
          </cell>
          <cell r="AD18">
            <v>206.69640069393247</v>
          </cell>
          <cell r="AE18">
            <v>216.18897989509648</v>
          </cell>
          <cell r="AF18">
            <v>216.59383065537276</v>
          </cell>
          <cell r="AG18">
            <v>213.25454479961729</v>
          </cell>
          <cell r="AH18">
            <v>215.30415039329952</v>
          </cell>
          <cell r="AI18">
            <v>228.60781622023097</v>
          </cell>
          <cell r="AJ18">
            <v>210.57242052937389</v>
          </cell>
          <cell r="AK18">
            <v>205.75112834524049</v>
          </cell>
          <cell r="AL18">
            <v>214.69138190801422</v>
          </cell>
          <cell r="AM18">
            <v>214.81896348052675</v>
          </cell>
          <cell r="AN18">
            <v>221.83499230178845</v>
          </cell>
          <cell r="AO18">
            <v>222.30927440563593</v>
          </cell>
          <cell r="AP18">
            <v>240.23642576569631</v>
          </cell>
          <cell r="AQ18">
            <v>225.4507129639166</v>
          </cell>
          <cell r="AR18">
            <v>259.77371825818869</v>
          </cell>
          <cell r="AS18">
            <v>237.74107466696157</v>
          </cell>
          <cell r="AT18">
            <v>205.12932965058957</v>
          </cell>
          <cell r="AU18">
            <v>224.31420669942776</v>
          </cell>
          <cell r="AV18">
            <v>230.10560483419101</v>
          </cell>
          <cell r="AW18">
            <v>219.72962460523692</v>
          </cell>
          <cell r="AX18">
            <v>202.00563873280637</v>
          </cell>
          <cell r="AY18">
            <v>184.70834649115616</v>
          </cell>
          <cell r="AZ18">
            <v>175.34134827214305</v>
          </cell>
          <cell r="BA18">
            <v>168.05449221973646</v>
          </cell>
          <cell r="BB18">
            <v>162.14196381556579</v>
          </cell>
          <cell r="BC18">
            <v>157.19799950867699</v>
          </cell>
          <cell r="BD18">
            <v>152.88706598442917</v>
          </cell>
          <cell r="BE18">
            <v>149.09498057949239</v>
          </cell>
          <cell r="BF18">
            <v>145.73346248933547</v>
          </cell>
          <cell r="BG18">
            <v>142.73318231337117</v>
          </cell>
          <cell r="BH18">
            <v>140.03893569040201</v>
          </cell>
          <cell r="BI18">
            <v>137.60622040816031</v>
          </cell>
          <cell r="BK18">
            <v>220.66402160063058</v>
          </cell>
          <cell r="BL18">
            <v>9.4415832335604364</v>
          </cell>
        </row>
        <row r="19">
          <cell r="A19" t="str">
            <v xml:space="preserve">  Year-over-Year growth</v>
          </cell>
          <cell r="N19">
            <v>-5.2392955967453192E-2</v>
          </cell>
          <cell r="O19">
            <v>2.8826430700710892E-2</v>
          </cell>
          <cell r="P19">
            <v>1.8164975754795254E-2</v>
          </cell>
          <cell r="Q19">
            <v>0.10375023614240031</v>
          </cell>
          <cell r="R19">
            <v>2.2781977927581964E-2</v>
          </cell>
          <cell r="S19">
            <v>1.5684675254335367E-2</v>
          </cell>
          <cell r="T19">
            <v>8.1128741840272633E-2</v>
          </cell>
          <cell r="U19">
            <v>6.9386831585926956E-2</v>
          </cell>
          <cell r="V19">
            <v>0.12599972161700168</v>
          </cell>
          <cell r="W19">
            <v>7.4522184795244417E-2</v>
          </cell>
          <cell r="X19">
            <v>0.26750503038954143</v>
          </cell>
          <cell r="Y19">
            <v>0.35935268777127161</v>
          </cell>
          <cell r="Z19">
            <v>0.31120287773820143</v>
          </cell>
          <cell r="AA19">
            <v>0.22847091348142068</v>
          </cell>
          <cell r="AB19">
            <v>0.28263461222068931</v>
          </cell>
          <cell r="AC19">
            <v>0.10117380057523895</v>
          </cell>
          <cell r="AD19">
            <v>-4.7270704335519609E-2</v>
          </cell>
          <cell r="AE19">
            <v>9.8634367660908939E-2</v>
          </cell>
          <cell r="AF19">
            <v>5.3510616757080243E-2</v>
          </cell>
          <cell r="AG19">
            <v>5.5742078147566154E-2</v>
          </cell>
          <cell r="AH19">
            <v>1.1734946485808306E-2</v>
          </cell>
          <cell r="AI19">
            <v>0.10600772656290247</v>
          </cell>
          <cell r="AJ19">
            <v>-2.5979859697048302E-2</v>
          </cell>
          <cell r="AK19">
            <v>-5.0060069935160434E-2</v>
          </cell>
          <cell r="AL19">
            <v>6.7376623074881792E-3</v>
          </cell>
          <cell r="AM19">
            <v>-2.253495401210226E-3</v>
          </cell>
          <cell r="AN19">
            <v>-2.9626388241764556E-2</v>
          </cell>
          <cell r="AO19">
            <v>5.5737849461747535E-2</v>
          </cell>
          <cell r="AP19">
            <v>0.16760684472452159</v>
          </cell>
          <cell r="AQ19">
            <v>5.0115337468516818E-2</v>
          </cell>
          <cell r="AR19">
            <v>0.2092680927665731</v>
          </cell>
          <cell r="AS19">
            <v>7.1702314410046597E-2</v>
          </cell>
          <cell r="AT19">
            <v>-7.7279478334759122E-2</v>
          </cell>
          <cell r="AU19">
            <v>-6.6277289197590572E-2</v>
          </cell>
          <cell r="AV19">
            <v>2.064704878985868E-2</v>
          </cell>
          <cell r="AW19">
            <v>-4.5092253343549715E-2</v>
          </cell>
          <cell r="AX19">
            <v>-8.0662704923258333E-2</v>
          </cell>
          <cell r="AY19">
            <v>-8.562776935414862E-2</v>
          </cell>
          <cell r="AZ19">
            <v>-5.0712371135115952E-2</v>
          </cell>
          <cell r="BA19">
            <v>-4.1558115779381621E-2</v>
          </cell>
          <cell r="BB19">
            <v>-3.5182209806327913E-2</v>
          </cell>
          <cell r="BC19">
            <v>-3.0491577815799031E-2</v>
          </cell>
          <cell r="BD19">
            <v>-2.7423590234746387E-2</v>
          </cell>
          <cell r="BE19">
            <v>-2.4803179919241747E-2</v>
          </cell>
          <cell r="BF19">
            <v>-2.2546151970318506E-2</v>
          </cell>
          <cell r="BG19">
            <v>-2.0587448652596541E-2</v>
          </cell>
          <cell r="BH19">
            <v>-1.8876105606991489E-2</v>
          </cell>
          <cell r="BI19">
            <v>-1.7371706448983226E-2</v>
          </cell>
          <cell r="BK19">
            <v>2.3810189514658076E-2</v>
          </cell>
          <cell r="BL19">
            <v>-3.1631407247993959E-3</v>
          </cell>
        </row>
        <row r="20">
          <cell r="A20" t="str">
            <v>Mass Market Revenue / Visitor / Day (US$)</v>
          </cell>
          <cell r="I20">
            <v>50.76264156957911</v>
          </cell>
          <cell r="J20">
            <v>45.97937072660774</v>
          </cell>
          <cell r="K20">
            <v>44.16810815742835</v>
          </cell>
          <cell r="L20">
            <v>43.15036760814268</v>
          </cell>
          <cell r="M20">
            <v>45.918782073460292</v>
          </cell>
          <cell r="N20">
            <v>44.375978923407921</v>
          </cell>
          <cell r="O20">
            <v>43.639582653001376</v>
          </cell>
          <cell r="P20">
            <v>41.486080301515997</v>
          </cell>
          <cell r="Q20">
            <v>43.93703660305637</v>
          </cell>
          <cell r="R20">
            <v>43.326028388302625</v>
          </cell>
          <cell r="S20">
            <v>40.213412913395764</v>
          </cell>
          <cell r="T20">
            <v>42.094183372496836</v>
          </cell>
          <cell r="U20">
            <v>39.582327006484441</v>
          </cell>
          <cell r="V20">
            <v>44.14008162366806</v>
          </cell>
          <cell r="W20">
            <v>41.536352189614121</v>
          </cell>
          <cell r="X20">
            <v>43.85210771969836</v>
          </cell>
          <cell r="Y20">
            <v>49.229348260736273</v>
          </cell>
          <cell r="Z20">
            <v>44.652015156848591</v>
          </cell>
          <cell r="AA20">
            <v>46.651741172259364</v>
          </cell>
          <cell r="AB20">
            <v>45.835413736513246</v>
          </cell>
          <cell r="AC20">
            <v>52.78323788117347</v>
          </cell>
          <cell r="AD20">
            <v>59.850585918058158</v>
          </cell>
          <cell r="AE20">
            <v>64.242779007528839</v>
          </cell>
          <cell r="AF20">
            <v>61.254910746137007</v>
          </cell>
          <cell r="AG20">
            <v>59.798060816914834</v>
          </cell>
          <cell r="AH20">
            <v>73.157966789846967</v>
          </cell>
          <cell r="AI20">
            <v>78.763794906739406</v>
          </cell>
          <cell r="AJ20">
            <v>81.373725085431587</v>
          </cell>
          <cell r="AK20">
            <v>86.510229588538181</v>
          </cell>
          <cell r="AL20">
            <v>80.18516483394032</v>
          </cell>
          <cell r="AM20">
            <v>79.560948722706613</v>
          </cell>
          <cell r="AN20">
            <v>79.953616179800562</v>
          </cell>
          <cell r="AO20">
            <v>77.116657296220311</v>
          </cell>
          <cell r="AP20">
            <v>79.638484540271733</v>
          </cell>
          <cell r="AQ20">
            <v>79.064573135614836</v>
          </cell>
          <cell r="AR20">
            <v>79.560948722706613</v>
          </cell>
          <cell r="AS20">
            <v>79.953616179800562</v>
          </cell>
          <cell r="AT20">
            <v>80.972490161031331</v>
          </cell>
          <cell r="AU20">
            <v>83.620408767285326</v>
          </cell>
          <cell r="AV20">
            <v>83.640320959777029</v>
          </cell>
          <cell r="AW20">
            <v>87.822337007765881</v>
          </cell>
          <cell r="AX20">
            <v>90.457007117998856</v>
          </cell>
          <cell r="AY20">
            <v>90.457007117998856</v>
          </cell>
          <cell r="AZ20">
            <v>90.457007117998856</v>
          </cell>
          <cell r="BA20">
            <v>90.457007117998856</v>
          </cell>
          <cell r="BB20">
            <v>90.457007117998856</v>
          </cell>
          <cell r="BC20">
            <v>90.457007117998856</v>
          </cell>
          <cell r="BD20">
            <v>90.457007117998856</v>
          </cell>
          <cell r="BE20">
            <v>90.457007117998856</v>
          </cell>
          <cell r="BF20">
            <v>90.457007117998856</v>
          </cell>
          <cell r="BG20">
            <v>90.457007117998856</v>
          </cell>
          <cell r="BH20">
            <v>90.457007117998856</v>
          </cell>
          <cell r="BI20">
            <v>90.457007117998856</v>
          </cell>
          <cell r="BK20">
            <v>109.28572792331001</v>
          </cell>
          <cell r="BL20">
            <v>-25.645406963532977</v>
          </cell>
        </row>
        <row r="21">
          <cell r="A21" t="str">
            <v xml:space="preserve">  Year-over-Year growth</v>
          </cell>
          <cell r="N21">
            <v>-0.12581422969128087</v>
          </cell>
          <cell r="O21">
            <v>-5.0887779380859532E-2</v>
          </cell>
          <cell r="P21">
            <v>-6.0723177147474883E-2</v>
          </cell>
          <cell r="Q21">
            <v>1.8230875853888273E-2</v>
          </cell>
          <cell r="R21">
            <v>-5.6463903615949884E-2</v>
          </cell>
          <cell r="S21">
            <v>-9.3802235150613034E-2</v>
          </cell>
          <cell r="T21">
            <v>-3.5412787807636237E-2</v>
          </cell>
          <cell r="U21">
            <v>-4.588896519495933E-2</v>
          </cell>
          <cell r="V21">
            <v>4.6212725370187169E-3</v>
          </cell>
          <cell r="W21">
            <v>-4.1307183355206667E-2</v>
          </cell>
          <cell r="X21">
            <v>9.0484605575232857E-2</v>
          </cell>
          <cell r="Y21">
            <v>0.16950477041208867</v>
          </cell>
          <cell r="Z21">
            <v>0.12807958838634281</v>
          </cell>
          <cell r="AA21">
            <v>5.6902014137747869E-2</v>
          </cell>
          <cell r="AB21">
            <v>0.10350118198328628</v>
          </cell>
          <cell r="AC21">
            <v>0.20366478661784471</v>
          </cell>
          <cell r="AD21">
            <v>0.21575011720788995</v>
          </cell>
          <cell r="AE21">
            <v>0.43874310670781624</v>
          </cell>
          <cell r="AF21">
            <v>0.31302517777323957</v>
          </cell>
          <cell r="AG21">
            <v>0.30462574551342403</v>
          </cell>
          <cell r="AH21">
            <v>0.38600756085750998</v>
          </cell>
          <cell r="AI21">
            <v>0.31600708161112157</v>
          </cell>
          <cell r="AJ21">
            <v>0.26665948052924526</v>
          </cell>
          <cell r="AK21">
            <v>0.41229867997144831</v>
          </cell>
          <cell r="AL21">
            <v>0.34093252755210868</v>
          </cell>
          <cell r="AM21">
            <v>8.7522688420972772E-2</v>
          </cell>
          <cell r="AN21">
            <v>1.510619535879365E-2</v>
          </cell>
          <cell r="AO21">
            <v>-5.2315016729809538E-2</v>
          </cell>
          <cell r="AP21">
            <v>-7.9432745479349531E-2</v>
          </cell>
          <cell r="AQ21">
            <v>-1.3975050131108113E-2</v>
          </cell>
          <cell r="AR21">
            <v>0</v>
          </cell>
          <cell r="AS21">
            <v>0</v>
          </cell>
          <cell r="AT21">
            <v>0.05</v>
          </cell>
          <cell r="AU21">
            <v>0.05</v>
          </cell>
          <cell r="AV21">
            <v>5.7873553763626573E-2</v>
          </cell>
          <cell r="AW21">
            <v>0.05</v>
          </cell>
          <cell r="AX21">
            <v>0.03</v>
          </cell>
          <cell r="AY21">
            <v>0</v>
          </cell>
          <cell r="AZ21">
            <v>0</v>
          </cell>
          <cell r="BA21">
            <v>0</v>
          </cell>
          <cell r="BB21">
            <v>0</v>
          </cell>
          <cell r="BC21">
            <v>0</v>
          </cell>
          <cell r="BD21">
            <v>0</v>
          </cell>
          <cell r="BE21">
            <v>0</v>
          </cell>
          <cell r="BF21">
            <v>0</v>
          </cell>
          <cell r="BG21">
            <v>0</v>
          </cell>
          <cell r="BH21">
            <v>0</v>
          </cell>
          <cell r="BI21">
            <v>0</v>
          </cell>
          <cell r="BK21">
            <v>0.14000000000000001</v>
          </cell>
          <cell r="BL21">
            <v>-8.212644623637344E-2</v>
          </cell>
        </row>
        <row r="22">
          <cell r="BL22">
            <v>0</v>
          </cell>
        </row>
        <row r="23">
          <cell r="A23" t="str">
            <v>Total Visitors</v>
          </cell>
          <cell r="C23">
            <v>7.8338000000000001</v>
          </cell>
          <cell r="D23">
            <v>7.7525000000000004</v>
          </cell>
          <cell r="E23">
            <v>8.1510999999999996</v>
          </cell>
          <cell r="F23">
            <v>7.0004</v>
          </cell>
          <cell r="G23">
            <v>6.9485000000000001</v>
          </cell>
          <cell r="H23">
            <v>7.4439000000000002</v>
          </cell>
          <cell r="I23">
            <v>2.175767</v>
          </cell>
          <cell r="J23">
            <v>2.1899030000000002</v>
          </cell>
          <cell r="K23">
            <v>2.4746739999999998</v>
          </cell>
          <cell r="L23">
            <v>2.3218679999999998</v>
          </cell>
          <cell r="M23">
            <v>9.1622120000000002</v>
          </cell>
          <cell r="N23">
            <v>2.4530820000000002</v>
          </cell>
          <cell r="O23">
            <v>2.5566200000000001</v>
          </cell>
          <cell r="P23">
            <v>2.6891560000000001</v>
          </cell>
          <cell r="Q23">
            <v>2.5801150000000002</v>
          </cell>
          <cell r="R23">
            <v>10.278973000000001</v>
          </cell>
          <cell r="S23">
            <v>2.6729509999999999</v>
          </cell>
          <cell r="T23">
            <v>2.8038780000000001</v>
          </cell>
          <cell r="U23">
            <v>3.0133160000000001</v>
          </cell>
          <cell r="V23">
            <v>3.0406960000000001</v>
          </cell>
          <cell r="W23">
            <v>11.530841000000001</v>
          </cell>
          <cell r="X23">
            <v>2.995587</v>
          </cell>
          <cell r="Y23">
            <v>2.0730729999999999</v>
          </cell>
          <cell r="Z23">
            <v>3.3212470000000001</v>
          </cell>
          <cell r="AA23">
            <v>3.4979689999999999</v>
          </cell>
          <cell r="AB23">
            <v>11.887875999999999</v>
          </cell>
          <cell r="AC23">
            <v>3.7514470000000002</v>
          </cell>
          <cell r="AD23">
            <v>3.9834390000000002</v>
          </cell>
          <cell r="AE23">
            <v>4.4552269999999998</v>
          </cell>
          <cell r="AF23">
            <v>4.482443</v>
          </cell>
          <cell r="AG23">
            <v>16.672556</v>
          </cell>
          <cell r="AH23">
            <v>4.4570220000000003</v>
          </cell>
          <cell r="AI23">
            <v>4.4663009999999996</v>
          </cell>
          <cell r="AJ23">
            <v>4.8511319999999998</v>
          </cell>
          <cell r="AK23">
            <v>4.9367320000000001</v>
          </cell>
          <cell r="AL23">
            <v>18.711186999999999</v>
          </cell>
          <cell r="AM23">
            <v>5.2480180000000001</v>
          </cell>
          <cell r="AN23">
            <v>5.1744620000000001</v>
          </cell>
          <cell r="AO23">
            <v>5.4733140000000002</v>
          </cell>
          <cell r="AP23">
            <v>6.102328</v>
          </cell>
          <cell r="AQ23">
            <v>21.998122000000002</v>
          </cell>
          <cell r="AR23">
            <v>6.2021452000000004</v>
          </cell>
          <cell r="AS23">
            <v>5.9977077000000003</v>
          </cell>
          <cell r="AT23">
            <v>7.1657113800000003</v>
          </cell>
          <cell r="AU23">
            <v>7.4876471791448207</v>
          </cell>
          <cell r="AV23">
            <v>26.853211459144823</v>
          </cell>
          <cell r="AW23">
            <v>31.112956369452657</v>
          </cell>
          <cell r="AX23">
            <v>35.938386716715485</v>
          </cell>
          <cell r="AY23">
            <v>41.464358695646425</v>
          </cell>
          <cell r="AZ23">
            <v>46.725028260970944</v>
          </cell>
          <cell r="BA23">
            <v>51.917160814241257</v>
          </cell>
          <cell r="BB23">
            <v>57.225724977400361</v>
          </cell>
          <cell r="BC23">
            <v>62.698682591780887</v>
          </cell>
          <cell r="BD23">
            <v>68.453241363633722</v>
          </cell>
          <cell r="BE23">
            <v>74.501429399553246</v>
          </cell>
          <cell r="BF23">
            <v>80.855743837087061</v>
          </cell>
          <cell r="BG23">
            <v>87.529168173325587</v>
          </cell>
          <cell r="BH23">
            <v>94.535190211282512</v>
          </cell>
          <cell r="BI23">
            <v>101.88782064554243</v>
          </cell>
          <cell r="BK23">
            <v>25.885017569144825</v>
          </cell>
          <cell r="BL23">
            <v>0.96819388999999845</v>
          </cell>
        </row>
        <row r="24">
          <cell r="A24" t="str">
            <v xml:space="preserve">  Year-over-Year growth</v>
          </cell>
          <cell r="D24">
            <v>-1.0378105134162152E-2</v>
          </cell>
          <cell r="E24">
            <v>5.1415672363753551E-2</v>
          </cell>
          <cell r="F24">
            <v>-0.1411711302768951</v>
          </cell>
          <cell r="G24">
            <v>-7.4138620650248122E-3</v>
          </cell>
          <cell r="H24">
            <v>7.1295963157516073E-2</v>
          </cell>
          <cell r="I24" t="str">
            <v>N.M.</v>
          </cell>
          <cell r="J24" t="str">
            <v>N.M.</v>
          </cell>
          <cell r="K24" t="str">
            <v>N.M.</v>
          </cell>
          <cell r="L24" t="str">
            <v>N.M.</v>
          </cell>
          <cell r="M24">
            <v>0.23083491180698301</v>
          </cell>
          <cell r="N24">
            <v>0.12745620280112724</v>
          </cell>
          <cell r="O24">
            <v>0.16745810202552347</v>
          </cell>
          <cell r="P24">
            <v>8.667080997335419E-2</v>
          </cell>
          <cell r="Q24">
            <v>0.11122380772722673</v>
          </cell>
          <cell r="R24">
            <v>0.12188770571997254</v>
          </cell>
          <cell r="S24">
            <v>8.9629698477262432E-2</v>
          </cell>
          <cell r="T24">
            <v>9.6712847431374316E-2</v>
          </cell>
          <cell r="U24">
            <v>0.12054339725921448</v>
          </cell>
          <cell r="V24">
            <v>0.17851181052007359</v>
          </cell>
          <cell r="W24">
            <v>0.12178920987534458</v>
          </cell>
          <cell r="X24">
            <v>0.12070404582800065</v>
          </cell>
          <cell r="Y24">
            <v>-0.26064079820876662</v>
          </cell>
          <cell r="Z24">
            <v>0.10219007896948074</v>
          </cell>
          <cell r="AA24">
            <v>0.15038431990570578</v>
          </cell>
          <cell r="AB24">
            <v>3.0963483062510289E-2</v>
          </cell>
          <cell r="AC24">
            <v>0.25232450267677087</v>
          </cell>
          <cell r="AD24">
            <v>0.92151410008234169</v>
          </cell>
          <cell r="AE24">
            <v>0.34143199828257265</v>
          </cell>
          <cell r="AF24">
            <v>0.28144160225548021</v>
          </cell>
          <cell r="AG24">
            <v>0.40248400975918686</v>
          </cell>
          <cell r="AH24">
            <v>0.18808075923770207</v>
          </cell>
          <cell r="AI24">
            <v>0.12121737021704093</v>
          </cell>
          <cell r="AJ24">
            <v>8.8863036608460177E-2</v>
          </cell>
          <cell r="AK24">
            <v>0.10134852802366923</v>
          </cell>
          <cell r="AL24">
            <v>0.12227465302860563</v>
          </cell>
          <cell r="AM24">
            <v>0.17747186349988842</v>
          </cell>
          <cell r="AN24">
            <v>0.15855648779605325</v>
          </cell>
          <cell r="AO24">
            <v>0.12825501346902146</v>
          </cell>
          <cell r="AP24">
            <v>0.23610680101735304</v>
          </cell>
          <cell r="AQ24">
            <v>0.17566683503296732</v>
          </cell>
          <cell r="AR24">
            <v>0.18180715081388832</v>
          </cell>
          <cell r="AS24">
            <v>0.15909783471209193</v>
          </cell>
          <cell r="AT24">
            <v>0.3092088961093773</v>
          </cell>
          <cell r="AU24">
            <v>0.22701486697287021</v>
          </cell>
          <cell r="AV24">
            <v>0.22070472466444269</v>
          </cell>
          <cell r="AW24">
            <v>0.15863074391637366</v>
          </cell>
          <cell r="AX24">
            <v>0.15509391939367534</v>
          </cell>
          <cell r="AY24">
            <v>0.15376238289407484</v>
          </cell>
          <cell r="AZ24">
            <v>0.1268720831772292</v>
          </cell>
          <cell r="BA24">
            <v>0.11112101472193769</v>
          </cell>
          <cell r="BB24">
            <v>0.10225066394044657</v>
          </cell>
          <cell r="BC24">
            <v>9.5638065162860109E-2</v>
          </cell>
          <cell r="BD24">
            <v>9.178117520139395E-2</v>
          </cell>
          <cell r="BE24">
            <v>8.8355027686572996E-2</v>
          </cell>
          <cell r="BF24">
            <v>8.5291174796868097E-2</v>
          </cell>
          <cell r="BG24">
            <v>8.2534944575916924E-2</v>
          </cell>
          <cell r="BH24">
            <v>8.0042141198960914E-2</v>
          </cell>
          <cell r="BI24">
            <v>7.7776650343930998E-2</v>
          </cell>
          <cell r="BK24">
            <v>0.17766064791266523</v>
          </cell>
          <cell r="BL24">
            <v>4.304407675177746E-2</v>
          </cell>
        </row>
        <row r="25">
          <cell r="A25" t="str">
            <v>Avg Days Stayed for All Guests (incl. day trippers)</v>
          </cell>
          <cell r="I25">
            <v>1.5232597975794282</v>
          </cell>
          <cell r="J25">
            <v>1.5132306225435557</v>
          </cell>
          <cell r="K25">
            <v>1.500360645483001</v>
          </cell>
          <cell r="L25">
            <v>1.517526692588324</v>
          </cell>
          <cell r="M25">
            <v>1.5132248442479466</v>
          </cell>
          <cell r="N25">
            <v>1.4894279794424594</v>
          </cell>
          <cell r="O25">
            <v>1.4860305442341841</v>
          </cell>
          <cell r="P25">
            <v>1.4987913754352666</v>
          </cell>
          <cell r="Q25">
            <v>1.5150468461031128</v>
          </cell>
          <cell r="R25">
            <v>1.4974631502582991</v>
          </cell>
          <cell r="S25">
            <v>1.4957646062348318</v>
          </cell>
          <cell r="T25">
            <v>1.4955896072035468</v>
          </cell>
          <cell r="U25">
            <v>1.4758884166147859</v>
          </cell>
          <cell r="V25">
            <v>1.4702494428907067</v>
          </cell>
          <cell r="W25">
            <v>1.4837994970762898</v>
          </cell>
          <cell r="X25">
            <v>1.4437517054253473</v>
          </cell>
          <cell r="Y25">
            <v>1.4415942323304582</v>
          </cell>
          <cell r="Z25">
            <v>1.4531459649543277</v>
          </cell>
          <cell r="AA25">
            <v>1.4519682554838729</v>
          </cell>
          <cell r="AB25">
            <v>1.4484177445435447</v>
          </cell>
          <cell r="AC25">
            <v>1.418854215453397</v>
          </cell>
          <cell r="AD25">
            <v>1.4150729633364536</v>
          </cell>
          <cell r="AE25">
            <v>1.4096909023939745</v>
          </cell>
          <cell r="AF25">
            <v>1.3976647600426821</v>
          </cell>
          <cell r="AG25">
            <v>1.4098053597780686</v>
          </cell>
          <cell r="AH25">
            <v>1.3753959751600955</v>
          </cell>
          <cell r="AI25">
            <v>1.3844091296130736</v>
          </cell>
          <cell r="AJ25">
            <v>1.3939428261280047</v>
          </cell>
          <cell r="AK25">
            <v>1.4036516869864517</v>
          </cell>
          <cell r="AL25">
            <v>1.3898108575367241</v>
          </cell>
          <cell r="AM25">
            <v>1.3711201231906343</v>
          </cell>
          <cell r="AN25">
            <v>1.3802034684958553</v>
          </cell>
          <cell r="AO25">
            <v>1.390102656879056</v>
          </cell>
          <cell r="AP25">
            <v>1.3989874192275473</v>
          </cell>
          <cell r="AQ25">
            <v>1.3857101947157124</v>
          </cell>
          <cell r="AR25">
            <v>1.3798351956014356</v>
          </cell>
          <cell r="AS25">
            <v>1.3919360516391184</v>
          </cell>
          <cell r="AT25">
            <v>1.4279389854678177</v>
          </cell>
          <cell r="AU25">
            <v>1.4315999996672684</v>
          </cell>
          <cell r="AV25">
            <v>1.409808216231297</v>
          </cell>
          <cell r="AW25">
            <v>1.4591658339019791</v>
          </cell>
          <cell r="AX25">
            <v>1.5834259669277251</v>
          </cell>
          <cell r="AY25">
            <v>1.6892403375063489</v>
          </cell>
          <cell r="AZ25">
            <v>1.7144072578115312</v>
          </cell>
          <cell r="BA25">
            <v>1.7384803879875337</v>
          </cell>
          <cell r="BB25">
            <v>1.7585157820070054</v>
          </cell>
          <cell r="BC25">
            <v>1.7756270395727332</v>
          </cell>
          <cell r="BD25">
            <v>1.7908214532408184</v>
          </cell>
          <cell r="BE25">
            <v>1.8044037337967822</v>
          </cell>
          <cell r="BF25">
            <v>1.8166172633742717</v>
          </cell>
          <cell r="BG25">
            <v>1.8276587855618405</v>
          </cell>
          <cell r="BH25">
            <v>1.8376890660667624</v>
          </cell>
          <cell r="BI25">
            <v>1.8468407570351979</v>
          </cell>
          <cell r="BK25">
            <v>1.3905777552739083</v>
          </cell>
          <cell r="BL25">
            <v>1.9230460957388784E-2</v>
          </cell>
        </row>
        <row r="26">
          <cell r="BL26">
            <v>0</v>
          </cell>
        </row>
        <row r="27">
          <cell r="A27" t="str">
            <v>Gaming Revenue / Visitor (US$)</v>
          </cell>
          <cell r="C27">
            <v>246.70126908400263</v>
          </cell>
          <cell r="D27">
            <v>281.9506892270918</v>
          </cell>
          <cell r="E27">
            <v>252.13095028257732</v>
          </cell>
          <cell r="F27">
            <v>317.79043510776125</v>
          </cell>
          <cell r="G27">
            <v>261.20673260702978</v>
          </cell>
          <cell r="H27">
            <v>217.86376862885368</v>
          </cell>
          <cell r="I27">
            <v>241.30531557254676</v>
          </cell>
          <cell r="J27">
            <v>217.12850369935873</v>
          </cell>
          <cell r="K27">
            <v>206.80124864448982</v>
          </cell>
          <cell r="L27">
            <v>204.34759638749176</v>
          </cell>
          <cell r="M27">
            <v>216.84155772657923</v>
          </cell>
          <cell r="N27">
            <v>223.58398735017062</v>
          </cell>
          <cell r="O27">
            <v>219.37218811469097</v>
          </cell>
          <cell r="P27">
            <v>210.33755990808748</v>
          </cell>
          <cell r="Q27">
            <v>225.18013028386227</v>
          </cell>
          <cell r="R27">
            <v>219.47156798001637</v>
          </cell>
          <cell r="S27">
            <v>228.05696547955682</v>
          </cell>
          <cell r="T27">
            <v>238.69519841021051</v>
          </cell>
          <cell r="U27">
            <v>221.49503838301158</v>
          </cell>
          <cell r="V27">
            <v>246.05563253229926</v>
          </cell>
          <cell r="W27">
            <v>233.6752566583952</v>
          </cell>
          <cell r="X27">
            <v>279.01162000083673</v>
          </cell>
          <cell r="Y27">
            <v>312.75656205786953</v>
          </cell>
          <cell r="Z27">
            <v>285.94967811812955</v>
          </cell>
          <cell r="AA27">
            <v>298.51371352412843</v>
          </cell>
          <cell r="AB27">
            <v>292.57303766303806</v>
          </cell>
          <cell r="AC27">
            <v>301.94192901137495</v>
          </cell>
          <cell r="AD27">
            <v>292.490488240942</v>
          </cell>
          <cell r="AE27">
            <v>304.75963815595139</v>
          </cell>
          <cell r="AF27">
            <v>302.72556434966685</v>
          </cell>
          <cell r="AG27">
            <v>300.64740025553272</v>
          </cell>
          <cell r="AH27">
            <v>296.12846188620807</v>
          </cell>
          <cell r="AI27">
            <v>316.48674787619547</v>
          </cell>
          <cell r="AJ27">
            <v>293.5259149773301</v>
          </cell>
          <cell r="AK27">
            <v>288.80291840116274</v>
          </cell>
          <cell r="AL27">
            <v>298.38041359532156</v>
          </cell>
          <cell r="AM27">
            <v>294.54260367110419</v>
          </cell>
          <cell r="AN27">
            <v>306.1774258086798</v>
          </cell>
          <cell r="AO27">
            <v>309.03271300012966</v>
          </cell>
          <cell r="AP27">
            <v>336.08773728640176</v>
          </cell>
          <cell r="AQ27">
            <v>312.40935136002508</v>
          </cell>
          <cell r="AR27">
            <v>358.44491934489997</v>
          </cell>
          <cell r="AS27">
            <v>330.92037278437135</v>
          </cell>
          <cell r="AT27">
            <v>292.91216687095641</v>
          </cell>
          <cell r="AU27">
            <v>321.12821823626433</v>
          </cell>
          <cell r="AV27">
            <v>324.40477229611457</v>
          </cell>
          <cell r="AW27">
            <v>320.62196092006934</v>
          </cell>
          <cell r="AX27">
            <v>319.86097383534667</v>
          </cell>
          <cell r="AY27">
            <v>312.01678956696031</v>
          </cell>
          <cell r="AZ27">
            <v>300.60648007222147</v>
          </cell>
          <cell r="BA27">
            <v>292.15943883721536</v>
          </cell>
          <cell r="BB27">
            <v>285.12920229528123</v>
          </cell>
          <cell r="BC27">
            <v>279.12501849434807</v>
          </cell>
          <cell r="BD27">
            <v>273.79343768796036</v>
          </cell>
          <cell r="BE27">
            <v>269.02753964799484</v>
          </cell>
          <cell r="BF27">
            <v>264.74192380943367</v>
          </cell>
          <cell r="BG27">
            <v>260.86755464623275</v>
          </cell>
          <cell r="BH27">
            <v>257.3480209418783</v>
          </cell>
          <cell r="BI27">
            <v>254.13677627135911</v>
          </cell>
          <cell r="BK27">
            <v>306.85047982711808</v>
          </cell>
          <cell r="BL27">
            <v>17.554292468996493</v>
          </cell>
        </row>
        <row r="28">
          <cell r="A28" t="str">
            <v xml:space="preserve">  Year-over-Year growth</v>
          </cell>
          <cell r="D28">
            <v>0.14288301099532097</v>
          </cell>
          <cell r="E28">
            <v>-0.10576224880406926</v>
          </cell>
          <cell r="F28">
            <v>0.26041818646856196</v>
          </cell>
          <cell r="G28">
            <v>-0.17805351026862781</v>
          </cell>
          <cell r="H28">
            <v>-0.16593356360145228</v>
          </cell>
          <cell r="I28" t="str">
            <v>N.M.</v>
          </cell>
          <cell r="J28" t="str">
            <v>N.M.</v>
          </cell>
          <cell r="K28" t="str">
            <v>N.M.</v>
          </cell>
          <cell r="L28" t="str">
            <v>N.M.</v>
          </cell>
          <cell r="M28">
            <v>-4.6919729182499648E-3</v>
          </cell>
          <cell r="N28">
            <v>-7.3439444051734304E-2</v>
          </cell>
          <cell r="O28">
            <v>1.0333440230578361E-2</v>
          </cell>
          <cell r="P28">
            <v>1.7100047928999329E-2</v>
          </cell>
          <cell r="Q28">
            <v>0.10194655706577072</v>
          </cell>
          <cell r="R28">
            <v>1.212871868755605E-2</v>
          </cell>
          <cell r="S28">
            <v>2.0005807134930276E-2</v>
          </cell>
          <cell r="T28">
            <v>8.8083227238528572E-2</v>
          </cell>
          <cell r="U28">
            <v>5.3045582918237022E-2</v>
          </cell>
          <cell r="V28">
            <v>9.2705791679404959E-2</v>
          </cell>
          <cell r="W28">
            <v>6.4717670763039914E-2</v>
          </cell>
          <cell r="X28">
            <v>0.22342950330033884</v>
          </cell>
          <cell r="Y28">
            <v>0.31027588380885907</v>
          </cell>
          <cell r="Z28">
            <v>0.29099811989315238</v>
          </cell>
          <cell r="AA28">
            <v>0.21319601771336449</v>
          </cell>
          <cell r="AB28">
            <v>0.25204971141101273</v>
          </cell>
          <cell r="AC28">
            <v>8.2184064629528431E-2</v>
          </cell>
          <cell r="AD28">
            <v>-6.4798236953307109E-2</v>
          </cell>
          <cell r="AE28">
            <v>6.5780665191206067E-2</v>
          </cell>
          <cell r="AF28">
            <v>1.4109404810301873E-2</v>
          </cell>
          <cell r="AG28">
            <v>2.7597767234430082E-2</v>
          </cell>
          <cell r="AH28">
            <v>-1.9253593378705136E-2</v>
          </cell>
          <cell r="AI28">
            <v>8.2041162362470832E-2</v>
          </cell>
          <cell r="AJ28">
            <v>-3.6860928325662234E-2</v>
          </cell>
          <cell r="AK28">
            <v>-4.5990981892836125E-2</v>
          </cell>
          <cell r="AL28">
            <v>-7.5403501187250033E-3</v>
          </cell>
          <cell r="AM28">
            <v>-5.3553049409795772E-3</v>
          </cell>
          <cell r="AN28">
            <v>-3.2574261439687557E-2</v>
          </cell>
          <cell r="AO28">
            <v>5.2829400170670393E-2</v>
          </cell>
          <cell r="AP28">
            <v>0.16372694274355593</v>
          </cell>
          <cell r="AQ28">
            <v>4.7016952606447893E-2</v>
          </cell>
          <cell r="AR28">
            <v>0.21695440617871076</v>
          </cell>
          <cell r="AS28">
            <v>8.0812446934453552E-2</v>
          </cell>
          <cell r="AT28">
            <v>-5.2164529679310956E-2</v>
          </cell>
          <cell r="AU28">
            <v>-4.4510755348950659E-2</v>
          </cell>
          <cell r="AV28">
            <v>3.8396484880715898E-2</v>
          </cell>
          <cell r="AW28">
            <v>-1.1660775978327154E-2</v>
          </cell>
          <cell r="AX28">
            <v>-2.373471494400814E-3</v>
          </cell>
          <cell r="AY28">
            <v>-2.4523730339245042E-2</v>
          </cell>
          <cell r="AZ28">
            <v>-3.6569536884777598E-2</v>
          </cell>
          <cell r="BA28">
            <v>-2.8099997155672352E-2</v>
          </cell>
          <cell r="BB28">
            <v>-2.4063013572021563E-2</v>
          </cell>
          <cell r="BC28">
            <v>-2.1057765225728109E-2</v>
          </cell>
          <cell r="BD28">
            <v>-1.9101049540980686E-2</v>
          </cell>
          <cell r="BE28">
            <v>-1.7406911137867298E-2</v>
          </cell>
          <cell r="BF28">
            <v>-1.5930026510180384E-2</v>
          </cell>
          <cell r="BG28">
            <v>-1.4634513141899563E-2</v>
          </cell>
          <cell r="BH28">
            <v>-1.3491649849393328E-2</v>
          </cell>
          <cell r="BI28">
            <v>-1.2478217857538665E-2</v>
          </cell>
          <cell r="BK28">
            <v>2.7466280961862211E-2</v>
          </cell>
          <cell r="BL28">
            <v>1.0930203918853687E-2</v>
          </cell>
        </row>
        <row r="29">
          <cell r="A29" t="str">
            <v>Mass Market Revenue / Visitor (US$)</v>
          </cell>
          <cell r="C29">
            <v>98.826046557198595</v>
          </cell>
          <cell r="D29">
            <v>104.82126384022412</v>
          </cell>
          <cell r="E29">
            <v>91.21508697723057</v>
          </cell>
          <cell r="F29">
            <v>97.237987906224561</v>
          </cell>
          <cell r="G29">
            <v>95.390296937034023</v>
          </cell>
          <cell r="H29">
            <v>74.093968535002972</v>
          </cell>
          <cell r="I29">
            <v>77.324691121874153</v>
          </cell>
          <cell r="J29">
            <v>69.577391788785576</v>
          </cell>
          <cell r="K29">
            <v>66.268091264842198</v>
          </cell>
          <cell r="L29">
            <v>65.481834640355117</v>
          </cell>
          <cell r="M29">
            <v>69.485441851167352</v>
          </cell>
          <cell r="N29">
            <v>66.094824623672622</v>
          </cell>
          <cell r="O29">
            <v>64.849752759992299</v>
          </cell>
          <cell r="P29">
            <v>62.17897935652708</v>
          </cell>
          <cell r="Q29">
            <v>66.566668732577583</v>
          </cell>
          <cell r="R29">
            <v>64.879130958528137</v>
          </cell>
          <cell r="S29">
            <v>60.149799731764105</v>
          </cell>
          <cell r="T29">
            <v>62.955623175626613</v>
          </cell>
          <cell r="U29">
            <v>58.419097931528988</v>
          </cell>
          <cell r="V29">
            <v>64.896930416348283</v>
          </cell>
          <cell r="W29">
            <v>61.631618489333086</v>
          </cell>
          <cell r="X29">
            <v>63.311555306810547</v>
          </cell>
          <cell r="Y29">
            <v>70.968744514064895</v>
          </cell>
          <cell r="Z29">
            <v>64.885895652254007</v>
          </cell>
          <cell r="AA29">
            <v>67.736847245170594</v>
          </cell>
          <cell r="AB29">
            <v>66.388826584460716</v>
          </cell>
          <cell r="AC29">
            <v>74.89171957298241</v>
          </cell>
          <cell r="AD29">
            <v>84.692945972489568</v>
          </cell>
          <cell r="AE29">
            <v>90.562461111420006</v>
          </cell>
          <cell r="AF29">
            <v>85.613830129435485</v>
          </cell>
          <cell r="AG29">
            <v>84.303626644021449</v>
          </cell>
          <cell r="AH29">
            <v>100.62117307365146</v>
          </cell>
          <cell r="AI29">
            <v>109.04131675186174</v>
          </cell>
          <cell r="AJ29">
            <v>113.43032031814982</v>
          </cell>
          <cell r="AK29">
            <v>121.43022970353687</v>
          </cell>
          <cell r="AL29">
            <v>111.44221269958217</v>
          </cell>
          <cell r="AM29">
            <v>109.08761781384123</v>
          </cell>
          <cell r="AN29">
            <v>110.35225837014708</v>
          </cell>
          <cell r="AO29">
            <v>107.20007019710748</v>
          </cell>
          <cell r="AP29">
            <v>111.41323795818768</v>
          </cell>
          <cell r="AQ29">
            <v>109.56058503486751</v>
          </cell>
          <cell r="AR29">
            <v>124.80812299597282</v>
          </cell>
          <cell r="AS29">
            <v>111.29032081958113</v>
          </cell>
          <cell r="AT29">
            <v>115.62377545134594</v>
          </cell>
          <cell r="AU29">
            <v>119.71097716342251</v>
          </cell>
          <cell r="AV29">
            <v>117.91681169731642</v>
          </cell>
          <cell r="AW29">
            <v>128.14735361515733</v>
          </cell>
          <cell r="AX29">
            <v>143.23197396120545</v>
          </cell>
          <cell r="AY29">
            <v>152.8036252338226</v>
          </cell>
          <cell r="AZ29">
            <v>155.08014952300658</v>
          </cell>
          <cell r="BA29">
            <v>157.25773283068975</v>
          </cell>
          <cell r="BB29">
            <v>159.070074610121</v>
          </cell>
          <cell r="BC29">
            <v>160.61790775754196</v>
          </cell>
          <cell r="BD29">
            <v>161.99234894286977</v>
          </cell>
          <cell r="BE29">
            <v>163.22096139179925</v>
          </cell>
          <cell r="BF29">
            <v>164.32576072372612</v>
          </cell>
          <cell r="BG29">
            <v>165.32454377484052</v>
          </cell>
          <cell r="BH29">
            <v>166.23185292986977</v>
          </cell>
          <cell r="BI29">
            <v>167.05968750494333</v>
          </cell>
          <cell r="BK29">
            <v>151.9703022190715</v>
          </cell>
          <cell r="BL29">
            <v>-34.05349052175508</v>
          </cell>
        </row>
        <row r="30">
          <cell r="A30" t="str">
            <v xml:space="preserve">  Year-over-Year growth</v>
          </cell>
          <cell r="D30">
            <v>6.0664343985020297E-2</v>
          </cell>
          <cell r="E30">
            <v>-0.1298035948482078</v>
          </cell>
          <cell r="F30">
            <v>6.6029657248448892E-2</v>
          </cell>
          <cell r="G30">
            <v>-1.9001740050117344E-2</v>
          </cell>
          <cell r="H30">
            <v>-0.22325466096502977</v>
          </cell>
          <cell r="I30" t="str">
            <v>N.M.</v>
          </cell>
          <cell r="J30" t="str">
            <v>N.M.</v>
          </cell>
          <cell r="K30" t="str">
            <v>N.M.</v>
          </cell>
          <cell r="L30" t="str">
            <v>N.M.</v>
          </cell>
          <cell r="M30">
            <v>-6.2198405281240876E-2</v>
          </cell>
          <cell r="N30">
            <v>-0.14523002077695657</v>
          </cell>
          <cell r="O30">
            <v>-6.7947919679784197E-2</v>
          </cell>
          <cell r="P30">
            <v>-6.1705593601192987E-2</v>
          </cell>
          <cell r="Q30">
            <v>1.6566947126339437E-2</v>
          </cell>
          <cell r="R30">
            <v>-6.6291740685848866E-2</v>
          </cell>
          <cell r="S30">
            <v>-8.9946904704838793E-2</v>
          </cell>
          <cell r="T30">
            <v>-2.9207969248176258E-2</v>
          </cell>
          <cell r="U30">
            <v>-6.0468689964165656E-2</v>
          </cell>
          <cell r="V30">
            <v>-2.5083699515402236E-2</v>
          </cell>
          <cell r="W30">
            <v>-5.0054808398573014E-2</v>
          </cell>
          <cell r="X30">
            <v>5.2564689976461798E-2</v>
          </cell>
          <cell r="Y30">
            <v>0.12728205892083966</v>
          </cell>
          <cell r="Z30">
            <v>0.11069663773830496</v>
          </cell>
          <cell r="AA30">
            <v>4.3760418414287683E-2</v>
          </cell>
          <cell r="AB30">
            <v>7.7187784642569257E-2</v>
          </cell>
          <cell r="AC30">
            <v>0.18290759419909808</v>
          </cell>
          <cell r="AD30">
            <v>0.19338374311672868</v>
          </cell>
          <cell r="AE30">
            <v>0.39571874906028293</v>
          </cell>
          <cell r="AF30">
            <v>0.26391814221231646</v>
          </cell>
          <cell r="AG30">
            <v>0.26984661397455634</v>
          </cell>
          <cell r="AH30">
            <v>0.34355538432517307</v>
          </cell>
          <cell r="AI30">
            <v>0.28748994972121</v>
          </cell>
          <cell r="AJ30">
            <v>0.25250925080972819</v>
          </cell>
          <cell r="AK30">
            <v>0.41834829162475584</v>
          </cell>
          <cell r="AL30">
            <v>0.32191481121156862</v>
          </cell>
          <cell r="AM30">
            <v>8.4141781312692565E-2</v>
          </cell>
          <cell r="AN30">
            <v>1.2022430188261213E-2</v>
          </cell>
          <cell r="AO30">
            <v>-5.4925791477690611E-2</v>
          </cell>
          <cell r="AP30">
            <v>-8.2491746658183485E-2</v>
          </cell>
          <cell r="AQ30">
            <v>-1.6884335110852633E-2</v>
          </cell>
          <cell r="AR30">
            <v>0.14410897860982486</v>
          </cell>
          <cell r="AS30">
            <v>8.500618503769708E-3</v>
          </cell>
          <cell r="AT30">
            <v>7.8579288602609099E-2</v>
          </cell>
          <cell r="AU30">
            <v>7.4477138958557898E-2</v>
          </cell>
          <cell r="AV30">
            <v>7.6270372778582285E-2</v>
          </cell>
          <cell r="AW30">
            <v>8.6760672804671257E-2</v>
          </cell>
          <cell r="AX30">
            <v>0.11771308513595335</v>
          </cell>
          <cell r="AY30">
            <v>6.6826219089947347E-2</v>
          </cell>
          <cell r="AZ30">
            <v>1.4898365701078164E-2</v>
          </cell>
          <cell r="BA30">
            <v>1.4041663709900565E-2</v>
          </cell>
          <cell r="BB30">
            <v>1.1524659212672761E-2</v>
          </cell>
          <cell r="BC30">
            <v>9.730511230441552E-3</v>
          </cell>
          <cell r="BD30">
            <v>8.5572101175828141E-3</v>
          </cell>
          <cell r="BE30">
            <v>7.5843856635646745E-3</v>
          </cell>
          <cell r="BF30">
            <v>6.7687343739808448E-3</v>
          </cell>
          <cell r="BG30">
            <v>6.0780674114364608E-3</v>
          </cell>
          <cell r="BH30">
            <v>5.4880487452906301E-3</v>
          </cell>
          <cell r="BI30">
            <v>4.9799996840724781E-3</v>
          </cell>
          <cell r="BK30">
            <v>0.14407101266670197</v>
          </cell>
          <cell r="BL30">
            <v>-6.7800639888119685E-2</v>
          </cell>
        </row>
        <row r="31">
          <cell r="BL31">
            <v>0</v>
          </cell>
        </row>
        <row r="32">
          <cell r="A32" t="str">
            <v>Average Total Tables</v>
          </cell>
          <cell r="X32">
            <v>441</v>
          </cell>
          <cell r="Y32">
            <v>441</v>
          </cell>
          <cell r="Z32">
            <v>441</v>
          </cell>
          <cell r="AA32">
            <v>441</v>
          </cell>
          <cell r="AB32">
            <v>441</v>
          </cell>
          <cell r="AC32">
            <v>441</v>
          </cell>
          <cell r="AD32">
            <v>584.87912087912082</v>
          </cell>
          <cell r="AE32">
            <v>680</v>
          </cell>
          <cell r="AF32">
            <v>936.304347826087</v>
          </cell>
          <cell r="AG32">
            <v>660.54586717630195</v>
          </cell>
          <cell r="AH32">
            <v>1159</v>
          </cell>
          <cell r="AI32">
            <v>1235.5</v>
          </cell>
          <cell r="AJ32">
            <v>1270.5</v>
          </cell>
          <cell r="AK32">
            <v>1342</v>
          </cell>
          <cell r="AL32">
            <v>1251.75</v>
          </cell>
          <cell r="AM32">
            <v>1561</v>
          </cell>
          <cell r="AN32">
            <v>1890</v>
          </cell>
          <cell r="AO32">
            <v>2182.5</v>
          </cell>
          <cell r="AP32">
            <v>2624.2705314009663</v>
          </cell>
          <cell r="AQ32">
            <v>2064.4426328502418</v>
          </cell>
          <cell r="AR32">
            <v>2855</v>
          </cell>
          <cell r="AS32">
            <v>3288.666666666667</v>
          </cell>
          <cell r="AT32">
            <v>4422</v>
          </cell>
          <cell r="AU32">
            <v>4791</v>
          </cell>
          <cell r="AV32">
            <v>3839.166666666667</v>
          </cell>
          <cell r="AW32">
            <v>5581</v>
          </cell>
          <cell r="AX32">
            <v>8198.5</v>
          </cell>
          <cell r="AY32">
            <v>9966</v>
          </cell>
          <cell r="AZ32">
            <v>11616</v>
          </cell>
          <cell r="BA32">
            <v>11616</v>
          </cell>
          <cell r="BK32">
            <v>4104.434782608696</v>
          </cell>
          <cell r="BL32">
            <v>-265.268115942029</v>
          </cell>
        </row>
        <row r="33">
          <cell r="A33" t="str">
            <v xml:space="preserve">  Year-over-Year growth</v>
          </cell>
          <cell r="AC33">
            <v>0</v>
          </cell>
          <cell r="AD33">
            <v>0.32625650992997923</v>
          </cell>
          <cell r="AE33">
            <v>0.54195011337868482</v>
          </cell>
          <cell r="AF33">
            <v>1.1231391107167505</v>
          </cell>
          <cell r="AG33">
            <v>0.49783643350635365</v>
          </cell>
          <cell r="AH33">
            <v>1.6281179138321997</v>
          </cell>
          <cell r="AI33">
            <v>1.112402299714415</v>
          </cell>
          <cell r="AJ33">
            <v>0.86838235294117649</v>
          </cell>
          <cell r="AK33">
            <v>0.43329463663803103</v>
          </cell>
          <cell r="AL33">
            <v>0.89502358912784419</v>
          </cell>
          <cell r="AM33">
            <v>0.34685073339085415</v>
          </cell>
          <cell r="AN33">
            <v>0.52974504249291776</v>
          </cell>
          <cell r="AO33">
            <v>0.71782762691853597</v>
          </cell>
          <cell r="AP33">
            <v>0.95549219925556361</v>
          </cell>
          <cell r="AQ33">
            <v>0.6492451630519207</v>
          </cell>
          <cell r="AR33">
            <v>0.82895579756566296</v>
          </cell>
          <cell r="AS33">
            <v>0.74003527336860686</v>
          </cell>
          <cell r="AT33">
            <v>1.0261168384879724</v>
          </cell>
          <cell r="AU33">
            <v>0.82565019218591207</v>
          </cell>
          <cell r="AV33">
            <v>0.85966255762030008</v>
          </cell>
          <cell r="AW33">
            <v>0.45370088995007585</v>
          </cell>
          <cell r="AX33">
            <v>0.46900197097294383</v>
          </cell>
          <cell r="AY33">
            <v>0.21558821735683353</v>
          </cell>
          <cell r="AZ33">
            <v>0.16556291390728473</v>
          </cell>
          <cell r="BA33">
            <v>0</v>
          </cell>
          <cell r="BK33">
            <v>0.90824031392313787</v>
          </cell>
          <cell r="BL33">
            <v>-4.8577756302837782E-2</v>
          </cell>
        </row>
        <row r="34">
          <cell r="A34" t="str">
            <v>Average VIP Tables</v>
          </cell>
          <cell r="X34">
            <v>183</v>
          </cell>
          <cell r="Y34">
            <v>183</v>
          </cell>
          <cell r="Z34">
            <v>183</v>
          </cell>
          <cell r="AA34">
            <v>183</v>
          </cell>
          <cell r="AB34">
            <v>183</v>
          </cell>
          <cell r="AC34">
            <v>183</v>
          </cell>
          <cell r="AD34">
            <v>184.87912087912082</v>
          </cell>
          <cell r="AE34">
            <v>184</v>
          </cell>
          <cell r="AF34">
            <v>227.304347826087</v>
          </cell>
          <cell r="AG34">
            <v>194.79586717630195</v>
          </cell>
          <cell r="AH34">
            <v>276</v>
          </cell>
          <cell r="AI34">
            <v>286</v>
          </cell>
          <cell r="AJ34">
            <v>288</v>
          </cell>
          <cell r="AK34">
            <v>294.5</v>
          </cell>
          <cell r="AL34">
            <v>286.125</v>
          </cell>
          <cell r="AM34">
            <v>374</v>
          </cell>
          <cell r="AN34">
            <v>499</v>
          </cell>
          <cell r="AO34">
            <v>559.97101449275351</v>
          </cell>
          <cell r="AP34">
            <v>535.66666666666697</v>
          </cell>
          <cell r="AQ34">
            <v>492.15942028985546</v>
          </cell>
          <cell r="AR34">
            <v>508.66666666666652</v>
          </cell>
          <cell r="AS34">
            <v>640.66666666666697</v>
          </cell>
          <cell r="AT34">
            <v>834.66666666666652</v>
          </cell>
          <cell r="AU34">
            <v>889.66666666666652</v>
          </cell>
          <cell r="AV34">
            <v>718.41666666666652</v>
          </cell>
          <cell r="AW34">
            <v>927.16666666666697</v>
          </cell>
          <cell r="AX34">
            <v>1302.166666666667</v>
          </cell>
          <cell r="AY34">
            <v>1624.6666666666661</v>
          </cell>
          <cell r="AZ34">
            <v>1949.6666666666661</v>
          </cell>
          <cell r="BA34">
            <v>1949.6666666666661</v>
          </cell>
          <cell r="BK34">
            <v>1007.809782608696</v>
          </cell>
          <cell r="BL34">
            <v>-289.39311594202945</v>
          </cell>
        </row>
        <row r="35">
          <cell r="A35" t="str">
            <v xml:space="preserve">  Year-over-Year growth</v>
          </cell>
          <cell r="AC35">
            <v>0</v>
          </cell>
          <cell r="AD35">
            <v>1.0268420104485365E-2</v>
          </cell>
          <cell r="AE35">
            <v>5.464480874316946E-3</v>
          </cell>
          <cell r="AF35">
            <v>0.24210026134473761</v>
          </cell>
          <cell r="AG35">
            <v>6.4458290580885036E-2</v>
          </cell>
          <cell r="AH35">
            <v>0.50819672131147531</v>
          </cell>
          <cell r="AI35">
            <v>0.54695672848311983</v>
          </cell>
          <cell r="AJ35">
            <v>0.56521739130434789</v>
          </cell>
          <cell r="AK35">
            <v>0.29561973986227974</v>
          </cell>
          <cell r="AL35">
            <v>0.46884533099996273</v>
          </cell>
          <cell r="AM35">
            <v>0.35507246376811596</v>
          </cell>
          <cell r="AN35">
            <v>0.74475524475524479</v>
          </cell>
          <cell r="AO35">
            <v>0.94434380032206078</v>
          </cell>
          <cell r="AP35">
            <v>0.81890209394453972</v>
          </cell>
          <cell r="AQ35">
            <v>0.72008534832627502</v>
          </cell>
          <cell r="AR35">
            <v>0.36007130124777142</v>
          </cell>
          <cell r="AS35">
            <v>0.28390113560454311</v>
          </cell>
          <cell r="AT35">
            <v>0.49055334127025207</v>
          </cell>
          <cell r="AU35">
            <v>0.66085874299937641</v>
          </cell>
          <cell r="AV35">
            <v>0.45972349009099056</v>
          </cell>
          <cell r="AW35">
            <v>0.29056953949657882</v>
          </cell>
          <cell r="AX35">
            <v>0.40445802624483185</v>
          </cell>
          <cell r="AY35">
            <v>0.24766414949443161</v>
          </cell>
          <cell r="AZ35">
            <v>0.20004103405826834</v>
          </cell>
          <cell r="BA35">
            <v>0</v>
          </cell>
          <cell r="BK35">
            <v>0.88193406087833015</v>
          </cell>
          <cell r="BL35">
            <v>-0.42221057078733959</v>
          </cell>
        </row>
        <row r="36">
          <cell r="A36" t="str">
            <v>Average Mass Market Tables</v>
          </cell>
          <cell r="X36">
            <v>258</v>
          </cell>
          <cell r="Y36">
            <v>258</v>
          </cell>
          <cell r="Z36">
            <v>258</v>
          </cell>
          <cell r="AA36">
            <v>258</v>
          </cell>
          <cell r="AB36">
            <v>258</v>
          </cell>
          <cell r="AC36">
            <v>258</v>
          </cell>
          <cell r="AD36">
            <v>400</v>
          </cell>
          <cell r="AE36">
            <v>496</v>
          </cell>
          <cell r="AF36">
            <v>709</v>
          </cell>
          <cell r="AG36">
            <v>465.75</v>
          </cell>
          <cell r="AH36">
            <v>883</v>
          </cell>
          <cell r="AI36">
            <v>949.5</v>
          </cell>
          <cell r="AJ36">
            <v>982.5</v>
          </cell>
          <cell r="AK36">
            <v>1047.5</v>
          </cell>
          <cell r="AL36">
            <v>965.625</v>
          </cell>
          <cell r="AM36">
            <v>1187</v>
          </cell>
          <cell r="AN36">
            <v>1391</v>
          </cell>
          <cell r="AO36">
            <v>1622.5289855072465</v>
          </cell>
          <cell r="AP36">
            <v>2088.6038647342993</v>
          </cell>
          <cell r="AQ36">
            <v>1572.2832125603863</v>
          </cell>
          <cell r="AR36">
            <v>2346.3333333333335</v>
          </cell>
          <cell r="AS36">
            <v>2648</v>
          </cell>
          <cell r="AT36">
            <v>3587.3333333333335</v>
          </cell>
          <cell r="AU36">
            <v>3901.3333333333335</v>
          </cell>
          <cell r="AV36">
            <v>3120.7500000000005</v>
          </cell>
          <cell r="AW36">
            <v>4653.833333333333</v>
          </cell>
          <cell r="AX36">
            <v>6896.333333333333</v>
          </cell>
          <cell r="AY36">
            <v>8341.3333333333339</v>
          </cell>
          <cell r="AZ36">
            <v>9666.3333333333339</v>
          </cell>
          <cell r="BA36">
            <v>9666.3333333333339</v>
          </cell>
          <cell r="BK36">
            <v>3096.625</v>
          </cell>
          <cell r="BL36">
            <v>24.125000000000455</v>
          </cell>
        </row>
        <row r="37">
          <cell r="A37" t="str">
            <v xml:space="preserve">  Year-over-Year growth</v>
          </cell>
          <cell r="AC37">
            <v>0</v>
          </cell>
          <cell r="AD37">
            <v>0.5503875968992249</v>
          </cell>
          <cell r="AE37">
            <v>0.92248062015503884</v>
          </cell>
          <cell r="AF37">
            <v>1.748062015503876</v>
          </cell>
          <cell r="AG37">
            <v>0.80523255813953498</v>
          </cell>
          <cell r="AH37">
            <v>2.4224806201550386</v>
          </cell>
          <cell r="AI37">
            <v>1.3737499999999998</v>
          </cell>
          <cell r="AJ37">
            <v>0.98084677419354849</v>
          </cell>
          <cell r="AK37">
            <v>0.47743300423131174</v>
          </cell>
          <cell r="AL37">
            <v>1.0732689210950079</v>
          </cell>
          <cell r="AM37">
            <v>0.34428086070215169</v>
          </cell>
          <cell r="AN37">
            <v>0.46498156924697209</v>
          </cell>
          <cell r="AO37">
            <v>0.65142899288269374</v>
          </cell>
          <cell r="AP37">
            <v>0.99389390428095403</v>
          </cell>
          <cell r="AQ37">
            <v>0.62825445960946169</v>
          </cell>
          <cell r="AR37">
            <v>0.97669194046616137</v>
          </cell>
          <cell r="AS37">
            <v>0.90366642703091293</v>
          </cell>
          <cell r="AT37">
            <v>1.2109517705853716</v>
          </cell>
          <cell r="AU37">
            <v>0.86791444716092192</v>
          </cell>
          <cell r="AV37">
            <v>0.98485233135448391</v>
          </cell>
          <cell r="AW37">
            <v>0.49125477315816135</v>
          </cell>
          <cell r="AX37">
            <v>0.48186083157253878</v>
          </cell>
          <cell r="AY37">
            <v>0.20953163516844708</v>
          </cell>
          <cell r="AZ37">
            <v>0.15884750639386191</v>
          </cell>
          <cell r="BA37">
            <v>0</v>
          </cell>
          <cell r="BK37">
            <v>0.91696114461175471</v>
          </cell>
          <cell r="BL37">
            <v>6.7891186742729204E-2</v>
          </cell>
        </row>
        <row r="38">
          <cell r="A38" t="str">
            <v>Average Slots</v>
          </cell>
          <cell r="X38">
            <v>808</v>
          </cell>
          <cell r="Y38">
            <v>808</v>
          </cell>
          <cell r="Z38">
            <v>808</v>
          </cell>
          <cell r="AA38">
            <v>873</v>
          </cell>
          <cell r="AB38">
            <v>824.25</v>
          </cell>
          <cell r="AC38">
            <v>873</v>
          </cell>
          <cell r="AD38">
            <v>1130.8791208791208</v>
          </cell>
          <cell r="AE38">
            <v>2027</v>
          </cell>
          <cell r="AF38">
            <v>2163.782608695652</v>
          </cell>
          <cell r="AG38">
            <v>1548.6654323936932</v>
          </cell>
          <cell r="AH38">
            <v>2721</v>
          </cell>
          <cell r="AI38">
            <v>2774.5</v>
          </cell>
          <cell r="AJ38">
            <v>2927</v>
          </cell>
          <cell r="AK38">
            <v>3251.5</v>
          </cell>
          <cell r="AL38">
            <v>2918.5</v>
          </cell>
          <cell r="AM38">
            <v>3988.5</v>
          </cell>
          <cell r="AN38">
            <v>4378</v>
          </cell>
          <cell r="AO38">
            <v>4849</v>
          </cell>
          <cell r="AP38">
            <v>5855.5</v>
          </cell>
          <cell r="AQ38">
            <v>4767.75</v>
          </cell>
          <cell r="AR38">
            <v>7518.782608695652</v>
          </cell>
          <cell r="AS38">
            <v>8227.115942028986</v>
          </cell>
          <cell r="AT38">
            <v>13641.782608695652</v>
          </cell>
          <cell r="AU38">
            <v>14878.782608695652</v>
          </cell>
          <cell r="AV38">
            <v>11066.615942028986</v>
          </cell>
          <cell r="AW38">
            <v>17875.782608695652</v>
          </cell>
          <cell r="AX38">
            <v>27650.782608695652</v>
          </cell>
          <cell r="AY38">
            <v>38425.782608695648</v>
          </cell>
          <cell r="AZ38">
            <v>46525.782608695648</v>
          </cell>
          <cell r="BA38">
            <v>47125.782608695648</v>
          </cell>
          <cell r="BK38">
            <v>9388.7391304347821</v>
          </cell>
          <cell r="BL38">
            <v>1677.8768115942039</v>
          </cell>
        </row>
        <row r="39">
          <cell r="A39" t="str">
            <v xml:space="preserve">  Year-over-Year growth</v>
          </cell>
          <cell r="AC39">
            <v>8.0445544554455406E-2</v>
          </cell>
          <cell r="AD39">
            <v>0.39960287237514946</v>
          </cell>
          <cell r="AE39">
            <v>1.5086633663366338</v>
          </cell>
          <cell r="AF39">
            <v>1.4785596892275512</v>
          </cell>
          <cell r="AG39">
            <v>0.87887829225804448</v>
          </cell>
          <cell r="AH39">
            <v>2.1168384879725086</v>
          </cell>
          <cell r="AI39">
            <v>1.4534010300262366</v>
          </cell>
          <cell r="AJ39">
            <v>0.44400592007893436</v>
          </cell>
          <cell r="AK39">
            <v>0.50269254727027968</v>
          </cell>
          <cell r="AL39">
            <v>0.88452582394702461</v>
          </cell>
          <cell r="AM39">
            <v>0.46582138919514882</v>
          </cell>
          <cell r="AN39">
            <v>0.57794197152640114</v>
          </cell>
          <cell r="AO39">
            <v>0.65664502903997257</v>
          </cell>
          <cell r="AP39">
            <v>0.80086114101184069</v>
          </cell>
          <cell r="AQ39">
            <v>0.63363028953229406</v>
          </cell>
          <cell r="AR39">
            <v>0.88511535883055092</v>
          </cell>
          <cell r="AS39">
            <v>0.87919505299885481</v>
          </cell>
          <cell r="AT39">
            <v>1.8133187479265112</v>
          </cell>
          <cell r="AU39">
            <v>1.5409926750398175</v>
          </cell>
          <cell r="AV39">
            <v>1.3211401482940559</v>
          </cell>
          <cell r="AW39">
            <v>0.61528896478703077</v>
          </cell>
          <cell r="AX39">
            <v>0.54682920541028301</v>
          </cell>
          <cell r="AY39">
            <v>0.38968155630471957</v>
          </cell>
          <cell r="AZ39">
            <v>0.21079596692890767</v>
          </cell>
          <cell r="BA39">
            <v>1.2896075387840211E-2</v>
          </cell>
          <cell r="BK39">
            <v>0.98914957126029623</v>
          </cell>
          <cell r="BL39">
            <v>0.33199057703375967</v>
          </cell>
        </row>
        <row r="40">
          <cell r="BL40">
            <v>0</v>
          </cell>
        </row>
        <row r="41">
          <cell r="A41" t="str">
            <v>Daily Win/Table (US$)</v>
          </cell>
          <cell r="X41">
            <v>20878.371700446176</v>
          </cell>
          <cell r="Y41">
            <v>16018.230552374755</v>
          </cell>
          <cell r="Z41">
            <v>23208.008050217322</v>
          </cell>
          <cell r="AA41">
            <v>25516.865399353974</v>
          </cell>
          <cell r="AB41">
            <v>21423.0158648406</v>
          </cell>
          <cell r="AC41">
            <v>27942.175562350341</v>
          </cell>
          <cell r="AD41">
            <v>21520.504062701977</v>
          </cell>
          <cell r="AE41">
            <v>21326.732189187915</v>
          </cell>
          <cell r="AF41">
            <v>15492.559288536297</v>
          </cell>
          <cell r="AG41">
            <v>20414.826766476152</v>
          </cell>
          <cell r="AH41">
            <v>12362.080724846539</v>
          </cell>
          <cell r="AI41">
            <v>12245.199541216536</v>
          </cell>
          <cell r="AJ41">
            <v>11833.739383548802</v>
          </cell>
          <cell r="AK41">
            <v>11193.953182029822</v>
          </cell>
          <cell r="AL41">
            <v>11887.951376957966</v>
          </cell>
          <cell r="AM41">
            <v>10624.081807773682</v>
          </cell>
          <cell r="AN41">
            <v>8888.5375798081623</v>
          </cell>
          <cell r="AO41">
            <v>8101.2104045306896</v>
          </cell>
          <cell r="AP41">
            <v>8180.5502025059914</v>
          </cell>
          <cell r="AQ41">
            <v>8789.413707071848</v>
          </cell>
          <cell r="AR41">
            <v>8253.9689289360504</v>
          </cell>
          <cell r="AS41">
            <v>6276.1665605991375</v>
          </cell>
          <cell r="AT41">
            <v>4702.2807171656068</v>
          </cell>
          <cell r="AU41">
            <v>5009.0981311412315</v>
          </cell>
          <cell r="AV41">
            <v>5794.6280674243335</v>
          </cell>
          <cell r="AW41">
            <v>4418.7291130811236</v>
          </cell>
          <cell r="AX41">
            <v>3327.7505285950278</v>
          </cell>
          <cell r="AY41">
            <v>2957.6453872411762</v>
          </cell>
          <cell r="AZ41">
            <v>2678.1458741867596</v>
          </cell>
          <cell r="BA41">
            <v>2912.0188823426479</v>
          </cell>
          <cell r="BK41">
            <v>4961.6795122459662</v>
          </cell>
          <cell r="BL41">
            <v>832.94855517836731</v>
          </cell>
        </row>
        <row r="42">
          <cell r="A42" t="str">
            <v xml:space="preserve">  Year-over-Year growth</v>
          </cell>
          <cell r="AC42">
            <v>0.33833116697281573</v>
          </cell>
          <cell r="AD42">
            <v>0.34350070641925501</v>
          </cell>
          <cell r="AE42">
            <v>-8.1061496400669841E-2</v>
          </cell>
          <cell r="AF42">
            <v>-0.39285021705963419</v>
          </cell>
          <cell r="AG42">
            <v>-4.7061025614936192E-2</v>
          </cell>
          <cell r="AH42">
            <v>-0.55758345669034548</v>
          </cell>
          <cell r="AI42">
            <v>-0.43099847914625899</v>
          </cell>
          <cell r="AJ42">
            <v>-0.44512177118498286</v>
          </cell>
          <cell r="AK42">
            <v>-0.27746262102009345</v>
          </cell>
          <cell r="AL42">
            <v>-0.41768051657045868</v>
          </cell>
          <cell r="AM42">
            <v>-0.1405911315220304</v>
          </cell>
          <cell r="AN42">
            <v>-0.27412064214307574</v>
          </cell>
          <cell r="AO42">
            <v>-0.31541416098845754</v>
          </cell>
          <cell r="AP42">
            <v>-0.26919917660200576</v>
          </cell>
          <cell r="AQ42">
            <v>-0.26064521729891277</v>
          </cell>
          <cell r="AR42">
            <v>-0.223088726322063</v>
          </cell>
          <cell r="AS42">
            <v>-0.29390335538924572</v>
          </cell>
          <cell r="AT42">
            <v>-0.41955825335238728</v>
          </cell>
          <cell r="AU42">
            <v>-0.38768200094820415</v>
          </cell>
          <cell r="AV42">
            <v>-0.34072643972122385</v>
          </cell>
          <cell r="AW42">
            <v>-0.2374438770415831</v>
          </cell>
          <cell r="AX42">
            <v>-0.2468987250782998</v>
          </cell>
          <cell r="AY42">
            <v>-0.11121781460887026</v>
          </cell>
          <cell r="AZ42">
            <v>-9.4500684314669403E-2</v>
          </cell>
          <cell r="BA42">
            <v>8.7326463584402658E-2</v>
          </cell>
          <cell r="BK42">
            <v>-0.38297983646888889</v>
          </cell>
          <cell r="BL42">
            <v>4.225339674766504E-2</v>
          </cell>
        </row>
        <row r="43">
          <cell r="A43" t="str">
            <v>Daily VIP Win/Table (US$)</v>
          </cell>
          <cell r="X43">
            <v>39231.834225657789</v>
          </cell>
          <cell r="Y43">
            <v>30099.309210291707</v>
          </cell>
          <cell r="Z43">
            <v>43609.374217358141</v>
          </cell>
          <cell r="AA43">
            <v>47947.86909960441</v>
          </cell>
          <cell r="AB43">
            <v>40255.256448236447</v>
          </cell>
          <cell r="AC43">
            <v>51147.950942594696</v>
          </cell>
          <cell r="AD43">
            <v>49200.47753068844</v>
          </cell>
          <cell r="AE43">
            <v>56373.88034573348</v>
          </cell>
          <cell r="AF43">
            <v>46537.441338625496</v>
          </cell>
          <cell r="AG43">
            <v>50592.455869262696</v>
          </cell>
          <cell r="AH43">
            <v>35079.721714892054</v>
          </cell>
          <cell r="AI43">
            <v>35599.544166450578</v>
          </cell>
          <cell r="AJ43">
            <v>32973.562134291162</v>
          </cell>
          <cell r="AK43">
            <v>30496.571499948626</v>
          </cell>
          <cell r="AL43">
            <v>33492.743825717982</v>
          </cell>
          <cell r="AM43">
            <v>28914.768388849123</v>
          </cell>
          <cell r="AN43">
            <v>22314.73689256149</v>
          </cell>
          <cell r="AO43">
            <v>21443.140745718862</v>
          </cell>
          <cell r="AP43">
            <v>27820.624877638747</v>
          </cell>
          <cell r="AQ43">
            <v>24840.441493932929</v>
          </cell>
          <cell r="AR43">
            <v>31652.45380119871</v>
          </cell>
          <cell r="AS43">
            <v>22594.541866084237</v>
          </cell>
          <cell r="AT43">
            <v>16543.9311528172</v>
          </cell>
          <cell r="AU43">
            <v>18425.821879431271</v>
          </cell>
          <cell r="AV43">
            <v>21145.682313409634</v>
          </cell>
          <cell r="AW43">
            <v>17695.549290114752</v>
          </cell>
          <cell r="AX43">
            <v>13355.530672336219</v>
          </cell>
          <cell r="AY43">
            <v>11132.604799823705</v>
          </cell>
          <cell r="AZ43">
            <v>9555.1590473877513</v>
          </cell>
          <cell r="BA43">
            <v>9814.9236171186476</v>
          </cell>
          <cell r="BK43">
            <v>10898.654068658198</v>
          </cell>
          <cell r="BL43">
            <v>10247.028244751436</v>
          </cell>
        </row>
        <row r="44">
          <cell r="A44" t="str">
            <v xml:space="preserve">  Year-over-Year growth</v>
          </cell>
          <cell r="AC44">
            <v>0.30373590611125989</v>
          </cell>
          <cell r="AD44">
            <v>0.63460487371801766</v>
          </cell>
          <cell r="AE44">
            <v>0.29270096985924177</v>
          </cell>
          <cell r="AF44">
            <v>-2.9415859087480234E-2</v>
          </cell>
          <cell r="AG44">
            <v>0.25679129468020356</v>
          </cell>
          <cell r="AH44">
            <v>-0.31415196369717002</v>
          </cell>
          <cell r="AI44">
            <v>-0.2764390519533958</v>
          </cell>
          <cell r="AJ44">
            <v>-0.41509149393178701</v>
          </cell>
          <cell r="AK44">
            <v>-0.34468740388963215</v>
          </cell>
          <cell r="AL44">
            <v>-0.33798936520758216</v>
          </cell>
          <cell r="AM44">
            <v>-0.17574122668783265</v>
          </cell>
          <cell r="AN44">
            <v>-0.37317352187921671</v>
          </cell>
          <cell r="AO44">
            <v>-0.34968685947888933</v>
          </cell>
          <cell r="AP44">
            <v>-8.7745818323033076E-2</v>
          </cell>
          <cell r="AQ44">
            <v>-0.25833363718445879</v>
          </cell>
          <cell r="AR44">
            <v>9.4681215340647995E-2</v>
          </cell>
          <cell r="AS44">
            <v>1.2539021852236987E-2</v>
          </cell>
          <cell r="AT44">
            <v>-0.2284744408945687</v>
          </cell>
          <cell r="AU44">
            <v>-0.3376920194829518</v>
          </cell>
          <cell r="AV44">
            <v>-0.14873967443073466</v>
          </cell>
          <cell r="AW44">
            <v>-0.16316016537839328</v>
          </cell>
          <cell r="AX44">
            <v>-0.24526046333034679</v>
          </cell>
          <cell r="AY44">
            <v>-0.16644234714813233</v>
          </cell>
          <cell r="AZ44">
            <v>-0.14169601641306206</v>
          </cell>
          <cell r="BA44">
            <v>2.7185792349726734E-2</v>
          </cell>
          <cell r="BK44">
            <v>-0.41549492999419368</v>
          </cell>
          <cell r="BL44">
            <v>0.26675525556345903</v>
          </cell>
        </row>
        <row r="45">
          <cell r="A45" t="str">
            <v>Daily Mass Market Win/Table (US$)</v>
          </cell>
          <cell r="X45">
            <v>7860.2180488425865</v>
          </cell>
          <cell r="Y45">
            <v>6030.4887136197112</v>
          </cell>
          <cell r="Z45">
            <v>8737.2715828267374</v>
          </cell>
          <cell r="AA45">
            <v>9606.5023096414607</v>
          </cell>
          <cell r="AB45">
            <v>8065.2638231295905</v>
          </cell>
          <cell r="AC45">
            <v>11482.265118223535</v>
          </cell>
          <cell r="AD45">
            <v>8726.8811609051645</v>
          </cell>
          <cell r="AE45">
            <v>8325.370776275855</v>
          </cell>
          <cell r="AF45">
            <v>5539.6161746670159</v>
          </cell>
          <cell r="AG45">
            <v>7793.2971252477782</v>
          </cell>
          <cell r="AH45">
            <v>5261.2099284110227</v>
          </cell>
          <cell r="AI45">
            <v>5210.6102175546766</v>
          </cell>
          <cell r="AJ45">
            <v>5637.0279818044764</v>
          </cell>
          <cell r="AK45">
            <v>5767.1072683046768</v>
          </cell>
          <cell r="AL45">
            <v>5486.2206435972312</v>
          </cell>
          <cell r="AM45">
            <v>4861.0516634415735</v>
          </cell>
          <cell r="AN45">
            <v>4072.0936854415809</v>
          </cell>
          <cell r="AO45">
            <v>3496.6120675024445</v>
          </cell>
          <cell r="AP45">
            <v>3143.4373674920867</v>
          </cell>
          <cell r="AQ45">
            <v>3765.0870033772258</v>
          </cell>
          <cell r="AR45">
            <v>3181.3609000863839</v>
          </cell>
          <cell r="AS45">
            <v>2328.0400075852417</v>
          </cell>
          <cell r="AT45">
            <v>1947.0779025520055</v>
          </cell>
          <cell r="AU45">
            <v>1949.5257042627188</v>
          </cell>
          <cell r="AV45">
            <v>2260.7169174700166</v>
          </cell>
          <cell r="AW45">
            <v>1773.6354395919532</v>
          </cell>
          <cell r="AX45">
            <v>1434.3036180858212</v>
          </cell>
          <cell r="AY45">
            <v>1365.3838712194677</v>
          </cell>
          <cell r="AZ45">
            <v>1291.0756286592386</v>
          </cell>
          <cell r="BA45">
            <v>1519.7263966119397</v>
          </cell>
          <cell r="BK45">
            <v>3029.4658806143771</v>
          </cell>
          <cell r="BL45">
            <v>-768.74896314436046</v>
          </cell>
        </row>
        <row r="46">
          <cell r="A46" t="str">
            <v xml:space="preserve">  Year-over-Year growth</v>
          </cell>
          <cell r="AC46">
            <v>0.46080745430647352</v>
          </cell>
          <cell r="AD46">
            <v>0.44712668828907964</v>
          </cell>
          <cell r="AE46">
            <v>-4.7142955629361549E-2</v>
          </cell>
          <cell r="AF46">
            <v>-0.42334722918795942</v>
          </cell>
          <cell r="AG46">
            <v>-3.3720744149976278E-2</v>
          </cell>
          <cell r="AH46">
            <v>-0.54179686026749707</v>
          </cell>
          <cell r="AI46">
            <v>-0.40292412358068308</v>
          </cell>
          <cell r="AJ46">
            <v>-0.32290967774457979</v>
          </cell>
          <cell r="AK46">
            <v>4.1066219475275334E-2</v>
          </cell>
          <cell r="AL46">
            <v>-0.29603343034058849</v>
          </cell>
          <cell r="AM46">
            <v>-7.6058220526148856E-2</v>
          </cell>
          <cell r="AN46">
            <v>-0.21849965446991315</v>
          </cell>
          <cell r="AO46">
            <v>-0.37970645546039328</v>
          </cell>
          <cell r="AP46">
            <v>-0.45493689968833462</v>
          </cell>
          <cell r="AQ46">
            <v>-0.3137193620217732</v>
          </cell>
          <cell r="AR46">
            <v>-0.34554061130179103</v>
          </cell>
          <cell r="AS46">
            <v>-0.42829409453216272</v>
          </cell>
          <cell r="AT46">
            <v>-0.44315301069621893</v>
          </cell>
          <cell r="AU46">
            <v>-0.37981086423932808</v>
          </cell>
          <cell r="AV46">
            <v>-0.39955785472096983</v>
          </cell>
          <cell r="AW46">
            <v>-0.21545443134170006</v>
          </cell>
          <cell r="AX46">
            <v>-0.19131993753135623</v>
          </cell>
          <cell r="AY46">
            <v>-4.805101653325794E-2</v>
          </cell>
          <cell r="AZ46">
            <v>-5.4422967874860007E-2</v>
          </cell>
          <cell r="BA46">
            <v>0.17710098686484477</v>
          </cell>
          <cell r="BK46">
            <v>-0.33062453443542383</v>
          </cell>
          <cell r="BL46">
            <v>-6.8933320285545996E-2</v>
          </cell>
        </row>
        <row r="47">
          <cell r="A47" t="str">
            <v>Daily Win/Slot (US$)</v>
          </cell>
          <cell r="X47">
            <v>98.19869269441466</v>
          </cell>
          <cell r="Y47">
            <v>75.33965397729358</v>
          </cell>
          <cell r="Z47">
            <v>109.15583280491602</v>
          </cell>
          <cell r="AA47">
            <v>111.07939887061613</v>
          </cell>
          <cell r="AB47">
            <v>95.440555439451785</v>
          </cell>
          <cell r="AC47">
            <v>143.14283538202235</v>
          </cell>
          <cell r="AD47">
            <v>191.53347346963304</v>
          </cell>
          <cell r="AE47">
            <v>126.40764176566685</v>
          </cell>
          <cell r="AF47">
            <v>112.63000444921863</v>
          </cell>
          <cell r="AG47">
            <v>136.89300769567095</v>
          </cell>
          <cell r="AH47">
            <v>123.98394807565924</v>
          </cell>
          <cell r="AI47">
            <v>145.71944061776799</v>
          </cell>
          <cell r="AJ47">
            <v>151.26965356397008</v>
          </cell>
          <cell r="AK47">
            <v>146.06092605512933</v>
          </cell>
          <cell r="AL47">
            <v>142.29534428720078</v>
          </cell>
          <cell r="AM47">
            <v>148.16941110887214</v>
          </cell>
          <cell r="AN47">
            <v>139.46826227447755</v>
          </cell>
          <cell r="AO47">
            <v>145.23621498801791</v>
          </cell>
          <cell r="AP47">
            <v>140.82587089775592</v>
          </cell>
          <cell r="AQ47">
            <v>143.3181059766107</v>
          </cell>
          <cell r="AR47">
            <v>151.1327993310496</v>
          </cell>
          <cell r="AS47">
            <v>142.25762751996712</v>
          </cell>
          <cell r="AT47">
            <v>148.14093928777828</v>
          </cell>
          <cell r="AU47">
            <v>143.64238831571103</v>
          </cell>
          <cell r="AV47">
            <v>146.39160569190702</v>
          </cell>
          <cell r="AW47">
            <v>149.31943780574517</v>
          </cell>
          <cell r="AX47">
            <v>152.30582656186007</v>
          </cell>
          <cell r="AY47">
            <v>155.35194309309728</v>
          </cell>
          <cell r="AZ47">
            <v>158.45898195495923</v>
          </cell>
          <cell r="BA47">
            <v>161.62816159405841</v>
          </cell>
          <cell r="BK47">
            <v>148.71946710450229</v>
          </cell>
          <cell r="BL47">
            <v>-2.3278614125952686</v>
          </cell>
        </row>
        <row r="48">
          <cell r="A48" t="str">
            <v xml:space="preserve">  Year-over-Year growth</v>
          </cell>
          <cell r="AC48">
            <v>0.45768575379582455</v>
          </cell>
          <cell r="AD48">
            <v>1.5422664341856258</v>
          </cell>
          <cell r="AE48">
            <v>0.1580475226787319</v>
          </cell>
          <cell r="AF48">
            <v>1.3959434371882296E-2</v>
          </cell>
          <cell r="AG48">
            <v>0.43432744146713298</v>
          </cell>
          <cell r="AH48">
            <v>-0.13384454244762933</v>
          </cell>
          <cell r="AI48">
            <v>-0.23919595892009293</v>
          </cell>
          <cell r="AJ48">
            <v>0.19668124055658098</v>
          </cell>
          <cell r="AK48">
            <v>0.29682074301065708</v>
          </cell>
          <cell r="AL48">
            <v>3.9463933786449079E-2</v>
          </cell>
          <cell r="AM48">
            <v>0.1950693086370674</v>
          </cell>
          <cell r="AN48">
            <v>-4.2898725913227298E-2</v>
          </cell>
          <cell r="AO48">
            <v>-3.9885320246342171E-2</v>
          </cell>
          <cell r="AP48">
            <v>-3.5841585417563993E-2</v>
          </cell>
          <cell r="AQ48">
            <v>7.1875977006361502E-3</v>
          </cell>
          <cell r="AR48">
            <v>0.02</v>
          </cell>
          <cell r="AS48">
            <v>0.02</v>
          </cell>
          <cell r="AT48">
            <v>0.02</v>
          </cell>
          <cell r="AU48">
            <v>0.02</v>
          </cell>
          <cell r="AV48">
            <v>2.1445299561786868E-2</v>
          </cell>
          <cell r="AW48">
            <v>0.02</v>
          </cell>
          <cell r="AX48">
            <v>0.02</v>
          </cell>
          <cell r="AY48">
            <v>0.02</v>
          </cell>
          <cell r="AZ48">
            <v>0.02</v>
          </cell>
          <cell r="BA48">
            <v>0.02</v>
          </cell>
          <cell r="BK48">
            <v>0.02</v>
          </cell>
          <cell r="BL48">
            <v>1.4452995617868676E-3</v>
          </cell>
        </row>
        <row r="49">
          <cell r="BL49">
            <v>0</v>
          </cell>
        </row>
        <row r="50">
          <cell r="A50" t="str">
            <v>Visitors (millions)</v>
          </cell>
          <cell r="BL50">
            <v>0</v>
          </cell>
        </row>
        <row r="51">
          <cell r="A51" t="str">
            <v>Total</v>
          </cell>
          <cell r="B51">
            <v>7.8292999999999999</v>
          </cell>
          <cell r="C51">
            <v>7.8338000000000001</v>
          </cell>
          <cell r="D51">
            <v>7.7525000000000004</v>
          </cell>
          <cell r="E51">
            <v>8.1510999999999996</v>
          </cell>
          <cell r="F51">
            <v>7.0004</v>
          </cell>
          <cell r="G51">
            <v>6.9485000000000001</v>
          </cell>
          <cell r="H51">
            <v>7.4439000000000002</v>
          </cell>
          <cell r="I51">
            <v>2.175767</v>
          </cell>
          <cell r="J51">
            <v>2.1899030000000002</v>
          </cell>
          <cell r="K51">
            <v>2.4746739999999998</v>
          </cell>
          <cell r="L51">
            <v>2.3218679999999998</v>
          </cell>
          <cell r="M51">
            <v>9.1622120000000002</v>
          </cell>
          <cell r="N51">
            <v>2.4530820000000002</v>
          </cell>
          <cell r="O51">
            <v>2.5566200000000001</v>
          </cell>
          <cell r="P51">
            <v>2.6891560000000001</v>
          </cell>
          <cell r="Q51">
            <v>2.5801150000000002</v>
          </cell>
          <cell r="R51">
            <v>10.278973000000001</v>
          </cell>
          <cell r="S51">
            <v>2.6729509999999999</v>
          </cell>
          <cell r="T51">
            <v>2.8038780000000001</v>
          </cell>
          <cell r="U51">
            <v>3.0133160000000001</v>
          </cell>
          <cell r="V51">
            <v>3.0406960000000001</v>
          </cell>
          <cell r="W51">
            <v>11.530841000000001</v>
          </cell>
          <cell r="X51">
            <v>2.995587</v>
          </cell>
          <cell r="Y51">
            <v>2.0730729999999999</v>
          </cell>
          <cell r="Z51">
            <v>3.3212470000000001</v>
          </cell>
          <cell r="AA51">
            <v>3.4979689999999999</v>
          </cell>
          <cell r="AB51">
            <v>11.887875999999999</v>
          </cell>
          <cell r="AC51">
            <v>3.7514470000000002</v>
          </cell>
          <cell r="AD51">
            <v>3.9834390000000002</v>
          </cell>
          <cell r="AE51">
            <v>4.4552269999999998</v>
          </cell>
          <cell r="AF51">
            <v>4.482443</v>
          </cell>
          <cell r="AG51">
            <v>16.672556</v>
          </cell>
          <cell r="AH51">
            <v>4.4570220000000003</v>
          </cell>
          <cell r="AI51">
            <v>4.4663009999999996</v>
          </cell>
          <cell r="AJ51">
            <v>4.8511319999999998</v>
          </cell>
          <cell r="AK51">
            <v>4.9367320000000001</v>
          </cell>
          <cell r="AL51">
            <v>18.711186999999999</v>
          </cell>
          <cell r="AM51">
            <v>5.2480180000000001</v>
          </cell>
          <cell r="AN51">
            <v>5.1744620000000001</v>
          </cell>
          <cell r="AO51">
            <v>5.4733140000000002</v>
          </cell>
          <cell r="AP51">
            <v>6.102328</v>
          </cell>
          <cell r="AQ51">
            <v>21.998122000000002</v>
          </cell>
          <cell r="AR51">
            <v>6.2021452000000004</v>
          </cell>
          <cell r="AS51">
            <v>5.9977077000000003</v>
          </cell>
          <cell r="AT51">
            <v>7.1657113800000003</v>
          </cell>
          <cell r="AU51">
            <v>7.4876471791448207</v>
          </cell>
          <cell r="AV51">
            <v>26.853211459144823</v>
          </cell>
          <cell r="AW51">
            <v>31.112956369452657</v>
          </cell>
          <cell r="AX51">
            <v>35.938386716715485</v>
          </cell>
          <cell r="AY51">
            <v>41.464358695646425</v>
          </cell>
          <cell r="AZ51">
            <v>46.725028260970944</v>
          </cell>
          <cell r="BA51">
            <v>51.917160814241257</v>
          </cell>
          <cell r="BB51">
            <v>57.225724977400361</v>
          </cell>
          <cell r="BC51">
            <v>62.698682591780887</v>
          </cell>
          <cell r="BD51">
            <v>68.453241363633722</v>
          </cell>
          <cell r="BE51">
            <v>74.501429399553246</v>
          </cell>
          <cell r="BF51">
            <v>80.855743837087061</v>
          </cell>
          <cell r="BG51">
            <v>87.529168173325587</v>
          </cell>
          <cell r="BH51">
            <v>94.535190211282512</v>
          </cell>
          <cell r="BI51">
            <v>101.88782064554243</v>
          </cell>
          <cell r="BK51">
            <v>25.885017569144825</v>
          </cell>
          <cell r="BL51">
            <v>0.96819388999999845</v>
          </cell>
        </row>
        <row r="52">
          <cell r="A52" t="str">
            <v xml:space="preserve">  Year-over-Year growth</v>
          </cell>
          <cell r="C52">
            <v>5.7476402743539268E-4</v>
          </cell>
          <cell r="D52">
            <v>-1.0378105134162152E-2</v>
          </cell>
          <cell r="E52">
            <v>5.1415672363753551E-2</v>
          </cell>
          <cell r="F52">
            <v>-0.1411711302768951</v>
          </cell>
          <cell r="G52">
            <v>-7.4138620650248122E-3</v>
          </cell>
          <cell r="H52">
            <v>7.1295963157516073E-2</v>
          </cell>
          <cell r="I52" t="str">
            <v>N.M.</v>
          </cell>
          <cell r="J52" t="str">
            <v>N.M.</v>
          </cell>
          <cell r="K52" t="str">
            <v>N.M.</v>
          </cell>
          <cell r="L52" t="str">
            <v>N.M.</v>
          </cell>
          <cell r="M52">
            <v>0.23083491180698301</v>
          </cell>
          <cell r="N52">
            <v>0.12745620280112724</v>
          </cell>
          <cell r="O52">
            <v>0.16745810202552347</v>
          </cell>
          <cell r="P52">
            <v>8.667080997335419E-2</v>
          </cell>
          <cell r="Q52">
            <v>0.11122380772722673</v>
          </cell>
          <cell r="R52">
            <v>0.12188770571997254</v>
          </cell>
          <cell r="S52">
            <v>8.9629698477262432E-2</v>
          </cell>
          <cell r="T52">
            <v>9.6712847431374316E-2</v>
          </cell>
          <cell r="U52">
            <v>0.12054339725921448</v>
          </cell>
          <cell r="V52">
            <v>0.17851181052007359</v>
          </cell>
          <cell r="W52">
            <v>0.12178920987534458</v>
          </cell>
          <cell r="X52">
            <v>0.12070404582800065</v>
          </cell>
          <cell r="Y52">
            <v>-0.26064079820876662</v>
          </cell>
          <cell r="Z52">
            <v>0.10219007896948074</v>
          </cell>
          <cell r="AA52">
            <v>0.15038431990570578</v>
          </cell>
          <cell r="AB52">
            <v>3.0963483062510289E-2</v>
          </cell>
          <cell r="AC52">
            <v>0.25232450267677087</v>
          </cell>
          <cell r="AD52">
            <v>0.92151410008234169</v>
          </cell>
          <cell r="AE52">
            <v>0.34143199828257265</v>
          </cell>
          <cell r="AF52">
            <v>0.28144160225548021</v>
          </cell>
          <cell r="AG52">
            <v>0.40248400975918686</v>
          </cell>
          <cell r="AH52">
            <v>0.18808075923770207</v>
          </cell>
          <cell r="AI52">
            <v>0.12121737021704093</v>
          </cell>
          <cell r="AJ52">
            <v>8.8863036608460177E-2</v>
          </cell>
          <cell r="AK52">
            <v>0.10134852802366923</v>
          </cell>
          <cell r="AL52">
            <v>0.12227465302860563</v>
          </cell>
          <cell r="AM52">
            <v>0.17747186349988842</v>
          </cell>
          <cell r="AN52">
            <v>0.15855648779605325</v>
          </cell>
          <cell r="AO52">
            <v>0.12825501346902146</v>
          </cell>
          <cell r="AP52">
            <v>0.23610680101735304</v>
          </cell>
          <cell r="AQ52">
            <v>0.17566683503296732</v>
          </cell>
          <cell r="AR52">
            <v>0.18180715081388832</v>
          </cell>
          <cell r="AS52">
            <v>0.15909783471209193</v>
          </cell>
          <cell r="AT52">
            <v>0.3092088961093773</v>
          </cell>
          <cell r="AU52">
            <v>0.22701486697287021</v>
          </cell>
          <cell r="AV52">
            <v>0.22070472466444269</v>
          </cell>
          <cell r="AW52">
            <v>0.15863074391637366</v>
          </cell>
          <cell r="AX52">
            <v>0.15509391939367534</v>
          </cell>
          <cell r="AY52">
            <v>0.15376238289407484</v>
          </cell>
          <cell r="AZ52">
            <v>0.1268720831772292</v>
          </cell>
          <cell r="BA52">
            <v>0.11112101472193769</v>
          </cell>
          <cell r="BB52">
            <v>0.10225066394044657</v>
          </cell>
          <cell r="BC52">
            <v>9.5638065162860109E-2</v>
          </cell>
          <cell r="BD52">
            <v>9.178117520139395E-2</v>
          </cell>
          <cell r="BE52">
            <v>8.8355027686572996E-2</v>
          </cell>
          <cell r="BF52">
            <v>8.5291174796868097E-2</v>
          </cell>
          <cell r="BG52">
            <v>8.2534944575916924E-2</v>
          </cell>
          <cell r="BH52">
            <v>8.0042141198960914E-2</v>
          </cell>
          <cell r="BI52">
            <v>7.7776650343930998E-2</v>
          </cell>
          <cell r="BK52">
            <v>0.17766064791266523</v>
          </cell>
          <cell r="BL52">
            <v>4.304407675177746E-2</v>
          </cell>
        </row>
        <row r="53">
          <cell r="A53" t="str">
            <v>China</v>
          </cell>
          <cell r="B53">
            <v>0.27210000000000001</v>
          </cell>
          <cell r="C53">
            <v>0.24529999999999999</v>
          </cell>
          <cell r="D53">
            <v>0.54320000000000002</v>
          </cell>
          <cell r="E53">
            <v>0.60419999999999996</v>
          </cell>
          <cell r="F53">
            <v>0.52980000000000005</v>
          </cell>
          <cell r="G53">
            <v>0.81679999999999997</v>
          </cell>
          <cell r="H53">
            <v>1.6452</v>
          </cell>
          <cell r="I53">
            <v>0.57844899999999999</v>
          </cell>
          <cell r="J53">
            <v>0.54893999999999998</v>
          </cell>
          <cell r="K53">
            <v>0.55027999999999999</v>
          </cell>
          <cell r="L53">
            <v>0.59704400000000002</v>
          </cell>
          <cell r="M53">
            <v>2.2747129999999998</v>
          </cell>
          <cell r="N53">
            <v>0.65302700000000002</v>
          </cell>
          <cell r="O53">
            <v>0.70688700000000004</v>
          </cell>
          <cell r="P53">
            <v>0.79081500000000005</v>
          </cell>
          <cell r="Q53">
            <v>0.854993</v>
          </cell>
          <cell r="R53">
            <v>3.005722</v>
          </cell>
          <cell r="S53">
            <v>0.87337799999999999</v>
          </cell>
          <cell r="T53">
            <v>0.99712999999999996</v>
          </cell>
          <cell r="U53">
            <v>1.074287</v>
          </cell>
          <cell r="V53">
            <v>1.2956510000000001</v>
          </cell>
          <cell r="W53">
            <v>4.2404460000000004</v>
          </cell>
          <cell r="X53">
            <v>1.3382860000000001</v>
          </cell>
          <cell r="Y53">
            <v>0.93695799999999996</v>
          </cell>
          <cell r="Z53">
            <v>1.5344089999999999</v>
          </cell>
          <cell r="AA53">
            <v>1.932383</v>
          </cell>
          <cell r="AB53">
            <v>5.7420359999999997</v>
          </cell>
          <cell r="AC53">
            <v>2.1895210000000001</v>
          </cell>
          <cell r="AD53">
            <v>2.2764180000000001</v>
          </cell>
          <cell r="AE53">
            <v>2.4935589999999999</v>
          </cell>
          <cell r="AF53">
            <v>2.5702410000000002</v>
          </cell>
          <cell r="AG53">
            <v>9.5297389999999993</v>
          </cell>
          <cell r="AH53">
            <v>2.4850150000000002</v>
          </cell>
          <cell r="AI53">
            <v>2.5055670000000001</v>
          </cell>
          <cell r="AJ53">
            <v>2.6505230000000002</v>
          </cell>
          <cell r="AK53">
            <v>2.8218610000000002</v>
          </cell>
          <cell r="AL53">
            <v>10.462966</v>
          </cell>
          <cell r="AM53">
            <v>2.9777629999999999</v>
          </cell>
          <cell r="AN53">
            <v>2.8476919999999999</v>
          </cell>
          <cell r="AO53">
            <v>2.886676</v>
          </cell>
          <cell r="AP53">
            <v>3.2734860000000001</v>
          </cell>
          <cell r="AQ53">
            <v>11.985617</v>
          </cell>
          <cell r="AR53">
            <v>3.2755393000000002</v>
          </cell>
          <cell r="AS53">
            <v>3.1324612000000003</v>
          </cell>
          <cell r="AT53">
            <v>3.9836128799999999</v>
          </cell>
          <cell r="AU53">
            <v>4.0930367791448212</v>
          </cell>
          <cell r="AV53">
            <v>14.484650159144822</v>
          </cell>
          <cell r="AW53">
            <v>17.638701722452655</v>
          </cell>
          <cell r="AX53">
            <v>21.558132326615485</v>
          </cell>
          <cell r="AY53">
            <v>26.21178215894642</v>
          </cell>
          <cell r="AZ53">
            <v>30.904491640661544</v>
          </cell>
          <cell r="BA53">
            <v>35.722262498083758</v>
          </cell>
          <cell r="BB53">
            <v>40.647239202574539</v>
          </cell>
          <cell r="BC53">
            <v>45.727146924343032</v>
          </cell>
          <cell r="BD53">
            <v>51.078950400418123</v>
          </cell>
          <cell r="BE53">
            <v>56.714428297171466</v>
          </cell>
          <cell r="BF53">
            <v>62.645821663158735</v>
          </cell>
          <cell r="BG53">
            <v>68.885851074934806</v>
          </cell>
          <cell r="BH53">
            <v>75.447734395510523</v>
          </cell>
          <cell r="BI53">
            <v>82.345205166779223</v>
          </cell>
          <cell r="BK53">
            <v>15.470252789144821</v>
          </cell>
          <cell r="BL53">
            <v>-0.98560262999999892</v>
          </cell>
        </row>
        <row r="54">
          <cell r="A54" t="str">
            <v xml:space="preserve">  Year-over-Year growth</v>
          </cell>
          <cell r="C54">
            <v>-9.8493201029033473E-2</v>
          </cell>
          <cell r="D54">
            <v>1.2144313086017124</v>
          </cell>
          <cell r="E54">
            <v>0.1122974963181147</v>
          </cell>
          <cell r="F54">
            <v>-0.12313803376365429</v>
          </cell>
          <cell r="G54">
            <v>0.54171385428463559</v>
          </cell>
          <cell r="H54">
            <v>1.0142017629774731</v>
          </cell>
          <cell r="I54" t="str">
            <v>N.M.</v>
          </cell>
          <cell r="J54" t="str">
            <v>N.M.</v>
          </cell>
          <cell r="K54" t="str">
            <v>N.M.</v>
          </cell>
          <cell r="L54" t="str">
            <v>N.M.</v>
          </cell>
          <cell r="M54">
            <v>0.3826361536591294</v>
          </cell>
          <cell r="N54">
            <v>0.12892752861531442</v>
          </cell>
          <cell r="O54">
            <v>0.28773089955186371</v>
          </cell>
          <cell r="P54">
            <v>0.43711383295776707</v>
          </cell>
          <cell r="Q54">
            <v>0.43204353447987076</v>
          </cell>
          <cell r="R54">
            <v>0.32136317856362551</v>
          </cell>
          <cell r="S54">
            <v>0.33743015219891359</v>
          </cell>
          <cell r="T54">
            <v>0.41059320655210785</v>
          </cell>
          <cell r="U54">
            <v>0.35845551740925496</v>
          </cell>
          <cell r="V54">
            <v>0.51539369328169959</v>
          </cell>
          <cell r="W54">
            <v>0.41079115101130448</v>
          </cell>
          <cell r="X54">
            <v>0.53231017955570215</v>
          </cell>
          <cell r="Y54">
            <v>-6.0345190697301265E-2</v>
          </cell>
          <cell r="Z54">
            <v>0.42830454059296996</v>
          </cell>
          <cell r="AA54">
            <v>0.49143789492695156</v>
          </cell>
          <cell r="AB54">
            <v>0.3541113364018782</v>
          </cell>
          <cell r="AC54">
            <v>0.63606359178830219</v>
          </cell>
          <cell r="AD54">
            <v>1.4295838233944318</v>
          </cell>
          <cell r="AE54">
            <v>0.62509409160139184</v>
          </cell>
          <cell r="AF54">
            <v>0.33008880744655711</v>
          </cell>
          <cell r="AG54">
            <v>0.65964459296319289</v>
          </cell>
          <cell r="AH54">
            <v>0.1349582853966691</v>
          </cell>
          <cell r="AI54">
            <v>0.10066209281423721</v>
          </cell>
          <cell r="AJ54">
            <v>6.2947778656931908E-2</v>
          </cell>
          <cell r="AK54">
            <v>9.7897434520731741E-2</v>
          </cell>
          <cell r="AL54">
            <v>9.7927865600516473E-2</v>
          </cell>
          <cell r="AM54">
            <v>0.19828773669374211</v>
          </cell>
          <cell r="AN54">
            <v>0.13654593950191707</v>
          </cell>
          <cell r="AO54">
            <v>8.9096755621437707E-2</v>
          </cell>
          <cell r="AP54">
            <v>0.16004509081063878</v>
          </cell>
          <cell r="AQ54">
            <v>0.14552766395303207</v>
          </cell>
          <cell r="AR54">
            <v>0.1</v>
          </cell>
          <cell r="AS54">
            <v>0.1</v>
          </cell>
          <cell r="AT54">
            <v>0.38</v>
          </cell>
          <cell r="AU54">
            <v>0.25036025177588095</v>
          </cell>
          <cell r="AV54">
            <v>0.20850267108859089</v>
          </cell>
          <cell r="AW54">
            <v>0.21775131112272916</v>
          </cell>
          <cell r="AX54">
            <v>0.22220629759693189</v>
          </cell>
          <cell r="AY54">
            <v>0.21586516688115776</v>
          </cell>
          <cell r="AZ54">
            <v>0.17903053875768005</v>
          </cell>
          <cell r="BA54">
            <v>0.15589225389759842</v>
          </cell>
          <cell r="BB54">
            <v>0.13786855479142646</v>
          </cell>
          <cell r="BC54">
            <v>0.12497546749612298</v>
          </cell>
          <cell r="BD54">
            <v>0.11703777375242352</v>
          </cell>
          <cell r="BE54">
            <v>0.11032877247037587</v>
          </cell>
          <cell r="BF54">
            <v>0.10458349919191701</v>
          </cell>
          <cell r="BG54">
            <v>9.9608070356681955E-2</v>
          </cell>
          <cell r="BH54">
            <v>9.5257345567780316E-2</v>
          </cell>
          <cell r="BI54">
            <v>9.1420515493691568E-2</v>
          </cell>
          <cell r="BK54">
            <v>0.23492877811137691</v>
          </cell>
          <cell r="BL54">
            <v>-2.6426107022786027E-2</v>
          </cell>
        </row>
        <row r="55">
          <cell r="A55" t="str">
            <v>Hong Kong</v>
          </cell>
          <cell r="B55">
            <v>6.0678000000000001</v>
          </cell>
          <cell r="C55">
            <v>6.0884</v>
          </cell>
          <cell r="D55">
            <v>5.6174999999999997</v>
          </cell>
          <cell r="E55">
            <v>5.2055999999999996</v>
          </cell>
          <cell r="F55">
            <v>4.7024999999999997</v>
          </cell>
          <cell r="G55">
            <v>4.7218</v>
          </cell>
          <cell r="H55">
            <v>4.2298</v>
          </cell>
          <cell r="I55">
            <v>1.1965939999999999</v>
          </cell>
          <cell r="J55">
            <v>1.1606160000000001</v>
          </cell>
          <cell r="K55">
            <v>1.399656</v>
          </cell>
          <cell r="L55">
            <v>1.1977530000000001</v>
          </cell>
          <cell r="M55">
            <v>4.954619000000001</v>
          </cell>
          <cell r="N55">
            <v>1.3230470000000001</v>
          </cell>
          <cell r="O55">
            <v>1.2837400000000001</v>
          </cell>
          <cell r="P55">
            <v>1.3696699999999999</v>
          </cell>
          <cell r="Q55">
            <v>1.219679</v>
          </cell>
          <cell r="R55">
            <v>5.1961360000000001</v>
          </cell>
          <cell r="S55">
            <v>1.307323</v>
          </cell>
          <cell r="T55">
            <v>1.2400910000000001</v>
          </cell>
          <cell r="U55">
            <v>1.371502</v>
          </cell>
          <cell r="V55">
            <v>1.1825209999999999</v>
          </cell>
          <cell r="W55">
            <v>5.1014369999999998</v>
          </cell>
          <cell r="X55">
            <v>1.1979759999999999</v>
          </cell>
          <cell r="Y55">
            <v>0.98099999999999998</v>
          </cell>
          <cell r="Z55">
            <v>1.3407359999999999</v>
          </cell>
          <cell r="AA55">
            <v>1.10345</v>
          </cell>
          <cell r="AB55">
            <v>4.6231620000000007</v>
          </cell>
          <cell r="AC55">
            <v>1.1577139999999999</v>
          </cell>
          <cell r="AD55">
            <v>1.227455</v>
          </cell>
          <cell r="AE55">
            <v>1.399008</v>
          </cell>
          <cell r="AF55">
            <v>1.2668820000000001</v>
          </cell>
          <cell r="AG55">
            <v>5.0510589999999995</v>
          </cell>
          <cell r="AH55">
            <v>1.35812</v>
          </cell>
          <cell r="AI55">
            <v>1.295623</v>
          </cell>
          <cell r="AJ55">
            <v>1.530324</v>
          </cell>
          <cell r="AK55">
            <v>1.430825</v>
          </cell>
          <cell r="AL55">
            <v>5.6148919999999993</v>
          </cell>
          <cell r="AM55">
            <v>1.5959220000000001</v>
          </cell>
          <cell r="AN55">
            <v>1.595545</v>
          </cell>
          <cell r="AO55">
            <v>1.8053090000000001</v>
          </cell>
          <cell r="AP55">
            <v>1.9438800000000001</v>
          </cell>
          <cell r="AQ55">
            <v>6.9406560000000006</v>
          </cell>
          <cell r="AR55">
            <v>1.9151064</v>
          </cell>
          <cell r="AS55">
            <v>1.9146539999999999</v>
          </cell>
          <cell r="AT55">
            <v>2.1663708000000002</v>
          </cell>
          <cell r="AU55">
            <v>2.3326560000000001</v>
          </cell>
          <cell r="AV55">
            <v>8.3287872000000007</v>
          </cell>
          <cell r="AW55">
            <v>8.8285144320000004</v>
          </cell>
          <cell r="AX55">
            <v>9.2699401536000003</v>
          </cell>
          <cell r="AY55">
            <v>9.7334371612800012</v>
          </cell>
          <cell r="AZ55">
            <v>10.025440276118401</v>
          </cell>
          <cell r="BA55">
            <v>10.225949081640769</v>
          </cell>
          <cell r="BB55">
            <v>10.430468063273585</v>
          </cell>
          <cell r="BC55">
            <v>10.639077424539057</v>
          </cell>
          <cell r="BD55">
            <v>10.851858973029838</v>
          </cell>
          <cell r="BE55">
            <v>11.068896152490435</v>
          </cell>
          <cell r="BF55">
            <v>11.290274075540244</v>
          </cell>
          <cell r="BG55">
            <v>11.51607955705105</v>
          </cell>
          <cell r="BH55">
            <v>11.746401148192071</v>
          </cell>
          <cell r="BI55">
            <v>11.981329171155913</v>
          </cell>
          <cell r="BK55">
            <v>7.0345265400000017</v>
          </cell>
          <cell r="BL55">
            <v>1.2942606599999991</v>
          </cell>
        </row>
        <row r="56">
          <cell r="A56" t="str">
            <v xml:space="preserve">  Year-over-Year growth</v>
          </cell>
          <cell r="C56">
            <v>3.3949701704076851E-3</v>
          </cell>
          <cell r="D56">
            <v>-7.7343801327113937E-2</v>
          </cell>
          <cell r="E56">
            <v>-7.3324432576769016E-2</v>
          </cell>
          <cell r="F56">
            <v>-9.6645919778699851E-2</v>
          </cell>
          <cell r="G56">
            <v>4.1041998936737212E-3</v>
          </cell>
          <cell r="H56">
            <v>-0.10419755178110046</v>
          </cell>
          <cell r="I56" t="str">
            <v>N.M.</v>
          </cell>
          <cell r="J56" t="str">
            <v>N.M.</v>
          </cell>
          <cell r="K56" t="str">
            <v>N.M.</v>
          </cell>
          <cell r="L56" t="str">
            <v>N.M.</v>
          </cell>
          <cell r="M56">
            <v>0.17136011158920073</v>
          </cell>
          <cell r="N56">
            <v>0.10567744782273691</v>
          </cell>
          <cell r="O56">
            <v>0.10608504449361367</v>
          </cell>
          <cell r="P56">
            <v>-2.1423835571026117E-2</v>
          </cell>
          <cell r="Q56">
            <v>1.8305944547832409E-2</v>
          </cell>
          <cell r="R56">
            <v>4.8745826873872522E-2</v>
          </cell>
          <cell r="S56">
            <v>-1.1884687392057947E-2</v>
          </cell>
          <cell r="T56">
            <v>-3.4001433312041418E-2</v>
          </cell>
          <cell r="U56">
            <v>1.3375484605782084E-3</v>
          </cell>
          <cell r="V56">
            <v>-3.0465392943553216E-2</v>
          </cell>
          <cell r="W56">
            <v>-1.8224888648026183E-2</v>
          </cell>
          <cell r="X56">
            <v>-8.36419155786291E-2</v>
          </cell>
          <cell r="Y56">
            <v>-0.20892902214434272</v>
          </cell>
          <cell r="Z56">
            <v>-2.2432340601763689E-2</v>
          </cell>
          <cell r="AA56">
            <v>-6.6866465796379004E-2</v>
          </cell>
          <cell r="AB56">
            <v>-9.3752995479508883E-2</v>
          </cell>
          <cell r="AC56">
            <v>-3.3608352754980086E-2</v>
          </cell>
          <cell r="AD56">
            <v>0.25122833843017323</v>
          </cell>
          <cell r="AE56">
            <v>4.346269511671208E-2</v>
          </cell>
          <cell r="AF56">
            <v>0.14811001857809591</v>
          </cell>
          <cell r="AG56">
            <v>9.2555052148291406E-2</v>
          </cell>
          <cell r="AH56">
            <v>0.17310492919667553</v>
          </cell>
          <cell r="AI56">
            <v>5.5536048164698482E-2</v>
          </cell>
          <cell r="AJ56">
            <v>9.3863651959102512E-2</v>
          </cell>
          <cell r="AK56">
            <v>0.12940668507406361</v>
          </cell>
          <cell r="AL56">
            <v>0.1116266905613259</v>
          </cell>
          <cell r="AM56">
            <v>0.17509645686684538</v>
          </cell>
          <cell r="AN56">
            <v>0.23148863519712148</v>
          </cell>
          <cell r="AO56">
            <v>0.17969070602042447</v>
          </cell>
          <cell r="AP56">
            <v>0.35857285132703165</v>
          </cell>
          <cell r="AQ56">
            <v>0.23611567239405518</v>
          </cell>
          <cell r="AR56">
            <v>0.2</v>
          </cell>
          <cell r="AS56">
            <v>0.2</v>
          </cell>
          <cell r="AT56">
            <v>0.2</v>
          </cell>
          <cell r="AU56">
            <v>0.2</v>
          </cell>
          <cell r="AV56">
            <v>0.19999999999999996</v>
          </cell>
          <cell r="AW56">
            <v>0.06</v>
          </cell>
          <cell r="AX56">
            <v>0.05</v>
          </cell>
          <cell r="AY56">
            <v>0.05</v>
          </cell>
          <cell r="AZ56">
            <v>0.03</v>
          </cell>
          <cell r="BA56">
            <v>0.02</v>
          </cell>
          <cell r="BB56">
            <v>0.02</v>
          </cell>
          <cell r="BC56">
            <v>0.02</v>
          </cell>
          <cell r="BD56">
            <v>0.02</v>
          </cell>
          <cell r="BE56">
            <v>0.02</v>
          </cell>
          <cell r="BF56">
            <v>0.02</v>
          </cell>
          <cell r="BG56">
            <v>0.02</v>
          </cell>
          <cell r="BH56">
            <v>0.02</v>
          </cell>
          <cell r="BI56">
            <v>0.02</v>
          </cell>
          <cell r="BK56">
            <v>0.08</v>
          </cell>
          <cell r="BL56">
            <v>0.11999999999999995</v>
          </cell>
        </row>
        <row r="57">
          <cell r="A57" t="str">
            <v>Other</v>
          </cell>
          <cell r="B57">
            <v>1.4893999999999998</v>
          </cell>
          <cell r="C57">
            <v>1.5000999999999998</v>
          </cell>
          <cell r="D57">
            <v>1.591800000000001</v>
          </cell>
          <cell r="E57">
            <v>2.3413000000000004</v>
          </cell>
          <cell r="F57">
            <v>1.7681000000000004</v>
          </cell>
          <cell r="G57">
            <v>1.4099000000000004</v>
          </cell>
          <cell r="H57">
            <v>1.5689000000000002</v>
          </cell>
          <cell r="I57">
            <v>0.40072400000000008</v>
          </cell>
          <cell r="J57">
            <v>0.48034700000000008</v>
          </cell>
          <cell r="K57">
            <v>0.52473799999999993</v>
          </cell>
          <cell r="L57">
            <v>0.52707099999999985</v>
          </cell>
          <cell r="M57">
            <v>1.9328799999999999</v>
          </cell>
          <cell r="N57">
            <v>0.4770080000000001</v>
          </cell>
          <cell r="O57">
            <v>0.56599299999999997</v>
          </cell>
          <cell r="P57">
            <v>0.52867100000000011</v>
          </cell>
          <cell r="Q57">
            <v>0.50544300000000031</v>
          </cell>
          <cell r="R57">
            <v>2.0771150000000005</v>
          </cell>
          <cell r="S57">
            <v>0.49224999999999985</v>
          </cell>
          <cell r="T57">
            <v>0.56665700000000019</v>
          </cell>
          <cell r="U57">
            <v>0.56752700000000011</v>
          </cell>
          <cell r="V57">
            <v>0.56252400000000002</v>
          </cell>
          <cell r="W57">
            <v>2.1889580000000004</v>
          </cell>
          <cell r="X57">
            <v>0.45932499999999998</v>
          </cell>
          <cell r="Y57">
            <v>0.155115</v>
          </cell>
          <cell r="Z57">
            <v>0.44610200000000022</v>
          </cell>
          <cell r="AA57">
            <v>0.46213599999999988</v>
          </cell>
          <cell r="AB57">
            <v>1.5226780000000002</v>
          </cell>
          <cell r="AC57">
            <v>0.40421200000000024</v>
          </cell>
          <cell r="AD57">
            <v>0.47956600000000016</v>
          </cell>
          <cell r="AE57">
            <v>0.56265999999999994</v>
          </cell>
          <cell r="AF57">
            <v>0.64531999999999967</v>
          </cell>
          <cell r="AG57">
            <v>2.091758</v>
          </cell>
          <cell r="AH57">
            <v>0.61388700000000007</v>
          </cell>
          <cell r="AI57">
            <v>0.66511099999999956</v>
          </cell>
          <cell r="AJ57">
            <v>0.67028499999999958</v>
          </cell>
          <cell r="AK57">
            <v>0.68404599999999993</v>
          </cell>
          <cell r="AL57">
            <v>2.6333289999999989</v>
          </cell>
          <cell r="AM57">
            <v>0.67433300000000007</v>
          </cell>
          <cell r="AN57">
            <v>0.73122500000000024</v>
          </cell>
          <cell r="AO57">
            <v>0.78132900000000016</v>
          </cell>
          <cell r="AP57">
            <v>0.8849619999999998</v>
          </cell>
          <cell r="AQ57">
            <v>3.0718490000000003</v>
          </cell>
          <cell r="AR57">
            <v>1.0114995000000002</v>
          </cell>
          <cell r="AS57">
            <v>0.95059250000000028</v>
          </cell>
          <cell r="AT57">
            <v>1.0157277000000002</v>
          </cell>
          <cell r="AU57">
            <v>1.0619543999999996</v>
          </cell>
          <cell r="AV57">
            <v>4.0397741000000007</v>
          </cell>
          <cell r="AW57">
            <v>4.645740215</v>
          </cell>
          <cell r="AX57">
            <v>5.1103142365000007</v>
          </cell>
          <cell r="AY57">
            <v>5.5191393754200009</v>
          </cell>
          <cell r="AZ57">
            <v>5.7950963441910011</v>
          </cell>
          <cell r="BA57">
            <v>5.9689492345167317</v>
          </cell>
          <cell r="BB57">
            <v>6.1480177115522334</v>
          </cell>
          <cell r="BC57">
            <v>6.3324582428988005</v>
          </cell>
          <cell r="BD57">
            <v>6.5224319901857646</v>
          </cell>
          <cell r="BE57">
            <v>6.7181049498913374</v>
          </cell>
          <cell r="BF57">
            <v>6.9196480983880777</v>
          </cell>
          <cell r="BG57">
            <v>7.1272375413397207</v>
          </cell>
          <cell r="BH57">
            <v>7.3410546675799129</v>
          </cell>
          <cell r="BI57">
            <v>7.5612863076073102</v>
          </cell>
          <cell r="BK57">
            <v>3.3802382400000002</v>
          </cell>
          <cell r="BL57">
            <v>0.65953586000000053</v>
          </cell>
        </row>
        <row r="58">
          <cell r="A58" t="str">
            <v xml:space="preserve">  Year-over-Year growth</v>
          </cell>
          <cell r="C58">
            <v>7.184100980260455E-3</v>
          </cell>
          <cell r="D58">
            <v>6.112925804946423E-2</v>
          </cell>
          <cell r="E58">
            <v>0.47085060937303624</v>
          </cell>
          <cell r="F58">
            <v>-0.24482125314995939</v>
          </cell>
          <cell r="G58">
            <v>-0.20259035122447822</v>
          </cell>
          <cell r="H58">
            <v>0.11277395559968784</v>
          </cell>
          <cell r="I58" t="str">
            <v>N.M.</v>
          </cell>
          <cell r="J58" t="str">
            <v>N.M.</v>
          </cell>
          <cell r="K58" t="str">
            <v>N.M.</v>
          </cell>
          <cell r="L58" t="str">
            <v>N.M.</v>
          </cell>
          <cell r="M58">
            <v>0.23199694053158249</v>
          </cell>
          <cell r="N58">
            <v>0.19036543855621324</v>
          </cell>
          <cell r="O58">
            <v>0.17830027042950181</v>
          </cell>
          <cell r="P58">
            <v>7.4951690176816577E-3</v>
          </cell>
          <cell r="Q58">
            <v>-4.1034319854439949E-2</v>
          </cell>
          <cell r="R58">
            <v>7.4621807872190971E-2</v>
          </cell>
          <cell r="S58">
            <v>3.1953342501592763E-2</v>
          </cell>
          <cell r="T58">
            <v>1.1731593853638866E-3</v>
          </cell>
          <cell r="U58">
            <v>7.3497506010354208E-2</v>
          </cell>
          <cell r="V58">
            <v>0.11293261554715306</v>
          </cell>
          <cell r="W58">
            <v>5.3845357623434342E-2</v>
          </cell>
          <cell r="X58">
            <v>-6.6886744540375576E-2</v>
          </cell>
          <cell r="Y58">
            <v>-0.72626297742726209</v>
          </cell>
          <cell r="Z58">
            <v>-0.21395457837248244</v>
          </cell>
          <cell r="AA58">
            <v>-0.17845994126472853</v>
          </cell>
          <cell r="AB58">
            <v>-0.30438226772738453</v>
          </cell>
          <cell r="AC58">
            <v>-0.11998693735372501</v>
          </cell>
          <cell r="AD58">
            <v>2.0916803661799319</v>
          </cell>
          <cell r="AE58">
            <v>0.26128105231538901</v>
          </cell>
          <cell r="AF58">
            <v>0.39638547959907866</v>
          </cell>
          <cell r="AG58">
            <v>0.37373627254087838</v>
          </cell>
          <cell r="AH58">
            <v>0.51872532235559476</v>
          </cell>
          <cell r="AI58">
            <v>0.38690190714103867</v>
          </cell>
          <cell r="AJ58">
            <v>0.19127892510574718</v>
          </cell>
          <cell r="AK58">
            <v>6.0010537407798159E-2</v>
          </cell>
          <cell r="AL58">
            <v>0.25890710110825377</v>
          </cell>
          <cell r="AM58">
            <v>9.8464375365498791E-2</v>
          </cell>
          <cell r="AN58">
            <v>9.9402956799693243E-2</v>
          </cell>
          <cell r="AO58">
            <v>0.1656668432084869</v>
          </cell>
          <cell r="AP58">
            <v>0.29371708920160322</v>
          </cell>
          <cell r="AQ58">
            <v>0.16652685631001729</v>
          </cell>
          <cell r="AR58">
            <v>0.5</v>
          </cell>
          <cell r="AS58">
            <v>0.3</v>
          </cell>
          <cell r="AT58">
            <v>0.3</v>
          </cell>
          <cell r="AU58">
            <v>0.2</v>
          </cell>
          <cell r="AV58">
            <v>0.31509527323771458</v>
          </cell>
          <cell r="AW58">
            <v>0.15</v>
          </cell>
          <cell r="AX58">
            <v>0.1</v>
          </cell>
          <cell r="AY58">
            <v>0.08</v>
          </cell>
          <cell r="AZ58">
            <v>0.05</v>
          </cell>
          <cell r="BA58">
            <v>0.03</v>
          </cell>
          <cell r="BB58">
            <v>0.03</v>
          </cell>
          <cell r="BC58">
            <v>0.03</v>
          </cell>
          <cell r="BD58">
            <v>0.03</v>
          </cell>
          <cell r="BE58">
            <v>0.03</v>
          </cell>
          <cell r="BF58">
            <v>0.03</v>
          </cell>
          <cell r="BG58">
            <v>0.03</v>
          </cell>
          <cell r="BH58">
            <v>0.03</v>
          </cell>
          <cell r="BI58">
            <v>0.03</v>
          </cell>
          <cell r="BK58">
            <v>0.15</v>
          </cell>
          <cell r="BL58">
            <v>0.16509527323771458</v>
          </cell>
        </row>
        <row r="59">
          <cell r="BL59">
            <v>0</v>
          </cell>
        </row>
        <row r="60">
          <cell r="A60" t="str">
            <v>IVS Visitors (Included in China visitors)</v>
          </cell>
          <cell r="Z60">
            <v>0.11890000000000001</v>
          </cell>
          <cell r="AA60">
            <v>0.4894</v>
          </cell>
          <cell r="AB60">
            <v>0.60830000000000006</v>
          </cell>
          <cell r="AC60">
            <v>0.67215000000000003</v>
          </cell>
          <cell r="AD60">
            <v>0.76708599999999993</v>
          </cell>
          <cell r="AE60">
            <v>1.050022</v>
          </cell>
          <cell r="AF60">
            <v>1.0294939999999999</v>
          </cell>
          <cell r="AG60">
            <v>3.5187520000000001</v>
          </cell>
          <cell r="AH60">
            <v>1.28729</v>
          </cell>
          <cell r="AI60">
            <v>1.2476640000000001</v>
          </cell>
          <cell r="AJ60">
            <v>1.3860619999999999</v>
          </cell>
          <cell r="AK60">
            <v>1.410493</v>
          </cell>
          <cell r="AL60">
            <v>5.3315089999999996</v>
          </cell>
          <cell r="AM60">
            <v>1.593618</v>
          </cell>
          <cell r="AN60">
            <v>1.184491</v>
          </cell>
          <cell r="AO60">
            <v>1.4137850000000001</v>
          </cell>
          <cell r="AP60">
            <v>1.582956</v>
          </cell>
          <cell r="AQ60">
            <v>5.7748499999999998</v>
          </cell>
          <cell r="AR60">
            <v>2.0717034000000001</v>
          </cell>
          <cell r="AS60">
            <v>1.5398383</v>
          </cell>
          <cell r="AT60">
            <v>1.9792989999999999</v>
          </cell>
          <cell r="AU60">
            <v>2.3053415091448213</v>
          </cell>
          <cell r="AV60">
            <v>7.8961822091448219</v>
          </cell>
          <cell r="AW60">
            <v>10.519358044952657</v>
          </cell>
          <cell r="AX60">
            <v>13.865754056090488</v>
          </cell>
          <cell r="AY60">
            <v>17.989030775247421</v>
          </cell>
          <cell r="AZ60">
            <v>22.230157652125556</v>
          </cell>
          <cell r="BA60">
            <v>26.709562013918656</v>
          </cell>
          <cell r="BB60">
            <v>31.437723495532428</v>
          </cell>
          <cell r="BC60">
            <v>36.425536060230506</v>
          </cell>
          <cell r="BD60">
            <v>41.684323427664474</v>
          </cell>
          <cell r="BE60">
            <v>47.225855054690292</v>
          </cell>
          <cell r="BF60">
            <v>53.062362688252755</v>
          </cell>
          <cell r="BG60">
            <v>59.206557510279751</v>
          </cell>
          <cell r="BH60">
            <v>65.671647895208935</v>
          </cell>
          <cell r="BI60">
            <v>72.47135780147461</v>
          </cell>
          <cell r="BK60">
            <v>8.800043609144824</v>
          </cell>
          <cell r="BL60">
            <v>-0.90386140000000204</v>
          </cell>
        </row>
        <row r="61">
          <cell r="A61" t="str">
            <v xml:space="preserve">  Year-over-Year growth</v>
          </cell>
          <cell r="AE61">
            <v>7.8311354079058031</v>
          </cell>
          <cell r="AF61">
            <v>1.1035839803841436</v>
          </cell>
          <cell r="AG61">
            <v>4.7845668255794838</v>
          </cell>
          <cell r="AH61">
            <v>0.91518262292643016</v>
          </cell>
          <cell r="AI61">
            <v>0.62649820228761866</v>
          </cell>
          <cell r="AJ61">
            <v>0.32003138981849899</v>
          </cell>
          <cell r="AK61">
            <v>0.37008374988100967</v>
          </cell>
          <cell r="AL61">
            <v>0.51517043542710583</v>
          </cell>
          <cell r="AM61">
            <v>0.23796347365395509</v>
          </cell>
          <cell r="AN61">
            <v>-5.0633022993370136E-2</v>
          </cell>
          <cell r="AO61">
            <v>2.00012697844687E-2</v>
          </cell>
          <cell r="AP61">
            <v>0.12227143275436325</v>
          </cell>
          <cell r="AQ61">
            <v>8.3154881666710256E-2</v>
          </cell>
          <cell r="AR61">
            <v>0.3</v>
          </cell>
          <cell r="AS61">
            <v>0.3</v>
          </cell>
          <cell r="AT61">
            <v>0.4</v>
          </cell>
          <cell r="AU61">
            <v>0.45635223540314529</v>
          </cell>
          <cell r="AV61">
            <v>0.36733979395911964</v>
          </cell>
          <cell r="AW61">
            <v>0.33220811859810562</v>
          </cell>
          <cell r="AX61">
            <v>0.31811789244529809</v>
          </cell>
          <cell r="AY61">
            <v>0.29737125745035109</v>
          </cell>
          <cell r="AZ61">
            <v>0.23576183341205059</v>
          </cell>
          <cell r="BA61">
            <v>0.20150124132677028</v>
          </cell>
          <cell r="BB61">
            <v>0.17702130342496347</v>
          </cell>
          <cell r="BC61">
            <v>0.15865692582374447</v>
          </cell>
          <cell r="BD61">
            <v>0.14437089844713435</v>
          </cell>
          <cell r="BE61">
            <v>0.13294042391361183</v>
          </cell>
          <cell r="BF61">
            <v>0.12358712461221599</v>
          </cell>
          <cell r="BG61">
            <v>0.11579195706238754</v>
          </cell>
          <cell r="BH61">
            <v>0.10919551240260295</v>
          </cell>
          <cell r="BI61">
            <v>0.10354102758493067</v>
          </cell>
          <cell r="BK61">
            <v>0.38159214754685333</v>
          </cell>
          <cell r="BL61">
            <v>-1.425235358773369E-2</v>
          </cell>
        </row>
        <row r="62">
          <cell r="A62" t="str">
            <v xml:space="preserve">  Share of Mainland China Visitors</v>
          </cell>
          <cell r="Z62">
            <v>7.7489117960074544E-2</v>
          </cell>
          <cell r="AA62">
            <v>0.2532624226149785</v>
          </cell>
          <cell r="AB62" t="str">
            <v>N.M.</v>
          </cell>
          <cell r="AC62">
            <v>0.30698495241653312</v>
          </cell>
          <cell r="AD62">
            <v>0.33697062665995431</v>
          </cell>
          <cell r="AE62">
            <v>0.42109370582368416</v>
          </cell>
          <cell r="AF62">
            <v>0.40054376223863825</v>
          </cell>
          <cell r="AG62">
            <v>0.36923907359897268</v>
          </cell>
          <cell r="AH62">
            <v>0.51802101798178279</v>
          </cell>
          <cell r="AI62">
            <v>0.497956749909302</v>
          </cell>
          <cell r="AJ62">
            <v>0.52293905768785998</v>
          </cell>
          <cell r="AK62">
            <v>0.4998449604711217</v>
          </cell>
          <cell r="AL62">
            <v>0.50956000430470672</v>
          </cell>
          <cell r="AM62">
            <v>0.53517287977585859</v>
          </cell>
          <cell r="AN62">
            <v>0.4159477218744162</v>
          </cell>
          <cell r="AO62">
            <v>0.48976227328595245</v>
          </cell>
          <cell r="AP62">
            <v>0.48356889261172953</v>
          </cell>
          <cell r="AQ62">
            <v>0.48181499542326439</v>
          </cell>
          <cell r="AR62">
            <v>0.63247703973510561</v>
          </cell>
          <cell r="AS62">
            <v>0.49157458039703728</v>
          </cell>
          <cell r="AT62">
            <v>0.49686027724661841</v>
          </cell>
          <cell r="AU62">
            <v>0.56323498505832825</v>
          </cell>
          <cell r="AV62">
            <v>0.54514138224868347</v>
          </cell>
          <cell r="AW62">
            <v>0.59637938270492752</v>
          </cell>
          <cell r="AX62">
            <v>0.64317974516614074</v>
          </cell>
          <cell r="AY62">
            <v>0.68629560043507121</v>
          </cell>
          <cell r="AZ62">
            <v>0.71931801728383638</v>
          </cell>
          <cell r="BA62">
            <v>0.74770073747012611</v>
          </cell>
          <cell r="BB62">
            <v>0.77342826012993293</v>
          </cell>
          <cell r="BC62">
            <v>0.79658449105730722</v>
          </cell>
          <cell r="BD62">
            <v>0.81607635045146221</v>
          </cell>
          <cell r="BE62">
            <v>0.83269560273510856</v>
          </cell>
          <cell r="BF62">
            <v>0.84702157748947049</v>
          </cell>
          <cell r="BG62">
            <v>0.85948792947152808</v>
          </cell>
          <cell r="BH62">
            <v>0.87042571153888337</v>
          </cell>
          <cell r="BI62">
            <v>0.8800920181653995</v>
          </cell>
          <cell r="BK62">
            <v>0.56883644560221058</v>
          </cell>
          <cell r="BL62">
            <v>-2.3695063353527113E-2</v>
          </cell>
        </row>
        <row r="63">
          <cell r="BL63">
            <v>0</v>
          </cell>
        </row>
        <row r="64">
          <cell r="A64" t="str">
            <v>Visitor Categories (included in total visitors)</v>
          </cell>
          <cell r="BL64">
            <v>0</v>
          </cell>
        </row>
        <row r="65">
          <cell r="A65" t="str">
            <v>Hotel Guests (mm)</v>
          </cell>
          <cell r="I65">
            <v>0.64250399999999996</v>
          </cell>
          <cell r="J65">
            <v>0.65831399999999995</v>
          </cell>
          <cell r="K65">
            <v>0.72399800000000003</v>
          </cell>
          <cell r="L65">
            <v>0.66502700000000003</v>
          </cell>
          <cell r="M65">
            <v>2.6898429999999998</v>
          </cell>
          <cell r="N65">
            <v>0.63451000000000002</v>
          </cell>
          <cell r="O65">
            <v>0.67612899999999998</v>
          </cell>
          <cell r="P65">
            <v>0.72155800000000003</v>
          </cell>
          <cell r="Q65">
            <v>0.73465599999999998</v>
          </cell>
          <cell r="R65">
            <v>2.7668530000000002</v>
          </cell>
          <cell r="S65">
            <v>0.72163500000000003</v>
          </cell>
          <cell r="T65">
            <v>0.77815900000000005</v>
          </cell>
          <cell r="U65">
            <v>0.81986700000000001</v>
          </cell>
          <cell r="V65">
            <v>0.83513999999999999</v>
          </cell>
          <cell r="W65">
            <v>3.154801</v>
          </cell>
          <cell r="X65">
            <v>0.76294200000000001</v>
          </cell>
          <cell r="Y65">
            <v>0.47021099999999999</v>
          </cell>
          <cell r="Z65">
            <v>0.88101700000000005</v>
          </cell>
          <cell r="AA65">
            <v>0.92910199999999998</v>
          </cell>
          <cell r="AB65">
            <v>3.043272</v>
          </cell>
          <cell r="AC65">
            <v>0.90883100000000006</v>
          </cell>
          <cell r="AD65">
            <v>0.96535700000000002</v>
          </cell>
          <cell r="AE65">
            <v>1.050009</v>
          </cell>
          <cell r="AF65">
            <v>1.031957</v>
          </cell>
          <cell r="AG65">
            <v>3.9561540000000006</v>
          </cell>
          <cell r="AH65">
            <v>0.90970899999999999</v>
          </cell>
          <cell r="AI65">
            <v>0.99521800000000005</v>
          </cell>
          <cell r="AJ65">
            <v>1.0900049999999999</v>
          </cell>
          <cell r="AK65">
            <v>1.1261559999999999</v>
          </cell>
          <cell r="AL65">
            <v>4.1210880000000003</v>
          </cell>
          <cell r="AM65">
            <v>1.0668580000000001</v>
          </cell>
          <cell r="AN65">
            <v>1.0922099999999999</v>
          </cell>
          <cell r="AO65">
            <v>1.1840930000000001</v>
          </cell>
          <cell r="AP65">
            <v>1.337693</v>
          </cell>
          <cell r="AQ65">
            <v>4.6808540000000001</v>
          </cell>
          <cell r="AR65">
            <v>1.2608204133030032</v>
          </cell>
          <cell r="AS65">
            <v>1.2659782460508937</v>
          </cell>
          <cell r="AT65">
            <v>1.5502250894208409</v>
          </cell>
          <cell r="AU65">
            <v>1.6413691984455396</v>
          </cell>
          <cell r="AV65">
            <v>5.718392947220277</v>
          </cell>
          <cell r="AW65">
            <v>7.2477650018330273</v>
          </cell>
          <cell r="AX65">
            <v>9.0906170171459291</v>
          </cell>
          <cell r="AY65">
            <v>11.12696307559267</v>
          </cell>
          <cell r="AZ65">
            <v>13.258229495648175</v>
          </cell>
          <cell r="BA65">
            <v>15.479990331349189</v>
          </cell>
          <cell r="BB65">
            <v>17.749476403510823</v>
          </cell>
          <cell r="BC65">
            <v>20.089518865799334</v>
          </cell>
          <cell r="BD65">
            <v>22.556264011369748</v>
          </cell>
          <cell r="BE65">
            <v>25.155235729013647</v>
          </cell>
          <cell r="BF65">
            <v>27.892175686482574</v>
          </cell>
          <cell r="BG65">
            <v>30.773051431514041</v>
          </cell>
          <cell r="BH65">
            <v>33.804064783015832</v>
          </cell>
          <cell r="BI65">
            <v>36.991660522529486</v>
          </cell>
          <cell r="BK65">
            <v>5.5233605609474532</v>
          </cell>
          <cell r="BL65">
            <v>0.19503238627282382</v>
          </cell>
        </row>
        <row r="66">
          <cell r="A66" t="str">
            <v xml:space="preserve">  Year-over-Year growth</v>
          </cell>
          <cell r="N66">
            <v>-1.2441945886718098E-2</v>
          </cell>
          <cell r="O66">
            <v>2.7061554212731265E-2</v>
          </cell>
          <cell r="P66">
            <v>-3.3701750557322274E-3</v>
          </cell>
          <cell r="Q66">
            <v>0.10470101213935656</v>
          </cell>
          <cell r="R66">
            <v>2.8629923753914488E-2</v>
          </cell>
          <cell r="S66">
            <v>0.13731068068273156</v>
          </cell>
          <cell r="T66">
            <v>0.15090315605453997</v>
          </cell>
          <cell r="U66">
            <v>0.13624545774560048</v>
          </cell>
          <cell r="V66">
            <v>0.13677694050004363</v>
          </cell>
          <cell r="W66">
            <v>0.14021272543210639</v>
          </cell>
          <cell r="X66">
            <v>5.7240848905610209E-2</v>
          </cell>
          <cell r="Y66">
            <v>-0.39573917412765258</v>
          </cell>
          <cell r="Z66">
            <v>7.4585268098362301E-2</v>
          </cell>
          <cell r="AA66">
            <v>0.11251047728524566</v>
          </cell>
          <cell r="AB66">
            <v>-3.5352150579386787E-2</v>
          </cell>
          <cell r="AC66">
            <v>0.19121899174511303</v>
          </cell>
          <cell r="AD66">
            <v>1.0530293846804946</v>
          </cell>
          <cell r="AE66">
            <v>0.19181468689026415</v>
          </cell>
          <cell r="AF66">
            <v>0.11070366870375925</v>
          </cell>
          <cell r="AG66">
            <v>0.2999672720676958</v>
          </cell>
          <cell r="AH66">
            <v>9.6607620118582815E-4</v>
          </cell>
          <cell r="AI66">
            <v>3.0932597992245459E-2</v>
          </cell>
          <cell r="AJ66">
            <v>3.8091102076267758E-2</v>
          </cell>
          <cell r="AK66">
            <v>9.1281904187868301E-2</v>
          </cell>
          <cell r="AL66">
            <v>4.1690490309527872E-2</v>
          </cell>
          <cell r="AM66">
            <v>0.17274644968885666</v>
          </cell>
          <cell r="AN66">
            <v>9.7458044368168517E-2</v>
          </cell>
          <cell r="AO66">
            <v>8.6318870096926403E-2</v>
          </cell>
          <cell r="AP66">
            <v>0.18783987298384952</v>
          </cell>
          <cell r="AQ66">
            <v>0.13582966439930422</v>
          </cell>
          <cell r="AR66">
            <v>0.1818071508138881</v>
          </cell>
          <cell r="AS66">
            <v>0.15909783471209193</v>
          </cell>
          <cell r="AT66">
            <v>0.3092088961093773</v>
          </cell>
          <cell r="AU66">
            <v>0.22701486697287021</v>
          </cell>
          <cell r="AV66">
            <v>0.22165590877653463</v>
          </cell>
          <cell r="AW66">
            <v>0.26744787717958096</v>
          </cell>
          <cell r="AX66">
            <v>0.25426486852799823</v>
          </cell>
          <cell r="AY66">
            <v>0.22400526329576564</v>
          </cell>
          <cell r="AZ66">
            <v>0.1915407111155516</v>
          </cell>
          <cell r="BA66">
            <v>0.16757598263254336</v>
          </cell>
          <cell r="BB66">
            <v>0.14660771897031499</v>
          </cell>
          <cell r="BC66">
            <v>0.13183726714471722</v>
          </cell>
          <cell r="BD66">
            <v>0.12278766664590623</v>
          </cell>
          <cell r="BE66">
            <v>0.11522172804564867</v>
          </cell>
          <cell r="BF66">
            <v>0.10880199998731022</v>
          </cell>
          <cell r="BG66">
            <v>0.10328616087226328</v>
          </cell>
          <cell r="BH66">
            <v>9.849570356216919E-2</v>
          </cell>
          <cell r="BI66">
            <v>9.4296226207541745E-2</v>
          </cell>
          <cell r="BK66">
            <v>0.17766064791266523</v>
          </cell>
          <cell r="BL66">
            <v>4.3995260863869401E-2</v>
          </cell>
        </row>
        <row r="67">
          <cell r="A67" t="str">
            <v xml:space="preserve">  Share of Visitation</v>
          </cell>
          <cell r="I67">
            <v>0.29530000225207936</v>
          </cell>
          <cell r="J67">
            <v>0.3006133148363192</v>
          </cell>
          <cell r="K67">
            <v>0.29256298001272091</v>
          </cell>
          <cell r="L67">
            <v>0.28641895232631659</v>
          </cell>
          <cell r="M67">
            <v>0.29358008742866892</v>
          </cell>
          <cell r="N67">
            <v>0.25865829189566431</v>
          </cell>
          <cell r="O67">
            <v>0.26446206319280924</v>
          </cell>
          <cell r="P67">
            <v>0.26832136179529936</v>
          </cell>
          <cell r="Q67">
            <v>0.28473769580038094</v>
          </cell>
          <cell r="R67">
            <v>0.26917601593077439</v>
          </cell>
          <cell r="S67">
            <v>0.26997689070993075</v>
          </cell>
          <cell r="T67">
            <v>0.2775295501444785</v>
          </cell>
          <cell r="U67">
            <v>0.27208132170671778</v>
          </cell>
          <cell r="V67">
            <v>0.27465422390136995</v>
          </cell>
          <cell r="W67">
            <v>0.2735967827498445</v>
          </cell>
          <cell r="X67">
            <v>0.25468864699973659</v>
          </cell>
          <cell r="Y67">
            <v>0.22681835130745517</v>
          </cell>
          <cell r="Z67">
            <v>0.26526693136644158</v>
          </cell>
          <cell r="AA67">
            <v>0.26561184504493895</v>
          </cell>
          <cell r="AB67">
            <v>0.25599795960186666</v>
          </cell>
          <cell r="AC67">
            <v>0.24226145271411273</v>
          </cell>
          <cell r="AD67">
            <v>0.24234260898685783</v>
          </cell>
          <cell r="AE67">
            <v>0.23568024704465115</v>
          </cell>
          <cell r="AF67">
            <v>0.230222001707551</v>
          </cell>
          <cell r="AG67">
            <v>0.23728539283358835</v>
          </cell>
          <cell r="AH67">
            <v>0.20410691264256714</v>
          </cell>
          <cell r="AI67">
            <v>0.22282824198369078</v>
          </cell>
          <cell r="AJ67">
            <v>0.22469085566008098</v>
          </cell>
          <cell r="AK67">
            <v>0.22811771025852728</v>
          </cell>
          <cell r="AL67">
            <v>0.22024727773817879</v>
          </cell>
          <cell r="AM67">
            <v>0.20328779360131768</v>
          </cell>
          <cell r="AN67">
            <v>0.21107701631589909</v>
          </cell>
          <cell r="AO67">
            <v>0.21633931471865125</v>
          </cell>
          <cell r="AP67">
            <v>0.21921027516056169</v>
          </cell>
          <cell r="AQ67">
            <v>0.21278425494685407</v>
          </cell>
          <cell r="AR67">
            <v>0.20328779360131768</v>
          </cell>
          <cell r="AS67">
            <v>0.21107701631589909</v>
          </cell>
          <cell r="AT67">
            <v>0.21633931471865125</v>
          </cell>
          <cell r="AU67">
            <v>0.21921027516056169</v>
          </cell>
          <cell r="AV67">
            <v>0.2129500583541149</v>
          </cell>
          <cell r="AW67">
            <v>0.23295005835411489</v>
          </cell>
          <cell r="AX67">
            <v>0.25295005835411488</v>
          </cell>
          <cell r="AY67">
            <v>0.26835005835411491</v>
          </cell>
          <cell r="AZ67">
            <v>0.28375005835411493</v>
          </cell>
          <cell r="BA67">
            <v>0.29816712024635433</v>
          </cell>
          <cell r="BB67">
            <v>0.31016603827248085</v>
          </cell>
          <cell r="BC67">
            <v>0.32041373176209048</v>
          </cell>
          <cell r="BD67">
            <v>0.32951345417739308</v>
          </cell>
          <cell r="BE67">
            <v>0.33764769255775506</v>
          </cell>
          <cell r="BF67">
            <v>0.34496220506834219</v>
          </cell>
          <cell r="BG67">
            <v>0.35157481870017465</v>
          </cell>
          <cell r="BH67">
            <v>0.35758181379299125</v>
          </cell>
          <cell r="BI67">
            <v>0.36306263386690529</v>
          </cell>
          <cell r="BK67">
            <v>0.21338059926725136</v>
          </cell>
          <cell r="BL67">
            <v>-4.3054091313646237E-4</v>
          </cell>
        </row>
        <row r="68">
          <cell r="BL68">
            <v>0</v>
          </cell>
        </row>
        <row r="69">
          <cell r="A69" t="str">
            <v>Other Overnight Visitors (mm)</v>
          </cell>
          <cell r="I69">
            <v>0.64930599999999994</v>
          </cell>
          <cell r="J69">
            <v>0.57573300000000016</v>
          </cell>
          <cell r="K69">
            <v>0.65198399999999979</v>
          </cell>
          <cell r="L69">
            <v>0.62985199999999986</v>
          </cell>
          <cell r="M69">
            <v>2.506875</v>
          </cell>
          <cell r="N69">
            <v>0.75571800000000022</v>
          </cell>
          <cell r="O69">
            <v>0.74077800000000016</v>
          </cell>
          <cell r="P69">
            <v>0.82103599999999999</v>
          </cell>
          <cell r="Q69">
            <v>0.75745000000000018</v>
          </cell>
          <cell r="R69">
            <v>3.0749820000000003</v>
          </cell>
          <cell r="S69">
            <v>0.82216699999999987</v>
          </cell>
          <cell r="T69">
            <v>0.85449900000000012</v>
          </cell>
          <cell r="U69">
            <v>0.88939200000000007</v>
          </cell>
          <cell r="V69">
            <v>0.84430000000000005</v>
          </cell>
          <cell r="W69">
            <v>3.410358</v>
          </cell>
          <cell r="X69">
            <v>0.84787799999999991</v>
          </cell>
          <cell r="Y69">
            <v>0.62717400000000012</v>
          </cell>
          <cell r="Z69">
            <v>0.90145200000000003</v>
          </cell>
          <cell r="AA69">
            <v>0.88873899999999983</v>
          </cell>
          <cell r="AB69">
            <v>3.2652429999999999</v>
          </cell>
          <cell r="AC69">
            <v>0.97960100000000006</v>
          </cell>
          <cell r="AD69">
            <v>1.0092860000000003</v>
          </cell>
          <cell r="AE69">
            <v>1.207511</v>
          </cell>
          <cell r="AF69">
            <v>1.170879</v>
          </cell>
          <cell r="AG69">
            <v>4.3672770000000005</v>
          </cell>
          <cell r="AH69">
            <v>1.1993830000000005</v>
          </cell>
          <cell r="AI69">
            <v>1.1248679999999998</v>
          </cell>
          <cell r="AJ69">
            <v>1.2860590000000001</v>
          </cell>
          <cell r="AK69">
            <v>1.2826660000000003</v>
          </cell>
          <cell r="AL69">
            <v>4.8929760000000009</v>
          </cell>
          <cell r="AM69">
            <v>1.4272919999999998</v>
          </cell>
          <cell r="AN69">
            <v>1.4080510000000002</v>
          </cell>
          <cell r="AO69">
            <v>1.5074250000000002</v>
          </cell>
          <cell r="AP69">
            <v>1.659041</v>
          </cell>
          <cell r="AQ69">
            <v>6.0018090000000006</v>
          </cell>
          <cell r="AR69">
            <v>1.624762439899456</v>
          </cell>
          <cell r="AS69">
            <v>1.5720917882641958</v>
          </cell>
          <cell r="AT69">
            <v>1.9018771064176783</v>
          </cell>
          <cell r="AU69">
            <v>1.9607915001260892</v>
          </cell>
          <cell r="AV69">
            <v>7.059522834707419</v>
          </cell>
          <cell r="AW69">
            <v>7.7126858481298948</v>
          </cell>
          <cell r="AX69">
            <v>8.3698007246177593</v>
          </cell>
          <cell r="AY69">
            <v>8.8719887680948251</v>
          </cell>
          <cell r="AZ69">
            <v>9.2268683188186191</v>
          </cell>
          <cell r="BA69">
            <v>9.5036743683831784</v>
          </cell>
          <cell r="BB69">
            <v>9.788784599434674</v>
          </cell>
          <cell r="BC69">
            <v>10.082448137417714</v>
          </cell>
          <cell r="BD69">
            <v>10.384921581540246</v>
          </cell>
          <cell r="BE69">
            <v>10.696469228986453</v>
          </cell>
          <cell r="BF69">
            <v>11.017363305856048</v>
          </cell>
          <cell r="BG69">
            <v>11.347884205031729</v>
          </cell>
          <cell r="BH69">
            <v>11.688320731182682</v>
          </cell>
          <cell r="BI69">
            <v>12.038970353118163</v>
          </cell>
          <cell r="BK69">
            <v>6.6327571348337973</v>
          </cell>
          <cell r="BL69">
            <v>0.42676569987362178</v>
          </cell>
        </row>
        <row r="70">
          <cell r="A70" t="str">
            <v xml:space="preserve">  Year-over-Year growth</v>
          </cell>
          <cell r="N70">
            <v>0.16388574878408679</v>
          </cell>
          <cell r="O70">
            <v>0.28666934151768264</v>
          </cell>
          <cell r="P70">
            <v>0.25928857149868745</v>
          </cell>
          <cell r="Q70">
            <v>0.20258409912169895</v>
          </cell>
          <cell r="R70">
            <v>0.22661959611069582</v>
          </cell>
          <cell r="S70">
            <v>8.7928301297573563E-2</v>
          </cell>
          <cell r="T70">
            <v>0.15351562816390318</v>
          </cell>
          <cell r="U70">
            <v>8.3255789027521399E-2</v>
          </cell>
          <cell r="V70">
            <v>0.11466103373159919</v>
          </cell>
          <cell r="W70">
            <v>0.10906600428880542</v>
          </cell>
          <cell r="X70">
            <v>3.1272235446083485E-2</v>
          </cell>
          <cell r="Y70">
            <v>-0.26603307903227502</v>
          </cell>
          <cell r="Z70">
            <v>1.3559825138971249E-2</v>
          </cell>
          <cell r="AA70">
            <v>5.2634134786213149E-2</v>
          </cell>
          <cell r="AB70">
            <v>-4.2551251217614161E-2</v>
          </cell>
          <cell r="AC70">
            <v>0.15535607717148014</v>
          </cell>
          <cell r="AD70">
            <v>0.60925995018926193</v>
          </cell>
          <cell r="AE70">
            <v>0.33951780017127908</v>
          </cell>
          <cell r="AF70">
            <v>0.31746103186649877</v>
          </cell>
          <cell r="AG70">
            <v>0.33750443688264564</v>
          </cell>
          <cell r="AH70">
            <v>0.22435869297805988</v>
          </cell>
          <cell r="AI70">
            <v>0.11451858046183072</v>
          </cell>
          <cell r="AJ70">
            <v>6.5049510936132204E-2</v>
          </cell>
          <cell r="AK70">
            <v>9.5472717505395766E-2</v>
          </cell>
          <cell r="AL70">
            <v>0.12037225941931329</v>
          </cell>
          <cell r="AM70">
            <v>0.19002186957794054</v>
          </cell>
          <cell r="AN70">
            <v>0.25174776062613602</v>
          </cell>
          <cell r="AO70">
            <v>0.17212740628540391</v>
          </cell>
          <cell r="AP70">
            <v>0.29343180531798585</v>
          </cell>
          <cell r="AQ70">
            <v>0.22661729793892293</v>
          </cell>
          <cell r="AR70">
            <v>0.13835321707082793</v>
          </cell>
          <cell r="AS70">
            <v>0.11650202177633884</v>
          </cell>
          <cell r="AT70">
            <v>0.26167279063149285</v>
          </cell>
          <cell r="AU70">
            <v>0.18188248519843042</v>
          </cell>
          <cell r="AV70">
            <v>0.17623250501764032</v>
          </cell>
          <cell r="AW70">
            <v>9.252226088302562E-2</v>
          </cell>
          <cell r="AX70">
            <v>8.5199227535916799E-2</v>
          </cell>
          <cell r="AY70">
            <v>0.06</v>
          </cell>
          <cell r="AZ70">
            <v>0.04</v>
          </cell>
          <cell r="BA70">
            <v>0.03</v>
          </cell>
          <cell r="BB70">
            <v>0.03</v>
          </cell>
          <cell r="BC70">
            <v>0.03</v>
          </cell>
          <cell r="BD70">
            <v>0.03</v>
          </cell>
          <cell r="BE70">
            <v>0.03</v>
          </cell>
          <cell r="BF70">
            <v>0.03</v>
          </cell>
          <cell r="BG70">
            <v>0.03</v>
          </cell>
          <cell r="BH70">
            <v>0.03</v>
          </cell>
          <cell r="BI70">
            <v>0.03</v>
          </cell>
          <cell r="BK70">
            <v>0.13342747386754317</v>
          </cell>
          <cell r="BL70">
            <v>4.280503115009715E-2</v>
          </cell>
        </row>
        <row r="71">
          <cell r="A71" t="str">
            <v xml:space="preserve">  Share of Visitation</v>
          </cell>
          <cell r="I71">
            <v>0.29842625612025547</v>
          </cell>
          <cell r="J71">
            <v>0.26290342540286038</v>
          </cell>
          <cell r="K71">
            <v>0.26346258133394534</v>
          </cell>
          <cell r="L71">
            <v>0.27126951230647045</v>
          </cell>
          <cell r="M71">
            <v>0.2736102373531632</v>
          </cell>
          <cell r="N71">
            <v>0.30806878856882897</v>
          </cell>
          <cell r="O71">
            <v>0.28974896543092055</v>
          </cell>
          <cell r="P71">
            <v>0.30531363743866102</v>
          </cell>
          <cell r="Q71">
            <v>0.29357218573590715</v>
          </cell>
          <cell r="R71">
            <v>0.2991526488103432</v>
          </cell>
          <cell r="S71">
            <v>0.30758775600450583</v>
          </cell>
          <cell r="T71">
            <v>0.30475612704975041</v>
          </cell>
          <cell r="U71">
            <v>0.29515391017735942</v>
          </cell>
          <cell r="V71">
            <v>0.27766669209944039</v>
          </cell>
          <cell r="W71">
            <v>0.29575969350370884</v>
          </cell>
          <cell r="X71">
            <v>0.2830423553046531</v>
          </cell>
          <cell r="Y71">
            <v>0.30253348531383129</v>
          </cell>
          <cell r="Z71">
            <v>0.27141974083830561</v>
          </cell>
          <cell r="AA71">
            <v>0.25407286342446139</v>
          </cell>
          <cell r="AB71">
            <v>0.27467000833454186</v>
          </cell>
          <cell r="AC71">
            <v>0.26112617344720584</v>
          </cell>
          <cell r="AD71">
            <v>0.25337051728418591</v>
          </cell>
          <cell r="AE71">
            <v>0.27103242999739408</v>
          </cell>
          <cell r="AF71">
            <v>0.26121447612384585</v>
          </cell>
          <cell r="AG71">
            <v>0.26194405944715377</v>
          </cell>
          <cell r="AH71">
            <v>0.26909963648373297</v>
          </cell>
          <cell r="AI71">
            <v>0.25185673782398449</v>
          </cell>
          <cell r="AJ71">
            <v>0.26510492808688779</v>
          </cell>
          <cell r="AK71">
            <v>0.25982086935243809</v>
          </cell>
          <cell r="AL71">
            <v>0.26150003203965633</v>
          </cell>
          <cell r="AM71">
            <v>0.27196781718355384</v>
          </cell>
          <cell r="AN71">
            <v>0.27211543924759718</v>
          </cell>
          <cell r="AO71">
            <v>0.27541357941459238</v>
          </cell>
          <cell r="AP71">
            <v>0.2718701780697465</v>
          </cell>
          <cell r="AQ71">
            <v>0.27283278999907357</v>
          </cell>
          <cell r="AR71">
            <v>0.26196781718355383</v>
          </cell>
          <cell r="AS71">
            <v>0.26211543924759717</v>
          </cell>
          <cell r="AT71">
            <v>0.26541357941459237</v>
          </cell>
          <cell r="AU71">
            <v>0.2618701780697465</v>
          </cell>
          <cell r="AV71">
            <v>0.26289305640213506</v>
          </cell>
          <cell r="AW71">
            <v>0.24789305640213505</v>
          </cell>
          <cell r="AX71">
            <v>0.23289305640213503</v>
          </cell>
          <cell r="AY71">
            <v>0.2139666221107224</v>
          </cell>
          <cell r="AZ71">
            <v>0.19747164768492503</v>
          </cell>
          <cell r="BA71">
            <v>0.18305458579268555</v>
          </cell>
          <cell r="BB71">
            <v>0.17105566776655901</v>
          </cell>
          <cell r="BC71">
            <v>0.16080797427694937</v>
          </cell>
          <cell r="BD71">
            <v>0.15170825186164683</v>
          </cell>
          <cell r="BE71">
            <v>0.1435740134812849</v>
          </cell>
          <cell r="BF71">
            <v>0.13625950097069769</v>
          </cell>
          <cell r="BG71">
            <v>0.1296468873388652</v>
          </cell>
          <cell r="BH71">
            <v>0.12363989224604864</v>
          </cell>
          <cell r="BI71">
            <v>0.11815907217213469</v>
          </cell>
          <cell r="BK71">
            <v>0.25623923635037837</v>
          </cell>
          <cell r="BL71">
            <v>6.653820051756687E-3</v>
          </cell>
        </row>
        <row r="72">
          <cell r="BL72">
            <v>0</v>
          </cell>
        </row>
        <row r="73">
          <cell r="A73" t="str">
            <v>Total Overnight Guests (mm)</v>
          </cell>
          <cell r="I73">
            <v>1.2918099999999999</v>
          </cell>
          <cell r="J73">
            <v>1.2340470000000001</v>
          </cell>
          <cell r="K73">
            <v>1.3759819999999998</v>
          </cell>
          <cell r="L73">
            <v>1.2948789999999999</v>
          </cell>
          <cell r="M73">
            <v>5.1967179999999997</v>
          </cell>
          <cell r="N73">
            <v>1.3902280000000002</v>
          </cell>
          <cell r="O73">
            <v>1.4169070000000001</v>
          </cell>
          <cell r="P73">
            <v>1.542594</v>
          </cell>
          <cell r="Q73">
            <v>1.4921060000000002</v>
          </cell>
          <cell r="R73">
            <v>5.8418350000000014</v>
          </cell>
          <cell r="S73">
            <v>1.5438019999999999</v>
          </cell>
          <cell r="T73">
            <v>1.6326580000000002</v>
          </cell>
          <cell r="U73">
            <v>1.7092590000000001</v>
          </cell>
          <cell r="V73">
            <v>1.67944</v>
          </cell>
          <cell r="W73">
            <v>6.5651589999999995</v>
          </cell>
          <cell r="X73">
            <v>1.6108199999999999</v>
          </cell>
          <cell r="Y73">
            <v>1.0973850000000001</v>
          </cell>
          <cell r="Z73">
            <v>1.7824690000000001</v>
          </cell>
          <cell r="AA73">
            <v>1.8178409999999998</v>
          </cell>
          <cell r="AB73">
            <v>6.3085149999999999</v>
          </cell>
          <cell r="AC73">
            <v>1.8884320000000001</v>
          </cell>
          <cell r="AD73">
            <v>1.9746430000000004</v>
          </cell>
          <cell r="AE73">
            <v>2.25752</v>
          </cell>
          <cell r="AF73">
            <v>2.202836</v>
          </cell>
          <cell r="AG73">
            <v>8.3234309999999994</v>
          </cell>
          <cell r="AH73">
            <v>2.1090920000000004</v>
          </cell>
          <cell r="AI73">
            <v>2.1200859999999997</v>
          </cell>
          <cell r="AJ73">
            <v>2.376064</v>
          </cell>
          <cell r="AK73">
            <v>2.4088220000000002</v>
          </cell>
          <cell r="AL73">
            <v>9.0140640000000012</v>
          </cell>
          <cell r="AM73">
            <v>2.4941499999999999</v>
          </cell>
          <cell r="AN73">
            <v>2.5002610000000001</v>
          </cell>
          <cell r="AO73">
            <v>2.6915180000000003</v>
          </cell>
          <cell r="AP73">
            <v>2.996734</v>
          </cell>
          <cell r="AQ73">
            <v>10.682663</v>
          </cell>
          <cell r="AR73">
            <v>2.8855828532024592</v>
          </cell>
          <cell r="AS73">
            <v>2.8380700343150895</v>
          </cell>
          <cell r="AT73">
            <v>3.4521021958385192</v>
          </cell>
          <cell r="AU73">
            <v>3.6021606985716286</v>
          </cell>
          <cell r="AV73">
            <v>12.777915781927696</v>
          </cell>
          <cell r="AW73">
            <v>14.960450849962921</v>
          </cell>
          <cell r="AX73">
            <v>17.460417741763688</v>
          </cell>
          <cell r="AY73">
            <v>19.998951843687493</v>
          </cell>
          <cell r="AZ73">
            <v>22.485097814466794</v>
          </cell>
          <cell r="BA73">
            <v>24.983664699732365</v>
          </cell>
          <cell r="BB73">
            <v>27.538261002945497</v>
          </cell>
          <cell r="BC73">
            <v>30.171967003217048</v>
          </cell>
          <cell r="BD73">
            <v>32.941185592909996</v>
          </cell>
          <cell r="BE73">
            <v>35.851704958000099</v>
          </cell>
          <cell r="BF73">
            <v>38.909538992338625</v>
          </cell>
          <cell r="BG73">
            <v>42.120935636545767</v>
          </cell>
          <cell r="BH73">
            <v>45.492385514198517</v>
          </cell>
          <cell r="BI73">
            <v>49.030630875647645</v>
          </cell>
          <cell r="BK73">
            <v>12.156117695781251</v>
          </cell>
          <cell r="BL73">
            <v>0.62179808614644472</v>
          </cell>
        </row>
        <row r="74">
          <cell r="A74" t="str">
            <v xml:space="preserve">  Year-over-Year growth</v>
          </cell>
          <cell r="N74">
            <v>7.6186126442743474E-2</v>
          </cell>
          <cell r="O74">
            <v>0.14817912121661503</v>
          </cell>
          <cell r="P74">
            <v>0.12108588629793138</v>
          </cell>
          <cell r="Q74">
            <v>0.15231307326784993</v>
          </cell>
          <cell r="R74">
            <v>0.12413931254303234</v>
          </cell>
          <cell r="S74">
            <v>0.11046677235676428</v>
          </cell>
          <cell r="T74">
            <v>0.15226899154284657</v>
          </cell>
          <cell r="U74">
            <v>0.10804203828097347</v>
          </cell>
          <cell r="V74">
            <v>0.12555006145675973</v>
          </cell>
          <cell r="W74">
            <v>0.12381794419048098</v>
          </cell>
          <cell r="X74">
            <v>4.3411007370116161E-2</v>
          </cell>
          <cell r="Y74">
            <v>-0.32785372074249475</v>
          </cell>
          <cell r="Z74">
            <v>4.2831425781581389E-2</v>
          </cell>
          <cell r="AA74">
            <v>8.2409017291477982E-2</v>
          </cell>
          <cell r="AB74">
            <v>-3.9091817882856983E-2</v>
          </cell>
          <cell r="AC74">
            <v>0.17234203697495709</v>
          </cell>
          <cell r="AD74">
            <v>0.7994076828095884</v>
          </cell>
          <cell r="AE74">
            <v>0.26651290990193921</v>
          </cell>
          <cell r="AF74">
            <v>0.21178694946367704</v>
          </cell>
          <cell r="AG74">
            <v>0.31939624459956106</v>
          </cell>
          <cell r="AH74">
            <v>0.11684826353292066</v>
          </cell>
          <cell r="AI74">
            <v>7.3655339218278604E-2</v>
          </cell>
          <cell r="AJ74">
            <v>5.2510719727842936E-2</v>
          </cell>
          <cell r="AK74">
            <v>9.3509457808025775E-2</v>
          </cell>
          <cell r="AL74">
            <v>8.2974557006600058E-2</v>
          </cell>
          <cell r="AM74">
            <v>0.18257050901525362</v>
          </cell>
          <cell r="AN74">
            <v>0.17932055586424345</v>
          </cell>
          <cell r="AO74">
            <v>0.13276325890211726</v>
          </cell>
          <cell r="AP74">
            <v>0.24406618670868996</v>
          </cell>
          <cell r="AQ74">
            <v>0.18511062268916634</v>
          </cell>
          <cell r="AR74">
            <v>0.15694038177433578</v>
          </cell>
          <cell r="AS74">
            <v>0.13510950829336998</v>
          </cell>
          <cell r="AT74">
            <v>0.28258558770125952</v>
          </cell>
          <cell r="AU74">
            <v>0.20202884158941981</v>
          </cell>
          <cell r="AV74">
            <v>0.19613581200939278</v>
          </cell>
          <cell r="AW74">
            <v>0.17080524752887083</v>
          </cell>
          <cell r="AX74">
            <v>0.16710505030047029</v>
          </cell>
          <cell r="AY74">
            <v>0.14538793627210134</v>
          </cell>
          <cell r="AZ74">
            <v>0.12431381355438553</v>
          </cell>
          <cell r="BA74">
            <v>0.11112101472193769</v>
          </cell>
          <cell r="BB74">
            <v>0.10225066394044657</v>
          </cell>
          <cell r="BC74">
            <v>9.5638065162860109E-2</v>
          </cell>
          <cell r="BD74">
            <v>9.1781175201394172E-2</v>
          </cell>
          <cell r="BE74">
            <v>8.8355027686572996E-2</v>
          </cell>
          <cell r="BF74">
            <v>8.5291174796868097E-2</v>
          </cell>
          <cell r="BG74">
            <v>8.2534944575916702E-2</v>
          </cell>
          <cell r="BH74">
            <v>8.0042141198961136E-2</v>
          </cell>
          <cell r="BI74">
            <v>7.7776650343930998E-2</v>
          </cell>
          <cell r="BK74">
            <v>0.15310660405423859</v>
          </cell>
          <cell r="BL74">
            <v>4.3029207955154192E-2</v>
          </cell>
        </row>
        <row r="75">
          <cell r="A75" t="str">
            <v xml:space="preserve">  Share of Visitation</v>
          </cell>
          <cell r="I75">
            <v>0.59372625837233484</v>
          </cell>
          <cell r="J75">
            <v>0.56351674023917953</v>
          </cell>
          <cell r="K75">
            <v>0.55602556134666625</v>
          </cell>
          <cell r="L75">
            <v>0.5576884646327871</v>
          </cell>
          <cell r="M75">
            <v>0.56719032478183207</v>
          </cell>
          <cell r="N75">
            <v>0.56672708046449327</v>
          </cell>
          <cell r="O75">
            <v>0.55421102862372984</v>
          </cell>
          <cell r="P75">
            <v>0.57363499923396033</v>
          </cell>
          <cell r="Q75">
            <v>0.57830988153628815</v>
          </cell>
          <cell r="R75">
            <v>0.56832866474111776</v>
          </cell>
          <cell r="S75">
            <v>0.57756464671443664</v>
          </cell>
          <cell r="T75">
            <v>0.58228567719422886</v>
          </cell>
          <cell r="U75">
            <v>0.56723523188407721</v>
          </cell>
          <cell r="V75">
            <v>0.55232091600081035</v>
          </cell>
          <cell r="W75">
            <v>0.56935647625355335</v>
          </cell>
          <cell r="X75">
            <v>0.53773100230438975</v>
          </cell>
          <cell r="Y75">
            <v>0.52935183662128638</v>
          </cell>
          <cell r="Z75">
            <v>0.53668667220474719</v>
          </cell>
          <cell r="AA75">
            <v>0.5196847084694004</v>
          </cell>
          <cell r="AB75">
            <v>0.53066796793640858</v>
          </cell>
          <cell r="AC75">
            <v>0.5033876261613186</v>
          </cell>
          <cell r="AD75">
            <v>0.49571312627104375</v>
          </cell>
          <cell r="AE75">
            <v>0.50671267704204526</v>
          </cell>
          <cell r="AF75">
            <v>0.49143647783139688</v>
          </cell>
          <cell r="AG75">
            <v>0.49922945228074206</v>
          </cell>
          <cell r="AH75">
            <v>0.47320654912630011</v>
          </cell>
          <cell r="AI75">
            <v>0.47468497980767527</v>
          </cell>
          <cell r="AJ75">
            <v>0.48979578374696875</v>
          </cell>
          <cell r="AK75">
            <v>0.48793857961096537</v>
          </cell>
          <cell r="AL75">
            <v>0.48174730977783514</v>
          </cell>
          <cell r="AM75">
            <v>0.4752556107848715</v>
          </cell>
          <cell r="AN75">
            <v>0.48319245556349627</v>
          </cell>
          <cell r="AO75">
            <v>0.49175289413324363</v>
          </cell>
          <cell r="AP75">
            <v>0.49108045323030819</v>
          </cell>
          <cell r="AQ75">
            <v>0.48561704494592761</v>
          </cell>
          <cell r="AR75">
            <v>0.46525561078487149</v>
          </cell>
          <cell r="AS75">
            <v>0.47319245556349626</v>
          </cell>
          <cell r="AT75">
            <v>0.48175289413324363</v>
          </cell>
          <cell r="AU75">
            <v>0.48108045323030812</v>
          </cell>
          <cell r="AV75">
            <v>0.47584311475624996</v>
          </cell>
          <cell r="AW75">
            <v>0.48084311475624991</v>
          </cell>
          <cell r="AX75">
            <v>0.48584311475624992</v>
          </cell>
          <cell r="AY75">
            <v>0.48231668046483728</v>
          </cell>
          <cell r="AZ75">
            <v>0.48122170603903996</v>
          </cell>
          <cell r="BA75">
            <v>0.48122170603903985</v>
          </cell>
          <cell r="BB75">
            <v>0.48122170603903985</v>
          </cell>
          <cell r="BC75">
            <v>0.48122170603903985</v>
          </cell>
          <cell r="BD75">
            <v>0.48122170603903991</v>
          </cell>
          <cell r="BE75">
            <v>0.48122170603903991</v>
          </cell>
          <cell r="BF75">
            <v>0.48122170603903996</v>
          </cell>
          <cell r="BG75">
            <v>0.48122170603903985</v>
          </cell>
          <cell r="BH75">
            <v>0.48122170603903991</v>
          </cell>
          <cell r="BI75">
            <v>0.48122170603903996</v>
          </cell>
          <cell r="BK75">
            <v>0.46961983561762977</v>
          </cell>
          <cell r="BL75">
            <v>6.2232791386201969E-3</v>
          </cell>
        </row>
        <row r="76">
          <cell r="BL76">
            <v>0</v>
          </cell>
        </row>
        <row r="77">
          <cell r="A77" t="str">
            <v>Day Trippers (mm)</v>
          </cell>
          <cell r="I77">
            <v>0.88395699999999999</v>
          </cell>
          <cell r="J77">
            <v>0.95585600000000004</v>
          </cell>
          <cell r="K77">
            <v>1.098692</v>
          </cell>
          <cell r="L77">
            <v>1.0269889999999999</v>
          </cell>
          <cell r="M77">
            <v>3.9654940000000001</v>
          </cell>
          <cell r="N77">
            <v>1.062854</v>
          </cell>
          <cell r="O77">
            <v>1.139713</v>
          </cell>
          <cell r="P77">
            <v>1.1465620000000001</v>
          </cell>
          <cell r="Q77">
            <v>1.088009</v>
          </cell>
          <cell r="R77">
            <v>4.4371380000000009</v>
          </cell>
          <cell r="S77">
            <v>1.129149</v>
          </cell>
          <cell r="T77">
            <v>1.1712199999999999</v>
          </cell>
          <cell r="U77">
            <v>1.304057</v>
          </cell>
          <cell r="V77">
            <v>1.361256</v>
          </cell>
          <cell r="W77">
            <v>4.9656820000000002</v>
          </cell>
          <cell r="X77">
            <v>1.3847670000000001</v>
          </cell>
          <cell r="Y77">
            <v>0.975688</v>
          </cell>
          <cell r="Z77">
            <v>1.538778</v>
          </cell>
          <cell r="AA77">
            <v>1.6801280000000001</v>
          </cell>
          <cell r="AB77">
            <v>5.5793609999999996</v>
          </cell>
          <cell r="AC77">
            <v>1.8630150000000001</v>
          </cell>
          <cell r="AD77">
            <v>2.0087959999999998</v>
          </cell>
          <cell r="AE77">
            <v>2.1977069999999999</v>
          </cell>
          <cell r="AF77">
            <v>2.2796069999999999</v>
          </cell>
          <cell r="AG77">
            <v>8.3491250000000008</v>
          </cell>
          <cell r="AH77">
            <v>2.3479299999999999</v>
          </cell>
          <cell r="AI77">
            <v>2.3462149999999999</v>
          </cell>
          <cell r="AJ77">
            <v>2.4750679999999998</v>
          </cell>
          <cell r="AK77">
            <v>2.5279099999999999</v>
          </cell>
          <cell r="AL77">
            <v>9.6971229999999995</v>
          </cell>
          <cell r="AM77">
            <v>2.7538680000000002</v>
          </cell>
          <cell r="AN77">
            <v>2.6742010000000001</v>
          </cell>
          <cell r="AO77">
            <v>2.7817959999999999</v>
          </cell>
          <cell r="AP77">
            <v>3.105594</v>
          </cell>
          <cell r="AQ77">
            <v>11.315459000000001</v>
          </cell>
          <cell r="AR77">
            <v>3.3165623467975411</v>
          </cell>
          <cell r="AS77">
            <v>3.1596376656849108</v>
          </cell>
          <cell r="AT77">
            <v>3.7136091841614811</v>
          </cell>
          <cell r="AU77">
            <v>3.8854864805731921</v>
          </cell>
          <cell r="AV77">
            <v>14.075295677217126</v>
          </cell>
          <cell r="AW77">
            <v>16.152505519489736</v>
          </cell>
          <cell r="AX77">
            <v>18.477968974951796</v>
          </cell>
          <cell r="AY77">
            <v>21.465406851958932</v>
          </cell>
          <cell r="AZ77">
            <v>24.23993044650415</v>
          </cell>
          <cell r="BA77">
            <v>26.933496114508888</v>
          </cell>
          <cell r="BB77">
            <v>29.687463974454861</v>
          </cell>
          <cell r="BC77">
            <v>32.526715588563839</v>
          </cell>
          <cell r="BD77">
            <v>35.512055770723727</v>
          </cell>
          <cell r="BE77">
            <v>38.649724441553147</v>
          </cell>
          <cell r="BF77">
            <v>41.946204844748436</v>
          </cell>
          <cell r="BG77">
            <v>45.408232536779813</v>
          </cell>
          <cell r="BH77">
            <v>49.042804697083994</v>
          </cell>
          <cell r="BI77">
            <v>52.857189769894788</v>
          </cell>
          <cell r="BK77">
            <v>13.728899873363574</v>
          </cell>
          <cell r="BL77">
            <v>0.34639580385355195</v>
          </cell>
        </row>
        <row r="78">
          <cell r="A78" t="str">
            <v xml:space="preserve">  Year-over-Year growth</v>
          </cell>
          <cell r="N78">
            <v>0.20238201631979824</v>
          </cell>
          <cell r="O78">
            <v>0.1923480105789992</v>
          </cell>
          <cell r="P78">
            <v>4.3569990497791977E-2</v>
          </cell>
          <cell r="Q78">
            <v>5.9416410497094008E-2</v>
          </cell>
          <cell r="R78">
            <v>0.11893701011778135</v>
          </cell>
          <cell r="S78">
            <v>6.2374512397751714E-2</v>
          </cell>
          <cell r="T78">
            <v>2.7644678967424285E-2</v>
          </cell>
          <cell r="U78">
            <v>0.1373628290489306</v>
          </cell>
          <cell r="V78">
            <v>0.25114406222742636</v>
          </cell>
          <cell r="W78">
            <v>0.11911822440501041</v>
          </cell>
          <cell r="X78">
            <v>0.22638110647930443</v>
          </cell>
          <cell r="Y78">
            <v>-0.16694728573624085</v>
          </cell>
          <cell r="Z78">
            <v>0.17999289908339899</v>
          </cell>
          <cell r="AA78">
            <v>0.23424837062242521</v>
          </cell>
          <cell r="AB78">
            <v>0.12358403135762619</v>
          </cell>
          <cell r="AC78">
            <v>0.34536351602832815</v>
          </cell>
          <cell r="AD78">
            <v>1.0588507801674303</v>
          </cell>
          <cell r="AE78">
            <v>0.42821576601693034</v>
          </cell>
          <cell r="AF78">
            <v>0.35680555291025429</v>
          </cell>
          <cell r="AG78">
            <v>0.49643032598177483</v>
          </cell>
          <cell r="AH78">
            <v>0.26028507553616032</v>
          </cell>
          <cell r="AI78">
            <v>0.16797076457738869</v>
          </cell>
          <cell r="AJ78">
            <v>0.12620472155751417</v>
          </cell>
          <cell r="AK78">
            <v>0.10892359955027331</v>
          </cell>
          <cell r="AL78">
            <v>0.16145380503945006</v>
          </cell>
          <cell r="AM78">
            <v>0.17289186645257759</v>
          </cell>
          <cell r="AN78">
            <v>0.13979366767325252</v>
          </cell>
          <cell r="AO78">
            <v>0.12392710018472219</v>
          </cell>
          <cell r="AP78">
            <v>0.2285223761921904</v>
          </cell>
          <cell r="AQ78">
            <v>0.16688826160088932</v>
          </cell>
          <cell r="AR78">
            <v>0.20432872846394279</v>
          </cell>
          <cell r="AS78">
            <v>0.18152587097413786</v>
          </cell>
          <cell r="AT78">
            <v>0.33496819470639871</v>
          </cell>
          <cell r="AU78">
            <v>0.25112506031799131</v>
          </cell>
          <cell r="AV78">
            <v>0.24389966657270601</v>
          </cell>
          <cell r="AW78">
            <v>0.14757841610637512</v>
          </cell>
          <cell r="AX78">
            <v>0.14396920977096328</v>
          </cell>
          <cell r="AY78">
            <v>0.16167566257183452</v>
          </cell>
          <cell r="AZ78">
            <v>0.12925557915954511</v>
          </cell>
          <cell r="BA78">
            <v>0.11112101472193792</v>
          </cell>
          <cell r="BB78">
            <v>0.10225066394044657</v>
          </cell>
          <cell r="BC78">
            <v>9.5638065162860109E-2</v>
          </cell>
          <cell r="BD78">
            <v>9.178117520139395E-2</v>
          </cell>
          <cell r="BE78">
            <v>8.8355027686572996E-2</v>
          </cell>
          <cell r="BF78">
            <v>8.5291174796867875E-2</v>
          </cell>
          <cell r="BG78">
            <v>8.2534944575917146E-2</v>
          </cell>
          <cell r="BH78">
            <v>8.0042141198960914E-2</v>
          </cell>
          <cell r="BI78">
            <v>7.7776650343930998E-2</v>
          </cell>
          <cell r="BK78">
            <v>0.2002914230366637</v>
          </cell>
          <cell r="BL78">
            <v>4.3608243536042313E-2</v>
          </cell>
        </row>
        <row r="79">
          <cell r="A79" t="str">
            <v xml:space="preserve">  Share of Visitation</v>
          </cell>
          <cell r="I79">
            <v>0.40627374162766511</v>
          </cell>
          <cell r="J79">
            <v>0.43648325976082042</v>
          </cell>
          <cell r="K79">
            <v>0.44397443865333375</v>
          </cell>
          <cell r="L79">
            <v>0.44231153536721296</v>
          </cell>
          <cell r="M79">
            <v>0.43280967521816782</v>
          </cell>
          <cell r="N79">
            <v>0.43327291953550673</v>
          </cell>
          <cell r="O79">
            <v>0.44578897137627022</v>
          </cell>
          <cell r="P79">
            <v>0.42636500076603961</v>
          </cell>
          <cell r="Q79">
            <v>0.42169011846371185</v>
          </cell>
          <cell r="R79">
            <v>0.43167133525888246</v>
          </cell>
          <cell r="S79">
            <v>0.42243535328556342</v>
          </cell>
          <cell r="T79">
            <v>0.41771432280577109</v>
          </cell>
          <cell r="U79">
            <v>0.43276476811592279</v>
          </cell>
          <cell r="V79">
            <v>0.44767908399918965</v>
          </cell>
          <cell r="W79">
            <v>0.4306435237464466</v>
          </cell>
          <cell r="X79">
            <v>0.46226899769561025</v>
          </cell>
          <cell r="Y79">
            <v>0.47064816337871362</v>
          </cell>
          <cell r="Z79">
            <v>0.46331332779525281</v>
          </cell>
          <cell r="AA79">
            <v>0.48031529153059965</v>
          </cell>
          <cell r="AB79">
            <v>0.46933203206359153</v>
          </cell>
          <cell r="AC79">
            <v>0.49661237383868145</v>
          </cell>
          <cell r="AD79">
            <v>0.5042868737289562</v>
          </cell>
          <cell r="AE79">
            <v>0.49328732295795474</v>
          </cell>
          <cell r="AF79">
            <v>0.50856352216860312</v>
          </cell>
          <cell r="AG79">
            <v>0.500770547719258</v>
          </cell>
          <cell r="AH79">
            <v>0.52679345087369989</v>
          </cell>
          <cell r="AI79">
            <v>0.52531502019232468</v>
          </cell>
          <cell r="AJ79">
            <v>0.51020421625303125</v>
          </cell>
          <cell r="AK79">
            <v>0.51206142038903468</v>
          </cell>
          <cell r="AL79">
            <v>0.51825269022216491</v>
          </cell>
          <cell r="AM79">
            <v>0.52474438921512845</v>
          </cell>
          <cell r="AN79">
            <v>0.51680754443650379</v>
          </cell>
          <cell r="AO79">
            <v>0.50824710586675637</v>
          </cell>
          <cell r="AP79">
            <v>0.50891954676969187</v>
          </cell>
          <cell r="AQ79">
            <v>0.51438295505407228</v>
          </cell>
          <cell r="AR79">
            <v>0.53474438921512846</v>
          </cell>
          <cell r="AS79">
            <v>0.52680754443650368</v>
          </cell>
          <cell r="AT79">
            <v>0.51824710586675637</v>
          </cell>
          <cell r="AU79">
            <v>0.51891954676969188</v>
          </cell>
          <cell r="AV79">
            <v>0.52415688524375004</v>
          </cell>
          <cell r="AW79">
            <v>0.51915688524375003</v>
          </cell>
          <cell r="AX79">
            <v>0.51415688524375014</v>
          </cell>
          <cell r="AY79">
            <v>0.51768331953516278</v>
          </cell>
          <cell r="AZ79">
            <v>0.51877829396096009</v>
          </cell>
          <cell r="BA79">
            <v>0.51877829396096009</v>
          </cell>
          <cell r="BB79">
            <v>0.51877829396096009</v>
          </cell>
          <cell r="BC79">
            <v>0.51877829396096009</v>
          </cell>
          <cell r="BD79">
            <v>0.51877829396096009</v>
          </cell>
          <cell r="BE79">
            <v>0.51877829396096009</v>
          </cell>
          <cell r="BF79">
            <v>0.51877829396096009</v>
          </cell>
          <cell r="BG79">
            <v>0.51877829396096009</v>
          </cell>
          <cell r="BH79">
            <v>0.51877829396096009</v>
          </cell>
          <cell r="BI79">
            <v>0.51877829396096009</v>
          </cell>
          <cell r="BK79">
            <v>0.53038016438237023</v>
          </cell>
          <cell r="BL79">
            <v>-6.2232791386201969E-3</v>
          </cell>
        </row>
        <row r="80">
          <cell r="A80" t="str">
            <v xml:space="preserve">  Share of China + Hong Kong</v>
          </cell>
          <cell r="I80">
            <v>0.49799187963333846</v>
          </cell>
          <cell r="J80">
            <v>0.55912529335102212</v>
          </cell>
          <cell r="K80">
            <v>0.5634502875991827</v>
          </cell>
          <cell r="L80">
            <v>0.57220343024865761</v>
          </cell>
          <cell r="M80">
            <v>0.54852841175367228</v>
          </cell>
          <cell r="N80">
            <v>0.53786143636321304</v>
          </cell>
          <cell r="O80">
            <v>0.57253970733844151</v>
          </cell>
          <cell r="P80">
            <v>0.53069657970316853</v>
          </cell>
          <cell r="Q80">
            <v>0.52442458374142997</v>
          </cell>
          <cell r="R80">
            <v>0.540991809416842</v>
          </cell>
          <cell r="S80">
            <v>0.51779175595370475</v>
          </cell>
          <cell r="T80">
            <v>0.52351555791761295</v>
          </cell>
          <cell r="U80">
            <v>0.533184587877368</v>
          </cell>
          <cell r="V80">
            <v>0.54929843449122984</v>
          </cell>
          <cell r="W80">
            <v>0.5315504379577437</v>
          </cell>
          <cell r="X80">
            <v>0.54598736250434698</v>
          </cell>
          <cell r="Y80">
            <v>0.50871186960298398</v>
          </cell>
          <cell r="Z80">
            <v>0.535200137732184</v>
          </cell>
          <cell r="AA80">
            <v>0.55343228695386071</v>
          </cell>
          <cell r="AB80">
            <v>0.53827828469846883</v>
          </cell>
          <cell r="AC80">
            <v>0.55658326947465597</v>
          </cell>
          <cell r="AD80">
            <v>0.57330730879800718</v>
          </cell>
          <cell r="AE80">
            <v>0.5645906672897345</v>
          </cell>
          <cell r="AF80">
            <v>0.59409276168629466</v>
          </cell>
          <cell r="AG80">
            <v>0.57261097780793635</v>
          </cell>
          <cell r="AH80">
            <v>0.61094132784822797</v>
          </cell>
          <cell r="AI80">
            <v>0.61723170901743929</v>
          </cell>
          <cell r="AJ80">
            <v>0.59200157288702504</v>
          </cell>
          <cell r="AK80">
            <v>0.5944266752823979</v>
          </cell>
          <cell r="AL80">
            <v>0.60313525595262751</v>
          </cell>
          <cell r="AM80">
            <v>0.60211142656304495</v>
          </cell>
          <cell r="AN80">
            <v>0.60185873497182352</v>
          </cell>
          <cell r="AO80">
            <v>0.59288254331588874</v>
          </cell>
          <cell r="AP80">
            <v>0.5952417369224241</v>
          </cell>
          <cell r="AQ80">
            <v>0.59787043122541872</v>
          </cell>
          <cell r="AR80">
            <v>0.63894986066907655</v>
          </cell>
          <cell r="AS80">
            <v>0.62602844208606745</v>
          </cell>
          <cell r="AT80">
            <v>0.60384049412005614</v>
          </cell>
          <cell r="AU80">
            <v>0.60467977759283742</v>
          </cell>
          <cell r="AV80">
            <v>0.61697391128018719</v>
          </cell>
          <cell r="AW80">
            <v>0.61028350791521957</v>
          </cell>
          <cell r="AX80">
            <v>0.59938774916305237</v>
          </cell>
          <cell r="AY80">
            <v>0.59717000641251672</v>
          </cell>
          <cell r="AZ80">
            <v>0.59222992346504655</v>
          </cell>
          <cell r="BA80">
            <v>0.58617071673783649</v>
          </cell>
          <cell r="BB80">
            <v>0.58122154582895047</v>
          </cell>
          <cell r="BC80">
            <v>0.57706039324610081</v>
          </cell>
          <cell r="BD80">
            <v>0.57341501152654184</v>
          </cell>
          <cell r="BE80">
            <v>0.57019517344941806</v>
          </cell>
          <cell r="BF80">
            <v>0.56733053626462082</v>
          </cell>
          <cell r="BG80">
            <v>0.56476545003156065</v>
          </cell>
          <cell r="BH80">
            <v>0.56245531183118658</v>
          </cell>
          <cell r="BI80">
            <v>0.56036395422446161</v>
          </cell>
          <cell r="BK80">
            <v>0.61004374548938389</v>
          </cell>
          <cell r="BL80">
            <v>6.9301657908032999E-3</v>
          </cell>
        </row>
        <row r="81">
          <cell r="BL81">
            <v>0</v>
          </cell>
        </row>
        <row r="82">
          <cell r="A82" t="str">
            <v>Avg Nights Stayed for Hotel Guests</v>
          </cell>
          <cell r="H82">
            <v>1.43</v>
          </cell>
          <cell r="I82">
            <v>1.2666666666666668</v>
          </cell>
          <cell r="J82">
            <v>1.2700000000000002</v>
          </cell>
          <cell r="K82">
            <v>1.26</v>
          </cell>
          <cell r="L82">
            <v>1.3333333333333333</v>
          </cell>
          <cell r="M82">
            <v>1.2825</v>
          </cell>
          <cell r="N82">
            <v>1.2966666666666666</v>
          </cell>
          <cell r="O82">
            <v>1.29</v>
          </cell>
          <cell r="P82">
            <v>1.29</v>
          </cell>
          <cell r="Q82">
            <v>1.2933333333333332</v>
          </cell>
          <cell r="R82">
            <v>1.2925</v>
          </cell>
          <cell r="S82">
            <v>1.2666666666666666</v>
          </cell>
          <cell r="T82">
            <v>1.2366666666666666</v>
          </cell>
          <cell r="U82">
            <v>1.2066666666666668</v>
          </cell>
          <cell r="V82">
            <v>1.2066666666666668</v>
          </cell>
          <cell r="W82">
            <v>1.2291666666666667</v>
          </cell>
          <cell r="X82">
            <v>1.1866666666666668</v>
          </cell>
          <cell r="Y82">
            <v>1.28</v>
          </cell>
          <cell r="Z82">
            <v>1.1966666666666665</v>
          </cell>
          <cell r="AA82">
            <v>1.2233333333333334</v>
          </cell>
          <cell r="AB82">
            <v>1.2216666666666667</v>
          </cell>
          <cell r="AC82">
            <v>1.19</v>
          </cell>
          <cell r="AD82">
            <v>1.1900000000000002</v>
          </cell>
          <cell r="AE82">
            <v>1.1633333333333331</v>
          </cell>
          <cell r="AF82">
            <v>1.1599999999999999</v>
          </cell>
          <cell r="AG82">
            <v>1.1758333333333333</v>
          </cell>
          <cell r="AH82">
            <v>1.18</v>
          </cell>
          <cell r="AI82">
            <v>1.1599999999999999</v>
          </cell>
          <cell r="AJ82">
            <v>1.1633333333333333</v>
          </cell>
          <cell r="AK82">
            <v>1.2</v>
          </cell>
          <cell r="AL82">
            <v>1.1758333333333333</v>
          </cell>
          <cell r="AM82">
            <v>1.1566666666666665</v>
          </cell>
          <cell r="AN82">
            <v>1.1566666666666665</v>
          </cell>
          <cell r="AO82">
            <v>1.1666666666666667</v>
          </cell>
          <cell r="AP82">
            <v>1.2</v>
          </cell>
          <cell r="AQ82">
            <v>1.17</v>
          </cell>
          <cell r="AR82">
            <v>1.2241329526046154</v>
          </cell>
          <cell r="AS82">
            <v>1.2359390736549345</v>
          </cell>
          <cell r="AT82">
            <v>1.3646719559247491</v>
          </cell>
          <cell r="AU82">
            <v>1.3715821961911758</v>
          </cell>
          <cell r="AV82">
            <v>1.2749478692713259</v>
          </cell>
          <cell r="AW82">
            <v>1.439017908256258</v>
          </cell>
          <cell r="AX82">
            <v>1.8461329551184145</v>
          </cell>
          <cell r="AY82">
            <v>2.1697667219533114</v>
          </cell>
          <cell r="AZ82">
            <v>2.1697667219533114</v>
          </cell>
          <cell r="BA82">
            <v>2.1697667219533114</v>
          </cell>
          <cell r="BB82">
            <v>2.1697667219533114</v>
          </cell>
          <cell r="BC82">
            <v>2.1697667219533114</v>
          </cell>
          <cell r="BD82">
            <v>2.1697667219533114</v>
          </cell>
          <cell r="BE82">
            <v>2.1697667219533114</v>
          </cell>
          <cell r="BF82">
            <v>2.1697667219533114</v>
          </cell>
          <cell r="BG82">
            <v>2.1697667219533114</v>
          </cell>
          <cell r="BH82">
            <v>2.1697667219533114</v>
          </cell>
          <cell r="BI82">
            <v>2.1697667219533114</v>
          </cell>
          <cell r="BK82">
            <v>1.23</v>
          </cell>
          <cell r="BL82">
            <v>4.494786927132588E-2</v>
          </cell>
        </row>
        <row r="83">
          <cell r="A83" t="str">
            <v>Avg Days Stayed for All Guests (incl. day trippers)</v>
          </cell>
          <cell r="I83">
            <v>1.5232597975794282</v>
          </cell>
          <cell r="J83">
            <v>1.5132306225435557</v>
          </cell>
          <cell r="K83">
            <v>1.500360645483001</v>
          </cell>
          <cell r="L83">
            <v>1.517526692588324</v>
          </cell>
          <cell r="M83">
            <v>1.5132248442479466</v>
          </cell>
          <cell r="N83">
            <v>1.4894279794424594</v>
          </cell>
          <cell r="O83">
            <v>1.4860305442341841</v>
          </cell>
          <cell r="P83">
            <v>1.4987913754352666</v>
          </cell>
          <cell r="Q83">
            <v>1.5150468461031128</v>
          </cell>
          <cell r="R83">
            <v>1.4974631502582991</v>
          </cell>
          <cell r="S83">
            <v>1.4957646062348318</v>
          </cell>
          <cell r="T83">
            <v>1.4955896072035468</v>
          </cell>
          <cell r="U83">
            <v>1.4758884166147859</v>
          </cell>
          <cell r="V83">
            <v>1.4702494428907067</v>
          </cell>
          <cell r="W83">
            <v>1.4837994970762898</v>
          </cell>
          <cell r="X83">
            <v>1.4437517054253473</v>
          </cell>
          <cell r="Y83">
            <v>1.4415942323304582</v>
          </cell>
          <cell r="Z83">
            <v>1.4531459649543277</v>
          </cell>
          <cell r="AA83">
            <v>1.4519682554838729</v>
          </cell>
          <cell r="AB83">
            <v>1.4484177445435447</v>
          </cell>
          <cell r="AC83">
            <v>1.418854215453397</v>
          </cell>
          <cell r="AD83">
            <v>1.4150729633364536</v>
          </cell>
          <cell r="AE83">
            <v>1.4096909023939745</v>
          </cell>
          <cell r="AF83">
            <v>1.3976647600426821</v>
          </cell>
          <cell r="AG83">
            <v>1.4098053597780686</v>
          </cell>
          <cell r="AH83">
            <v>1.3753959751600955</v>
          </cell>
          <cell r="AI83">
            <v>1.3844091296130736</v>
          </cell>
          <cell r="AJ83">
            <v>1.3939428261280047</v>
          </cell>
          <cell r="AK83">
            <v>1.4036516869864517</v>
          </cell>
          <cell r="AL83">
            <v>1.3898108575367241</v>
          </cell>
          <cell r="AM83">
            <v>1.3711201231906343</v>
          </cell>
          <cell r="AN83">
            <v>1.3802034684958553</v>
          </cell>
          <cell r="AO83">
            <v>1.390102656879056</v>
          </cell>
          <cell r="AP83">
            <v>1.3989874192275473</v>
          </cell>
          <cell r="AQ83">
            <v>1.3857101947157124</v>
          </cell>
          <cell r="AR83">
            <v>1.3798351956014356</v>
          </cell>
          <cell r="AS83">
            <v>1.3919360516391184</v>
          </cell>
          <cell r="AT83">
            <v>1.4279389854678177</v>
          </cell>
          <cell r="AU83">
            <v>1.4315999996672684</v>
          </cell>
          <cell r="AV83">
            <v>1.409808216231297</v>
          </cell>
          <cell r="AW83">
            <v>1.4591658339019791</v>
          </cell>
          <cell r="AX83">
            <v>1.5834259669277251</v>
          </cell>
          <cell r="AY83">
            <v>1.6892403375063489</v>
          </cell>
          <cell r="AZ83">
            <v>1.7144072578115312</v>
          </cell>
          <cell r="BA83">
            <v>1.7384803879875337</v>
          </cell>
          <cell r="BB83">
            <v>1.7585157820070054</v>
          </cell>
          <cell r="BC83">
            <v>1.7756270395727332</v>
          </cell>
          <cell r="BD83">
            <v>1.7908214532408184</v>
          </cell>
          <cell r="BE83">
            <v>1.8044037337967822</v>
          </cell>
          <cell r="BF83">
            <v>1.8166172633742717</v>
          </cell>
          <cell r="BG83">
            <v>1.8276587855618405</v>
          </cell>
          <cell r="BH83">
            <v>1.8376890660667624</v>
          </cell>
          <cell r="BI83">
            <v>1.8468407570351979</v>
          </cell>
          <cell r="BK83">
            <v>1.3905777552739083</v>
          </cell>
          <cell r="BL83">
            <v>1.9230460957388784E-2</v>
          </cell>
        </row>
        <row r="84">
          <cell r="A84" t="str">
            <v xml:space="preserve">  Year-over-Year growth</v>
          </cell>
          <cell r="N84">
            <v>-2.22101431356162E-2</v>
          </cell>
          <cell r="O84">
            <v>-1.7974839990781755E-2</v>
          </cell>
          <cell r="P84">
            <v>-1.0459285588826361E-3</v>
          </cell>
          <cell r="Q84">
            <v>-1.6341369791535998E-3</v>
          </cell>
          <cell r="R84">
            <v>-1.0415963000845907E-2</v>
          </cell>
          <cell r="S84">
            <v>4.2544029518931659E-3</v>
          </cell>
          <cell r="T84">
            <v>6.4326154038030214E-3</v>
          </cell>
          <cell r="U84">
            <v>-1.5280951836161627E-2</v>
          </cell>
          <cell r="V84">
            <v>-2.9568328746817696E-2</v>
          </cell>
          <cell r="W84">
            <v>-9.1245338355421257E-3</v>
          </cell>
          <cell r="X84">
            <v>-3.4773453384762454E-2</v>
          </cell>
          <cell r="Y84">
            <v>-3.6103069059198134E-2</v>
          </cell>
          <cell r="Z84">
            <v>-1.5409330003837374E-2</v>
          </cell>
          <cell r="AA84">
            <v>-1.2434071983656425E-2</v>
          </cell>
          <cell r="AB84">
            <v>-2.3845373045658813E-2</v>
          </cell>
          <cell r="AC84">
            <v>-1.7244994328588614E-2</v>
          </cell>
          <cell r="AD84">
            <v>-1.8397180287778148E-2</v>
          </cell>
          <cell r="AE84">
            <v>-2.9904127739651343E-2</v>
          </cell>
          <cell r="AF84">
            <v>-3.7399919203532361E-2</v>
          </cell>
          <cell r="AG84">
            <v>-2.6658320716475559E-2</v>
          </cell>
          <cell r="AH84">
            <v>-3.0629108910540381E-2</v>
          </cell>
          <cell r="AI84">
            <v>-2.1669436501055683E-2</v>
          </cell>
          <cell r="AJ84">
            <v>-1.1171297366838417E-2</v>
          </cell>
          <cell r="AK84">
            <v>4.2835214243983621E-3</v>
          </cell>
          <cell r="AL84">
            <v>-1.4182455828152141E-2</v>
          </cell>
          <cell r="AM84">
            <v>-3.1088152406171243E-3</v>
          </cell>
          <cell r="AN84">
            <v>-3.0378744456804885E-3</v>
          </cell>
          <cell r="AO84">
            <v>-2.7548972432503982E-3</v>
          </cell>
          <cell r="AP84">
            <v>-3.3229524120177434E-3</v>
          </cell>
          <cell r="AQ84">
            <v>-2.9505186254477067E-3</v>
          </cell>
          <cell r="AR84">
            <v>6.3561698668102018E-3</v>
          </cell>
          <cell r="AS84">
            <v>8.500618503769708E-3</v>
          </cell>
          <cell r="AT84">
            <v>2.7218370097722655E-2</v>
          </cell>
          <cell r="AU84">
            <v>2.3311560912912421E-2</v>
          </cell>
          <cell r="AV84">
            <v>1.7390376146094955E-2</v>
          </cell>
          <cell r="AW84">
            <v>3.5010164575877578E-2</v>
          </cell>
          <cell r="AX84">
            <v>8.5158335083449721E-2</v>
          </cell>
          <cell r="AY84">
            <v>6.6826219089947347E-2</v>
          </cell>
          <cell r="AZ84">
            <v>1.4898365701078164E-2</v>
          </cell>
          <cell r="BA84">
            <v>1.4041663709900565E-2</v>
          </cell>
          <cell r="BB84">
            <v>1.1524659212672983E-2</v>
          </cell>
          <cell r="BC84">
            <v>9.730511230441552E-3</v>
          </cell>
          <cell r="BD84">
            <v>8.5572101175828141E-3</v>
          </cell>
          <cell r="BE84">
            <v>7.5843856635646745E-3</v>
          </cell>
          <cell r="BF84">
            <v>6.7687343739806227E-3</v>
          </cell>
          <cell r="BG84">
            <v>6.0780674114369049E-3</v>
          </cell>
          <cell r="BH84">
            <v>5.4880487452906301E-3</v>
          </cell>
          <cell r="BI84">
            <v>4.979999684072256E-3</v>
          </cell>
          <cell r="BK84">
            <v>3.5710637427210923E-3</v>
          </cell>
          <cell r="BL84">
            <v>1.3819312403373862E-2</v>
          </cell>
        </row>
        <row r="85">
          <cell r="BL85">
            <v>0</v>
          </cell>
        </row>
        <row r="86">
          <cell r="A86" t="str">
            <v>Visitor Days (mm)</v>
          </cell>
          <cell r="I86">
            <v>3.3142583999999999</v>
          </cell>
          <cell r="J86">
            <v>3.3138282800000005</v>
          </cell>
          <cell r="K86">
            <v>3.7129034799999996</v>
          </cell>
          <cell r="L86">
            <v>3.5234966666666665</v>
          </cell>
          <cell r="M86">
            <v>13.864486826666667</v>
          </cell>
          <cell r="N86">
            <v>3.6536889666666674</v>
          </cell>
          <cell r="O86">
            <v>3.79921541</v>
          </cell>
          <cell r="P86">
            <v>4.0304838199999997</v>
          </cell>
          <cell r="Q86">
            <v>3.9089950933333331</v>
          </cell>
          <cell r="R86">
            <v>15.39238329</v>
          </cell>
          <cell r="S86">
            <v>3.9981054999999994</v>
          </cell>
          <cell r="T86">
            <v>4.1934507966666663</v>
          </cell>
          <cell r="U86">
            <v>4.4473181799999999</v>
          </cell>
          <cell r="V86">
            <v>4.4705816</v>
          </cell>
          <cell r="W86">
            <v>17.109456076666664</v>
          </cell>
          <cell r="X86">
            <v>4.32488384</v>
          </cell>
          <cell r="Y86">
            <v>2.9885300799999999</v>
          </cell>
          <cell r="Z86">
            <v>4.8262566766666657</v>
          </cell>
          <cell r="AA86">
            <v>5.0789399466666669</v>
          </cell>
          <cell r="AB86">
            <v>17.218610543333334</v>
          </cell>
          <cell r="AC86">
            <v>5.3227563900000003</v>
          </cell>
          <cell r="AD86">
            <v>5.6368568299999993</v>
          </cell>
          <cell r="AE86">
            <v>6.2804929700000001</v>
          </cell>
          <cell r="AF86">
            <v>6.2649526199999999</v>
          </cell>
          <cell r="AG86">
            <v>23.505058809999998</v>
          </cell>
          <cell r="AH86">
            <v>6.1301701199999998</v>
          </cell>
          <cell r="AI86">
            <v>6.1831878800000002</v>
          </cell>
          <cell r="AJ86">
            <v>6.7622006499999996</v>
          </cell>
          <cell r="AK86">
            <v>6.9294522000000001</v>
          </cell>
          <cell r="AL86">
            <v>26.005010850000001</v>
          </cell>
          <cell r="AM86">
            <v>7.1956630866666664</v>
          </cell>
          <cell r="AN86">
            <v>7.1418104000000007</v>
          </cell>
          <cell r="AO86">
            <v>7.6084683333333336</v>
          </cell>
          <cell r="AP86">
            <v>8.5370801000000007</v>
          </cell>
          <cell r="AQ86">
            <v>30.483021920000002</v>
          </cell>
          <cell r="AR86">
            <v>8.5579382351905053</v>
          </cell>
          <cell r="AS86">
            <v>8.3484255748235388</v>
          </cell>
          <cell r="AT86">
            <v>10.232198638112397</v>
          </cell>
          <cell r="AU86">
            <v>10.719315699172348</v>
          </cell>
          <cell r="AV86">
            <v>37.857878147298791</v>
          </cell>
          <cell r="AW86">
            <v>45.398962925988279</v>
          </cell>
          <cell r="AX86">
            <v>56.905774736737726</v>
          </cell>
          <cell r="AY86">
            <v>70.043267277518083</v>
          </cell>
          <cell r="AZ86">
            <v>80.105727572057503</v>
          </cell>
          <cell r="BA86">
            <v>90.25696587555332</v>
          </cell>
          <cell r="BB86">
            <v>100.63234050955101</v>
          </cell>
          <cell r="BC86">
            <v>111.32947615555436</v>
          </cell>
          <cell r="BD86">
            <v>122.58753317786704</v>
          </cell>
          <cell r="BE86">
            <v>134.43065738175125</v>
          </cell>
          <cell r="BF86">
            <v>146.88394009742024</v>
          </cell>
          <cell r="BG86">
            <v>159.97345320489833</v>
          </cell>
          <cell r="BH86">
            <v>173.72628540981549</v>
          </cell>
          <cell r="BI86">
            <v>188.17057981368006</v>
          </cell>
          <cell r="BK86">
            <v>35.995129626527088</v>
          </cell>
          <cell r="BL86">
            <v>1.8627485207717029</v>
          </cell>
        </row>
        <row r="87">
          <cell r="A87" t="str">
            <v xml:space="preserve">  Year-over-Year growth</v>
          </cell>
          <cell r="N87">
            <v>0.10241523915777573</v>
          </cell>
          <cell r="O87">
            <v>0.14647322944567276</v>
          </cell>
          <cell r="P87">
            <v>8.5534229939098871E-2</v>
          </cell>
          <cell r="Q87">
            <v>0.10940791581090381</v>
          </cell>
          <cell r="R87">
            <v>0.11020216488608936</v>
          </cell>
          <cell r="S87">
            <v>9.4265422282934441E-2</v>
          </cell>
          <cell r="T87">
            <v>0.10376757938730985</v>
          </cell>
          <cell r="U87">
            <v>0.1034204275753674</v>
          </cell>
          <cell r="V87">
            <v>0.14366518587460875</v>
          </cell>
          <cell r="W87">
            <v>0.11155340627349108</v>
          </cell>
          <cell r="X87">
            <v>8.1733295932286065E-2</v>
          </cell>
          <cell r="Y87">
            <v>-0.28733393453058909</v>
          </cell>
          <cell r="Z87">
            <v>8.5206068315684558E-2</v>
          </cell>
          <cell r="AA87">
            <v>0.13608035846312849</v>
          </cell>
          <cell r="AB87">
            <v>6.3797742124327428E-3</v>
          </cell>
          <cell r="AC87">
            <v>0.23072817373055732</v>
          </cell>
          <cell r="AD87">
            <v>0.88616365875761893</v>
          </cell>
          <cell r="AE87">
            <v>0.30131764445187503</v>
          </cell>
          <cell r="AF87">
            <v>0.2335157898670801</v>
          </cell>
          <cell r="AG87">
            <v>0.36509614122729772</v>
          </cell>
          <cell r="AH87">
            <v>0.15169090426849308</v>
          </cell>
          <cell r="AI87">
            <v>9.6921221609242325E-2</v>
          </cell>
          <cell r="AJ87">
            <v>7.669902383474847E-2</v>
          </cell>
          <cell r="AK87">
            <v>0.1060661780391885</v>
          </cell>
          <cell r="AL87">
            <v>0.10635804233497281</v>
          </cell>
          <cell r="AM87">
            <v>0.1738113210252421</v>
          </cell>
          <cell r="AN87">
            <v>0.15503693864790025</v>
          </cell>
          <cell r="AO87">
            <v>0.12514678684273206</v>
          </cell>
          <cell r="AP87">
            <v>0.23199927694140099</v>
          </cell>
          <cell r="AQ87">
            <v>0.17219800813888142</v>
          </cell>
          <cell r="AR87">
            <v>0.18931891781427224</v>
          </cell>
          <cell r="AS87">
            <v>0.16895088321352492</v>
          </cell>
          <cell r="AT87">
            <v>0.34484342837891324</v>
          </cell>
          <cell r="AU87">
            <v>0.25561849878535714</v>
          </cell>
          <cell r="AV87">
            <v>0.24193323898967267</v>
          </cell>
          <cell r="AW87">
            <v>0.19919459694355734</v>
          </cell>
          <cell r="AX87">
            <v>0.25345979443425715</v>
          </cell>
          <cell r="AY87">
            <v>0.23086396067109405</v>
          </cell>
          <cell r="AZ87">
            <v>0.14366063557073949</v>
          </cell>
          <cell r="BA87">
            <v>0.12672300235166678</v>
          </cell>
          <cell r="BB87">
            <v>0.11495372720930264</v>
          </cell>
          <cell r="BC87">
            <v>0.10629918366042657</v>
          </cell>
          <cell r="BD87">
            <v>0.10112377612001366</v>
          </cell>
          <cell r="BE87">
            <v>9.6609531955427652E-2</v>
          </cell>
          <cell r="BF87">
            <v>9.2637222477493397E-2</v>
          </cell>
          <cell r="BG87">
            <v>8.9114664944285549E-2</v>
          </cell>
          <cell r="BH87">
            <v>8.5969465116828792E-2</v>
          </cell>
          <cell r="BI87">
            <v>8.3143977722144324E-2</v>
          </cell>
          <cell r="BK87">
            <v>0.18186614915365551</v>
          </cell>
          <cell r="BL87">
            <v>6.0067089836017162E-2</v>
          </cell>
        </row>
        <row r="88">
          <cell r="A88" t="str">
            <v xml:space="preserve">  Abs Growth Differential (bps)</v>
          </cell>
          <cell r="N88">
            <v>-250.40963643351512</v>
          </cell>
          <cell r="O88">
            <v>-209.8487257985071</v>
          </cell>
          <cell r="P88">
            <v>-11.365800342553189</v>
          </cell>
          <cell r="Q88">
            <v>-18.158919163229204</v>
          </cell>
          <cell r="R88">
            <v>-116.85540833883179</v>
          </cell>
          <cell r="S88">
            <v>46.357238056720092</v>
          </cell>
          <cell r="T88">
            <v>70.547319559355344</v>
          </cell>
          <cell r="U88">
            <v>-171.22969683847077</v>
          </cell>
          <cell r="V88">
            <v>-348.4662464546484</v>
          </cell>
          <cell r="W88">
            <v>-102.35803601853499</v>
          </cell>
          <cell r="X88">
            <v>-389.70749895714584</v>
          </cell>
          <cell r="Y88">
            <v>-266.93136321822465</v>
          </cell>
          <cell r="Z88">
            <v>-169.84010653796179</v>
          </cell>
          <cell r="AA88">
            <v>-143.03961442577284</v>
          </cell>
          <cell r="AB88">
            <v>-245.83708850077545</v>
          </cell>
          <cell r="AC88">
            <v>-215.96328946213549</v>
          </cell>
          <cell r="AD88">
            <v>-353.5044132472276</v>
          </cell>
          <cell r="AE88">
            <v>-401.14353830697615</v>
          </cell>
          <cell r="AF88">
            <v>-479.25812388400101</v>
          </cell>
          <cell r="AG88">
            <v>-373.87868531889137</v>
          </cell>
          <cell r="AH88">
            <v>-363.89854969208989</v>
          </cell>
          <cell r="AI88">
            <v>-242.96148607798608</v>
          </cell>
          <cell r="AJ88">
            <v>-121.64012773711707</v>
          </cell>
          <cell r="AK88">
            <v>47.176500155192699</v>
          </cell>
          <cell r="AL88">
            <v>-159.16610693632816</v>
          </cell>
          <cell r="AM88">
            <v>-36.605424746463115</v>
          </cell>
          <cell r="AN88">
            <v>-35.195491481530006</v>
          </cell>
          <cell r="AO88">
            <v>-31.082266262894009</v>
          </cell>
          <cell r="AP88">
            <v>-41.075240759520511</v>
          </cell>
          <cell r="AQ88">
            <v>-34.688268940858968</v>
          </cell>
          <cell r="AR88">
            <v>75.11767000383918</v>
          </cell>
          <cell r="AS88">
            <v>98.530485014329813</v>
          </cell>
          <cell r="AT88">
            <v>356.34532269535947</v>
          </cell>
          <cell r="AU88">
            <v>286.0363181248693</v>
          </cell>
          <cell r="AV88">
            <v>212.28514325229986</v>
          </cell>
          <cell r="AW88">
            <v>405.63853027183683</v>
          </cell>
          <cell r="AX88">
            <v>983.65875040581807</v>
          </cell>
          <cell r="AY88">
            <v>771.01577777019202</v>
          </cell>
          <cell r="AZ88">
            <v>167.88552393510292</v>
          </cell>
          <cell r="BA88">
            <v>156.01987629729086</v>
          </cell>
          <cell r="BB88">
            <v>127.03063268856063</v>
          </cell>
          <cell r="BC88">
            <v>106.61118497566457</v>
          </cell>
          <cell r="BD88">
            <v>93.426009186197149</v>
          </cell>
          <cell r="BE88">
            <v>82.545042688546573</v>
          </cell>
          <cell r="BF88">
            <v>73.460476806253013</v>
          </cell>
          <cell r="BG88">
            <v>65.797203683686249</v>
          </cell>
          <cell r="BH88">
            <v>59.273239178678772</v>
          </cell>
          <cell r="BI88">
            <v>53.673273782133265</v>
          </cell>
          <cell r="BK88">
            <v>42.055012409902837</v>
          </cell>
          <cell r="BL88">
            <v>170.23013084239702</v>
          </cell>
        </row>
        <row r="89">
          <cell r="BL89">
            <v>0</v>
          </cell>
        </row>
        <row r="90">
          <cell r="BL90">
            <v>0</v>
          </cell>
        </row>
        <row r="91">
          <cell r="A91" t="str">
            <v>Casino Gaming Revenue Detail (millions US$)</v>
          </cell>
          <cell r="BL91">
            <v>0</v>
          </cell>
        </row>
        <row r="92">
          <cell r="BL92">
            <v>0</v>
          </cell>
        </row>
        <row r="93">
          <cell r="A93" t="str">
            <v>Total Revenue Summary</v>
          </cell>
          <cell r="BL93">
            <v>0</v>
          </cell>
        </row>
        <row r="94">
          <cell r="A94" t="str">
            <v>Sands Macao</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57.6</v>
          </cell>
          <cell r="AE94">
            <v>162.9117794787893</v>
          </cell>
          <cell r="AF94">
            <v>170.537010938413</v>
          </cell>
          <cell r="AG94">
            <v>391.04879041720227</v>
          </cell>
          <cell r="AH94">
            <v>177.40654000000001</v>
          </cell>
          <cell r="AI94">
            <v>220.51797400000004</v>
          </cell>
          <cell r="AJ94">
            <v>264.364912</v>
          </cell>
          <cell r="AK94">
            <v>299.95060799999999</v>
          </cell>
          <cell r="AL94">
            <v>962.24003400000004</v>
          </cell>
          <cell r="AM94">
            <v>308.92467999999997</v>
          </cell>
          <cell r="AN94">
            <v>341.35691500000001</v>
          </cell>
          <cell r="AO94">
            <v>361.91235999999998</v>
          </cell>
          <cell r="AP94">
            <v>386.23191600000001</v>
          </cell>
          <cell r="AQ94">
            <v>1398.4258709999999</v>
          </cell>
          <cell r="AR94">
            <v>417.53246624884412</v>
          </cell>
          <cell r="AS94">
            <v>340.57094774735958</v>
          </cell>
          <cell r="AT94">
            <v>253.50072429389809</v>
          </cell>
          <cell r="AU94">
            <v>246.90657757885123</v>
          </cell>
          <cell r="AV94">
            <v>1258.510715868953</v>
          </cell>
          <cell r="AW94">
            <v>1013.5918943205954</v>
          </cell>
          <cell r="AX94">
            <v>883.43190800879233</v>
          </cell>
          <cell r="AY94">
            <v>826.11430020996249</v>
          </cell>
          <cell r="AZ94">
            <v>799.13488708614227</v>
          </cell>
          <cell r="BA94">
            <v>872.61400371464583</v>
          </cell>
          <cell r="BK94">
            <v>1050.3547782056712</v>
          </cell>
          <cell r="BL94">
            <v>208.15593766328175</v>
          </cell>
        </row>
        <row r="95">
          <cell r="A95" t="str">
            <v>Venetian Macao</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277.29897953448113</v>
          </cell>
          <cell r="AU95">
            <v>368.42329934912004</v>
          </cell>
          <cell r="AV95">
            <v>645.72227888360112</v>
          </cell>
          <cell r="AW95">
            <v>1480.3037262634375</v>
          </cell>
          <cell r="AX95">
            <v>1524.7537754977643</v>
          </cell>
          <cell r="AY95">
            <v>1357.7602907069081</v>
          </cell>
          <cell r="AZ95">
            <v>1427.6654453876506</v>
          </cell>
          <cell r="BA95">
            <v>1547.0981206849451</v>
          </cell>
          <cell r="BK95">
            <v>765.40373848581066</v>
          </cell>
          <cell r="BL95">
            <v>-119.68145960220954</v>
          </cell>
        </row>
        <row r="96">
          <cell r="A96" t="str">
            <v>LVS Cotai Strip</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528.93890953862979</v>
          </cell>
          <cell r="AX96">
            <v>1273.1936130947747</v>
          </cell>
          <cell r="AY96">
            <v>1747.8663115307552</v>
          </cell>
          <cell r="AZ96">
            <v>1706.3550879819845</v>
          </cell>
          <cell r="BA96">
            <v>1861.5977576673893</v>
          </cell>
          <cell r="BK96">
            <v>0</v>
          </cell>
          <cell r="BL96">
            <v>0</v>
          </cell>
        </row>
        <row r="97">
          <cell r="A97" t="str">
            <v>Wynn Macau</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52.353639999999999</v>
          </cell>
          <cell r="AP97">
            <v>275.58989599999995</v>
          </cell>
          <cell r="AQ97">
            <v>327.94353599999999</v>
          </cell>
          <cell r="AR97">
            <v>319.59176189977671</v>
          </cell>
          <cell r="AS97">
            <v>262.17932771581843</v>
          </cell>
          <cell r="AT97">
            <v>286.31638558717214</v>
          </cell>
          <cell r="AU97">
            <v>300.05951249355434</v>
          </cell>
          <cell r="AV97">
            <v>1168.1469876963215</v>
          </cell>
          <cell r="AW97">
            <v>1141.3819628632441</v>
          </cell>
          <cell r="AX97">
            <v>1219.1638579736386</v>
          </cell>
          <cell r="AY97">
            <v>1049.0623669646052</v>
          </cell>
          <cell r="AZ97">
            <v>1067.3154458461636</v>
          </cell>
          <cell r="BA97">
            <v>1151.6403757862122</v>
          </cell>
          <cell r="BK97">
            <v>800.59869158023923</v>
          </cell>
          <cell r="BL97">
            <v>367.54829611608227</v>
          </cell>
        </row>
        <row r="98">
          <cell r="A98" t="str">
            <v>Wynn Cotai</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634.49290988200744</v>
          </cell>
          <cell r="AZ98">
            <v>652.64443069898198</v>
          </cell>
          <cell r="BA98">
            <v>707.97169585659503</v>
          </cell>
          <cell r="BK98">
            <v>0</v>
          </cell>
          <cell r="BL98">
            <v>0</v>
          </cell>
        </row>
        <row r="99">
          <cell r="A99" t="str">
            <v>Wynn Cotai #2</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634.49290988200744</v>
          </cell>
          <cell r="AZ99">
            <v>652.64443069898198</v>
          </cell>
          <cell r="BA99">
            <v>707.97169585659503</v>
          </cell>
        </row>
        <row r="100">
          <cell r="A100" t="str">
            <v>MGM Macau</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157.57245435087751</v>
          </cell>
          <cell r="AV100">
            <v>157.57245435087751</v>
          </cell>
          <cell r="AW100">
            <v>996.71863968447019</v>
          </cell>
          <cell r="AX100">
            <v>947.84510027468764</v>
          </cell>
          <cell r="AY100">
            <v>965.05125420420973</v>
          </cell>
          <cell r="AZ100">
            <v>937.58221584118883</v>
          </cell>
          <cell r="BA100">
            <v>1005.8665261955875</v>
          </cell>
          <cell r="BK100">
            <v>181.01392313590708</v>
          </cell>
          <cell r="BL100">
            <v>-23.441468785029571</v>
          </cell>
        </row>
        <row r="101">
          <cell r="A101" t="str">
            <v>MGM Cotai #1</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620.92313449949177</v>
          </cell>
          <cell r="BA101">
            <v>672.31976641806648</v>
          </cell>
        </row>
        <row r="102">
          <cell r="A102" t="str">
            <v>Other</v>
          </cell>
          <cell r="C102">
            <v>1932.6084017502599</v>
          </cell>
          <cell r="D102">
            <v>2185.8227182330293</v>
          </cell>
          <cell r="E102">
            <v>2055.1445888483158</v>
          </cell>
          <cell r="F102">
            <v>2224.660161928372</v>
          </cell>
          <cell r="G102">
            <v>1814.9949815199464</v>
          </cell>
          <cell r="H102">
            <v>1621.756107296324</v>
          </cell>
          <cell r="I102">
            <v>525.02414254733333</v>
          </cell>
          <cell r="J102">
            <v>475.49036163673679</v>
          </cell>
          <cell r="K102">
            <v>511.76567318805417</v>
          </cell>
          <cell r="L102">
            <v>474.46814492903269</v>
          </cell>
          <cell r="M102">
            <v>1986.748322301157</v>
          </cell>
          <cell r="N102">
            <v>548.46985485693131</v>
          </cell>
          <cell r="O102">
            <v>560.85132357778127</v>
          </cell>
          <cell r="P102">
            <v>565.63051125219295</v>
          </cell>
          <cell r="Q102">
            <v>580.99063184734734</v>
          </cell>
          <cell r="R102">
            <v>2255.9423215342531</v>
          </cell>
          <cell r="S102">
            <v>609.58509393554687</v>
          </cell>
          <cell r="T102">
            <v>669.27221552802428</v>
          </cell>
          <cell r="U102">
            <v>667.43454308014293</v>
          </cell>
          <cell r="V102">
            <v>748.1803776184322</v>
          </cell>
          <cell r="W102">
            <v>2694.4722301621464</v>
          </cell>
          <cell r="X102">
            <v>835.80358172344654</v>
          </cell>
          <cell r="Y102">
            <v>648.36718437499371</v>
          </cell>
          <cell r="Z102">
            <v>949.70951060080347</v>
          </cell>
          <cell r="AA102">
            <v>1044.1917159822819</v>
          </cell>
          <cell r="AB102">
            <v>3478.0719926815259</v>
          </cell>
          <cell r="AC102">
            <v>1132.7191437639356</v>
          </cell>
          <cell r="AD102">
            <v>1107.5180179880099</v>
          </cell>
          <cell r="AE102">
            <v>1194.8615889438356</v>
          </cell>
          <cell r="AF102">
            <v>1186.4130759018008</v>
          </cell>
          <cell r="AG102">
            <v>4621.5118265975816</v>
          </cell>
          <cell r="AH102">
            <v>1142.444529452991</v>
          </cell>
          <cell r="AI102">
            <v>1193.0071045261996</v>
          </cell>
          <cell r="AJ102">
            <v>1159.5680469758054</v>
          </cell>
          <cell r="AK102">
            <v>1125.792000964409</v>
          </cell>
          <cell r="AL102">
            <v>4620.8116819194056</v>
          </cell>
          <cell r="AM102">
            <v>1236.8402058328211</v>
          </cell>
          <cell r="AN102">
            <v>1242.9465401048328</v>
          </cell>
          <cell r="AO102">
            <v>1277.1670745215915</v>
          </cell>
          <cell r="AP102">
            <v>1389.0957976994534</v>
          </cell>
          <cell r="AQ102">
            <v>5146.0496181586986</v>
          </cell>
          <cell r="AR102">
            <v>1486.0032078307379</v>
          </cell>
          <cell r="AS102">
            <v>1382.0133924725164</v>
          </cell>
          <cell r="AT102">
            <v>1281.8079580721201</v>
          </cell>
          <cell r="AU102">
            <v>1331.5329536481638</v>
          </cell>
          <cell r="AV102">
            <v>5481.3575120235382</v>
          </cell>
          <cell r="AW102">
            <v>4814.5619485240968</v>
          </cell>
          <cell r="AX102">
            <v>5646.899118430244</v>
          </cell>
          <cell r="AY102">
            <v>5722.7357382880155</v>
          </cell>
          <cell r="AZ102">
            <v>6181.5811987649631</v>
          </cell>
          <cell r="BA102">
            <v>6641.0086273301567</v>
          </cell>
          <cell r="BK102">
            <v>5145.4589300178432</v>
          </cell>
          <cell r="BL102">
            <v>335.89858200569506</v>
          </cell>
        </row>
        <row r="103">
          <cell r="B103" t="str">
            <v>______</v>
          </cell>
          <cell r="C103" t="str">
            <v>______</v>
          </cell>
          <cell r="D103" t="str">
            <v>______</v>
          </cell>
          <cell r="E103" t="str">
            <v>______</v>
          </cell>
          <cell r="F103" t="str">
            <v>______</v>
          </cell>
          <cell r="G103" t="str">
            <v>______</v>
          </cell>
          <cell r="H103" t="str">
            <v>______</v>
          </cell>
          <cell r="I103" t="str">
            <v>______</v>
          </cell>
          <cell r="J103" t="str">
            <v>______</v>
          </cell>
          <cell r="K103" t="str">
            <v>______</v>
          </cell>
          <cell r="L103" t="str">
            <v>______</v>
          </cell>
          <cell r="M103" t="str">
            <v>______</v>
          </cell>
          <cell r="N103" t="str">
            <v>______</v>
          </cell>
          <cell r="O103" t="str">
            <v>______</v>
          </cell>
          <cell r="P103" t="str">
            <v>______</v>
          </cell>
          <cell r="Q103" t="str">
            <v>______</v>
          </cell>
          <cell r="R103" t="str">
            <v>______</v>
          </cell>
          <cell r="S103" t="str">
            <v>______</v>
          </cell>
          <cell r="T103" t="str">
            <v>______</v>
          </cell>
          <cell r="U103" t="str">
            <v>______</v>
          </cell>
          <cell r="V103" t="str">
            <v>______</v>
          </cell>
          <cell r="W103" t="str">
            <v>______</v>
          </cell>
          <cell r="X103" t="str">
            <v>______</v>
          </cell>
          <cell r="Y103" t="str">
            <v>______</v>
          </cell>
          <cell r="Z103" t="str">
            <v>______</v>
          </cell>
          <cell r="AA103" t="str">
            <v>______</v>
          </cell>
          <cell r="AB103" t="str">
            <v>______</v>
          </cell>
          <cell r="AC103" t="str">
            <v>______</v>
          </cell>
          <cell r="AD103" t="str">
            <v>______</v>
          </cell>
          <cell r="AE103" t="str">
            <v>______</v>
          </cell>
          <cell r="AF103" t="str">
            <v>______</v>
          </cell>
          <cell r="AG103" t="str">
            <v>______</v>
          </cell>
          <cell r="AH103" t="str">
            <v>______</v>
          </cell>
          <cell r="AI103" t="str">
            <v>______</v>
          </cell>
          <cell r="AJ103" t="str">
            <v>______</v>
          </cell>
          <cell r="AK103" t="str">
            <v>______</v>
          </cell>
          <cell r="AL103" t="str">
            <v>______</v>
          </cell>
          <cell r="AM103" t="str">
            <v>______</v>
          </cell>
          <cell r="AN103" t="str">
            <v>______</v>
          </cell>
          <cell r="AO103" t="str">
            <v>______</v>
          </cell>
          <cell r="AP103" t="str">
            <v>______</v>
          </cell>
          <cell r="AQ103" t="str">
            <v>______</v>
          </cell>
          <cell r="AR103" t="str">
            <v>______</v>
          </cell>
          <cell r="AS103" t="str">
            <v>______</v>
          </cell>
          <cell r="AT103" t="str">
            <v>______</v>
          </cell>
          <cell r="AU103" t="str">
            <v>______</v>
          </cell>
          <cell r="AV103" t="str">
            <v>______</v>
          </cell>
          <cell r="AW103" t="str">
            <v>______</v>
          </cell>
          <cell r="AX103" t="str">
            <v>______</v>
          </cell>
          <cell r="AY103" t="str">
            <v>______</v>
          </cell>
          <cell r="AZ103" t="str">
            <v>______</v>
          </cell>
          <cell r="BA103" t="str">
            <v>______</v>
          </cell>
          <cell r="BK103" t="str">
            <v>______</v>
          </cell>
          <cell r="BL103" t="e">
            <v>#VALUE!</v>
          </cell>
        </row>
        <row r="104">
          <cell r="A104" t="str">
            <v>Total Revenue</v>
          </cell>
          <cell r="C104">
            <v>1932.6084017502599</v>
          </cell>
          <cell r="D104">
            <v>2185.8227182330293</v>
          </cell>
          <cell r="E104">
            <v>2055.1445888483158</v>
          </cell>
          <cell r="F104">
            <v>2224.660161928372</v>
          </cell>
          <cell r="G104">
            <v>1814.9949815199464</v>
          </cell>
          <cell r="H104">
            <v>1621.756107296324</v>
          </cell>
          <cell r="I104">
            <v>525.02414254733333</v>
          </cell>
          <cell r="J104">
            <v>475.49036163673679</v>
          </cell>
          <cell r="K104">
            <v>511.76567318805417</v>
          </cell>
          <cell r="L104">
            <v>474.46814492903269</v>
          </cell>
          <cell r="M104">
            <v>1986.748322301157</v>
          </cell>
          <cell r="N104">
            <v>548.46985485693131</v>
          </cell>
          <cell r="O104">
            <v>560.85132357778127</v>
          </cell>
          <cell r="P104">
            <v>565.63051125219295</v>
          </cell>
          <cell r="Q104">
            <v>580.99063184734734</v>
          </cell>
          <cell r="R104">
            <v>2255.9423215342531</v>
          </cell>
          <cell r="S104">
            <v>609.58509393554687</v>
          </cell>
          <cell r="T104">
            <v>669.27221552802428</v>
          </cell>
          <cell r="U104">
            <v>667.43454308014293</v>
          </cell>
          <cell r="V104">
            <v>748.1803776184322</v>
          </cell>
          <cell r="W104">
            <v>2694.4722301621464</v>
          </cell>
          <cell r="X104">
            <v>835.80358172344654</v>
          </cell>
          <cell r="Y104">
            <v>648.36718437499371</v>
          </cell>
          <cell r="Z104">
            <v>949.70951060080347</v>
          </cell>
          <cell r="AA104">
            <v>1044.1917159822819</v>
          </cell>
          <cell r="AB104">
            <v>3478.0719926815259</v>
          </cell>
          <cell r="AC104">
            <v>1132.7191437639356</v>
          </cell>
          <cell r="AD104">
            <v>1165.1180179880098</v>
          </cell>
          <cell r="AE104">
            <v>1357.773368422625</v>
          </cell>
          <cell r="AF104">
            <v>1356.9500868402138</v>
          </cell>
          <cell r="AG104">
            <v>5012.5606170147839</v>
          </cell>
          <cell r="AH104">
            <v>1319.8510694529909</v>
          </cell>
          <cell r="AI104">
            <v>1413.5250785261996</v>
          </cell>
          <cell r="AJ104">
            <v>1423.9329589758054</v>
          </cell>
          <cell r="AK104">
            <v>1425.7426089644091</v>
          </cell>
          <cell r="AL104">
            <v>5583.051715919406</v>
          </cell>
          <cell r="AM104">
            <v>1545.7648858328212</v>
          </cell>
          <cell r="AN104">
            <v>1584.3034551048329</v>
          </cell>
          <cell r="AO104">
            <v>1691.4330745215916</v>
          </cell>
          <cell r="AP104">
            <v>2050.9176096994534</v>
          </cell>
          <cell r="AQ104">
            <v>6872.4190251586988</v>
          </cell>
          <cell r="AR104">
            <v>2223.1274359793588</v>
          </cell>
          <cell r="AS104">
            <v>1984.7636679356945</v>
          </cell>
          <cell r="AT104">
            <v>2098.9240474876715</v>
          </cell>
          <cell r="AU104">
            <v>2404.494797420567</v>
          </cell>
          <cell r="AV104">
            <v>8711.3099488232911</v>
          </cell>
          <cell r="AW104">
            <v>9975.4970811944731</v>
          </cell>
          <cell r="AX104">
            <v>11495.287373279902</v>
          </cell>
          <cell r="AY104">
            <v>12937.576081668471</v>
          </cell>
          <cell r="AZ104">
            <v>14045.846276805547</v>
          </cell>
          <cell r="BA104">
            <v>15168.088569510193</v>
          </cell>
          <cell r="BK104">
            <v>7942.8300614254713</v>
          </cell>
          <cell r="BL104">
            <v>768.47988739781977</v>
          </cell>
        </row>
        <row r="105">
          <cell r="A105" t="str">
            <v xml:space="preserve">  Year-over-Year growth</v>
          </cell>
          <cell r="D105">
            <v>0.1310220509511637</v>
          </cell>
          <cell r="E105">
            <v>-5.978441357327946E-2</v>
          </cell>
          <cell r="F105">
            <v>8.2483526463240864E-2</v>
          </cell>
          <cell r="G105">
            <v>-0.18414730816832769</v>
          </cell>
          <cell r="H105">
            <v>-0.10646799368106064</v>
          </cell>
          <cell r="I105" t="str">
            <v>N.M.</v>
          </cell>
          <cell r="J105" t="str">
            <v>N.M.</v>
          </cell>
          <cell r="K105" t="str">
            <v>N.M.</v>
          </cell>
          <cell r="L105" t="str">
            <v>N.M.</v>
          </cell>
          <cell r="M105">
            <v>0.22505986773394793</v>
          </cell>
          <cell r="N105">
            <v>4.465644607473318E-2</v>
          </cell>
          <cell r="O105">
            <v>0.17952196054450886</v>
          </cell>
          <cell r="P105">
            <v>0.10525293290694293</v>
          </cell>
          <cell r="Q105">
            <v>0.22450924905453351</v>
          </cell>
          <cell r="R105">
            <v>0.13549476610167788</v>
          </cell>
          <cell r="S105">
            <v>0.11142862007349064</v>
          </cell>
          <cell r="T105">
            <v>0.19331485438708551</v>
          </cell>
          <cell r="U105">
            <v>0.17998327495201094</v>
          </cell>
          <cell r="V105">
            <v>0.28776668091786584</v>
          </cell>
          <cell r="W105">
            <v>0.19438879462558756</v>
          </cell>
          <cell r="X105">
            <v>0.37110239413403101</v>
          </cell>
          <cell r="Y105">
            <v>-3.1235468420779289E-2</v>
          </cell>
          <cell r="Z105">
            <v>0.42292531971448488</v>
          </cell>
          <cell r="AA105">
            <v>0.39564167574949938</v>
          </cell>
          <cell r="AB105">
            <v>0.29081753144370848</v>
          </cell>
          <cell r="AC105">
            <v>0.35524562054190079</v>
          </cell>
          <cell r="AD105">
            <v>0.79700337411608557</v>
          </cell>
          <cell r="AE105">
            <v>0.42967228743836938</v>
          </cell>
          <cell r="AF105">
            <v>0.29952198056246471</v>
          </cell>
          <cell r="AG105">
            <v>0.44118943701053093</v>
          </cell>
          <cell r="AH105">
            <v>0.16520593539827622</v>
          </cell>
          <cell r="AI105">
            <v>0.21320334653063977</v>
          </cell>
          <cell r="AJ105">
            <v>4.8726534259572629E-2</v>
          </cell>
          <cell r="AK105">
            <v>5.069642781363104E-2</v>
          </cell>
          <cell r="AL105">
            <v>0.11381230921539975</v>
          </cell>
          <cell r="AM105">
            <v>0.17116614261142327</v>
          </cell>
          <cell r="AN105">
            <v>0.1208173658699383</v>
          </cell>
          <cell r="AO105">
            <v>0.1878600490701412</v>
          </cell>
          <cell r="AP105">
            <v>0.43849078845244116</v>
          </cell>
          <cell r="AQ105">
            <v>0.23094310689668451</v>
          </cell>
          <cell r="AR105">
            <v>0.43820541943646929</v>
          </cell>
          <cell r="AS105">
            <v>0.25276736697160285</v>
          </cell>
          <cell r="AT105">
            <v>0.24091462979186185</v>
          </cell>
          <cell r="AU105">
            <v>0.17239950841951557</v>
          </cell>
          <cell r="AV105">
            <v>0.26757549516883961</v>
          </cell>
          <cell r="AW105">
            <v>0.14512021036996225</v>
          </cell>
          <cell r="AX105">
            <v>0.15235233690263872</v>
          </cell>
          <cell r="AY105">
            <v>0.12546782534041578</v>
          </cell>
          <cell r="AZ105">
            <v>8.5662892967053317E-2</v>
          </cell>
          <cell r="BA105">
            <v>7.9898517368643729E-2</v>
          </cell>
          <cell r="BK105">
            <v>0.21000660614596334</v>
          </cell>
          <cell r="BL105">
            <v>5.7568889022876268E-2</v>
          </cell>
        </row>
        <row r="106">
          <cell r="BL106">
            <v>0</v>
          </cell>
        </row>
        <row r="107">
          <cell r="A107" t="str">
            <v>Total Market Share</v>
          </cell>
          <cell r="BL107">
            <v>0</v>
          </cell>
        </row>
        <row r="108">
          <cell r="A108" t="str">
            <v>Sands Macao</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0.119984515286266</v>
          </cell>
          <cell r="AF108">
            <v>0.12567670144413676</v>
          </cell>
          <cell r="AG108">
            <v>7.8013777846359544E-2</v>
          </cell>
          <cell r="AH108">
            <v>0.13441405936317172</v>
          </cell>
          <cell r="AI108">
            <v>0.15600570329457564</v>
          </cell>
          <cell r="AJ108">
            <v>0.18565825752790369</v>
          </cell>
          <cell r="AK108">
            <v>0.21038201854531771</v>
          </cell>
          <cell r="AL108">
            <v>0.17235019178781519</v>
          </cell>
          <cell r="AM108">
            <v>0.19985230796180156</v>
          </cell>
          <cell r="AN108">
            <v>0.21546182576330525</v>
          </cell>
          <cell r="AO108">
            <v>0.21396788643403111</v>
          </cell>
          <cell r="AP108">
            <v>0.18832151724349347</v>
          </cell>
          <cell r="AQ108">
            <v>0.20348379018808552</v>
          </cell>
          <cell r="AR108">
            <v>0.18781310485914979</v>
          </cell>
          <cell r="AS108">
            <v>0.17159269551804085</v>
          </cell>
          <cell r="AT108">
            <v>0.12077651146897304</v>
          </cell>
          <cell r="AU108">
            <v>0.10268542807566954</v>
          </cell>
          <cell r="AV108">
            <v>0.1444685957981498</v>
          </cell>
          <cell r="AW108">
            <v>0.10160815907924933</v>
          </cell>
          <cell r="AX108">
            <v>7.6851659234050657E-2</v>
          </cell>
          <cell r="AY108">
            <v>6.3853869920850292E-2</v>
          </cell>
          <cell r="AZ108">
            <v>5.6894748193690885E-2</v>
          </cell>
          <cell r="BA108">
            <v>5.7529595750694128E-2</v>
          </cell>
          <cell r="BK108">
            <v>0.13223936179961124</v>
          </cell>
          <cell r="BL108">
            <v>1.2229233998538563E-2</v>
          </cell>
        </row>
        <row r="109">
          <cell r="A109" t="str">
            <v>Venetian Macao</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0.13211482324307874</v>
          </cell>
          <cell r="AU109">
            <v>0.15322274755776052</v>
          </cell>
          <cell r="AV109">
            <v>7.4124590064761062E-2</v>
          </cell>
          <cell r="AW109">
            <v>0.14839398119358529</v>
          </cell>
          <cell r="AX109">
            <v>0.13264164052496522</v>
          </cell>
          <cell r="AY109">
            <v>0.10494703815738311</v>
          </cell>
          <cell r="AZ109">
            <v>0.10164324863395452</v>
          </cell>
          <cell r="BA109">
            <v>0.10199690709842051</v>
          </cell>
          <cell r="BK109">
            <v>9.6364108581777519E-2</v>
          </cell>
          <cell r="BL109">
            <v>-2.2239518517016457E-2</v>
          </cell>
        </row>
        <row r="110">
          <cell r="A110" t="str">
            <v>LVS Cotai Strip</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5.3023814776686225E-2</v>
          </cell>
          <cell r="AX110">
            <v>0.11075787596700158</v>
          </cell>
          <cell r="AY110">
            <v>0.13509998321921712</v>
          </cell>
          <cell r="AZ110">
            <v>0.12148467627755226</v>
          </cell>
          <cell r="BA110">
            <v>0.12273120302115323</v>
          </cell>
          <cell r="BK110">
            <v>0</v>
          </cell>
          <cell r="BL110">
            <v>0</v>
          </cell>
        </row>
        <row r="111">
          <cell r="A111" t="str">
            <v>Wynn Macau</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3.0952238541751238E-2</v>
          </cell>
          <cell r="AP111">
            <v>0.13437394788393553</v>
          </cell>
          <cell r="AQ111">
            <v>4.7718792291252511E-2</v>
          </cell>
          <cell r="AR111">
            <v>0.14375773368969572</v>
          </cell>
          <cell r="AS111">
            <v>0.13209599306526248</v>
          </cell>
          <cell r="AT111">
            <v>0.13641102732129895</v>
          </cell>
          <cell r="AU111">
            <v>0.12479108410442168</v>
          </cell>
          <cell r="AV111">
            <v>0.13409544541049337</v>
          </cell>
          <cell r="AW111">
            <v>0.11441855514297582</v>
          </cell>
          <cell r="AX111">
            <v>0.10605771029330777</v>
          </cell>
          <cell r="AY111">
            <v>8.108646939290616E-2</v>
          </cell>
          <cell r="AZ111">
            <v>7.5987977143724197E-2</v>
          </cell>
          <cell r="BA111">
            <v>7.592521434118979E-2</v>
          </cell>
          <cell r="BK111">
            <v>0.10079514296401283</v>
          </cell>
          <cell r="BL111">
            <v>3.3300302446480537E-2</v>
          </cell>
        </row>
        <row r="112">
          <cell r="A112" t="str">
            <v>Wynn Cotai</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4.9042641826936503E-2</v>
          </cell>
          <cell r="AZ112">
            <v>4.6465297842303681E-2</v>
          </cell>
          <cell r="BA112">
            <v>4.667507659994214E-2</v>
          </cell>
          <cell r="BK112">
            <v>0</v>
          </cell>
          <cell r="BL112">
            <v>0</v>
          </cell>
        </row>
        <row r="113">
          <cell r="A113" t="str">
            <v>Wynn Cotai #2</v>
          </cell>
          <cell r="C113">
            <v>0</v>
          </cell>
          <cell r="D113">
            <v>0</v>
          </cell>
          <cell r="E113">
            <v>0</v>
          </cell>
          <cell r="F113">
            <v>0</v>
          </cell>
          <cell r="G113">
            <v>0</v>
          </cell>
          <cell r="H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4.9042641826936503E-2</v>
          </cell>
          <cell r="AZ113">
            <v>4.6465297842303681E-2</v>
          </cell>
          <cell r="BA113">
            <v>4.667507659994214E-2</v>
          </cell>
        </row>
        <row r="114">
          <cell r="A114" t="str">
            <v>MGM Macau</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6.5532458011518302E-2</v>
          </cell>
          <cell r="AV114">
            <v>1.808826172832504E-2</v>
          </cell>
          <cell r="AW114">
            <v>9.9916689020285138E-2</v>
          </cell>
          <cell r="AX114">
            <v>8.2455102643009703E-2</v>
          </cell>
          <cell r="AY114">
            <v>7.4592894999211762E-2</v>
          </cell>
          <cell r="AZ114">
            <v>6.6751564652210021E-2</v>
          </cell>
          <cell r="BA114">
            <v>6.6314652738612589E-2</v>
          </cell>
          <cell r="BK114">
            <v>2.2789600398855966E-2</v>
          </cell>
          <cell r="BL114">
            <v>-4.7013386705309253E-3</v>
          </cell>
        </row>
        <row r="115">
          <cell r="A115" t="str">
            <v>MGM Cotai #1</v>
          </cell>
          <cell r="C115">
            <v>0</v>
          </cell>
          <cell r="D115">
            <v>0</v>
          </cell>
          <cell r="E115">
            <v>0</v>
          </cell>
          <cell r="F115">
            <v>0</v>
          </cell>
          <cell r="G115">
            <v>0</v>
          </cell>
          <cell r="H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4.4206886666903533E-2</v>
          </cell>
          <cell r="BA115">
            <v>4.4324620293259336E-2</v>
          </cell>
        </row>
        <row r="116">
          <cell r="A116" t="str">
            <v>Other</v>
          </cell>
          <cell r="C116">
            <v>1</v>
          </cell>
          <cell r="D116">
            <v>1</v>
          </cell>
          <cell r="E116">
            <v>1</v>
          </cell>
          <cell r="F116">
            <v>1</v>
          </cell>
          <cell r="G116">
            <v>1</v>
          </cell>
          <cell r="H116">
            <v>1</v>
          </cell>
          <cell r="I116">
            <v>1</v>
          </cell>
          <cell r="J116">
            <v>1</v>
          </cell>
          <cell r="K116">
            <v>1</v>
          </cell>
          <cell r="L116">
            <v>1</v>
          </cell>
          <cell r="M116">
            <v>1</v>
          </cell>
          <cell r="N116">
            <v>1</v>
          </cell>
          <cell r="O116">
            <v>1</v>
          </cell>
          <cell r="P116">
            <v>1</v>
          </cell>
          <cell r="Q116">
            <v>1</v>
          </cell>
          <cell r="R116">
            <v>1</v>
          </cell>
          <cell r="S116">
            <v>1</v>
          </cell>
          <cell r="T116">
            <v>1</v>
          </cell>
          <cell r="U116">
            <v>1</v>
          </cell>
          <cell r="V116">
            <v>1</v>
          </cell>
          <cell r="W116">
            <v>1</v>
          </cell>
          <cell r="X116">
            <v>1</v>
          </cell>
          <cell r="Y116">
            <v>1</v>
          </cell>
          <cell r="Z116">
            <v>1</v>
          </cell>
          <cell r="AA116">
            <v>1</v>
          </cell>
          <cell r="AB116">
            <v>1</v>
          </cell>
          <cell r="AC116">
            <v>1</v>
          </cell>
          <cell r="AD116">
            <v>0.95056294803554164</v>
          </cell>
          <cell r="AE116">
            <v>0.88001548471373414</v>
          </cell>
          <cell r="AF116">
            <v>0.87432329855586322</v>
          </cell>
          <cell r="AG116">
            <v>0.92198622215364046</v>
          </cell>
          <cell r="AH116">
            <v>0.86558594063682837</v>
          </cell>
          <cell r="AI116">
            <v>0.84399429670542436</v>
          </cell>
          <cell r="AJ116">
            <v>0.81434174247209634</v>
          </cell>
          <cell r="AK116">
            <v>0.78961798145468221</v>
          </cell>
          <cell r="AL116">
            <v>0.82764980821218503</v>
          </cell>
          <cell r="AM116">
            <v>0.80014769203819847</v>
          </cell>
          <cell r="AN116">
            <v>0.7845381742366947</v>
          </cell>
          <cell r="AO116">
            <v>0.75507987502421758</v>
          </cell>
          <cell r="AP116">
            <v>0.67730453487257103</v>
          </cell>
          <cell r="AQ116">
            <v>0.74879741752066198</v>
          </cell>
          <cell r="AR116">
            <v>0.6684291614511545</v>
          </cell>
          <cell r="AS116">
            <v>0.69631131141669667</v>
          </cell>
          <cell r="AT116">
            <v>0.61069763796664922</v>
          </cell>
          <cell r="AU116">
            <v>0.55376828225062991</v>
          </cell>
          <cell r="AV116">
            <v>0.62922310699827078</v>
          </cell>
          <cell r="AW116">
            <v>0.48263880078721827</v>
          </cell>
          <cell r="AX116">
            <v>0.49123601133766509</v>
          </cell>
          <cell r="AY116">
            <v>0.44233446065655857</v>
          </cell>
          <cell r="AZ116">
            <v>0.44010030274735734</v>
          </cell>
          <cell r="BA116">
            <v>0.43782765355678616</v>
          </cell>
          <cell r="BK116">
            <v>0.64781178625574243</v>
          </cell>
          <cell r="BL116">
            <v>-1.8588679257471652E-2</v>
          </cell>
        </row>
        <row r="117">
          <cell r="B117" t="str">
            <v>______</v>
          </cell>
          <cell r="C117" t="str">
            <v>______</v>
          </cell>
          <cell r="D117" t="str">
            <v>______</v>
          </cell>
          <cell r="E117" t="str">
            <v>______</v>
          </cell>
          <cell r="F117" t="str">
            <v>______</v>
          </cell>
          <cell r="G117" t="str">
            <v>______</v>
          </cell>
          <cell r="H117" t="str">
            <v>______</v>
          </cell>
          <cell r="I117" t="str">
            <v>______</v>
          </cell>
          <cell r="J117" t="str">
            <v>______</v>
          </cell>
          <cell r="K117" t="str">
            <v>______</v>
          </cell>
          <cell r="L117" t="str">
            <v>______</v>
          </cell>
          <cell r="M117" t="str">
            <v>______</v>
          </cell>
          <cell r="N117" t="str">
            <v>______</v>
          </cell>
          <cell r="O117" t="str">
            <v>______</v>
          </cell>
          <cell r="P117" t="str">
            <v>______</v>
          </cell>
          <cell r="Q117" t="str">
            <v>______</v>
          </cell>
          <cell r="R117" t="str">
            <v>______</v>
          </cell>
          <cell r="S117" t="str">
            <v>______</v>
          </cell>
          <cell r="T117" t="str">
            <v>______</v>
          </cell>
          <cell r="U117" t="str">
            <v>______</v>
          </cell>
          <cell r="V117" t="str">
            <v>______</v>
          </cell>
          <cell r="W117" t="str">
            <v>______</v>
          </cell>
          <cell r="X117" t="str">
            <v>______</v>
          </cell>
          <cell r="Y117" t="str">
            <v>______</v>
          </cell>
          <cell r="Z117" t="str">
            <v>______</v>
          </cell>
          <cell r="AA117" t="str">
            <v>______</v>
          </cell>
          <cell r="AB117" t="str">
            <v>______</v>
          </cell>
          <cell r="AC117" t="str">
            <v>______</v>
          </cell>
          <cell r="AD117" t="str">
            <v>______</v>
          </cell>
          <cell r="AE117" t="str">
            <v>______</v>
          </cell>
          <cell r="AF117" t="str">
            <v>______</v>
          </cell>
          <cell r="AG117" t="str">
            <v>______</v>
          </cell>
          <cell r="AH117" t="str">
            <v>______</v>
          </cell>
          <cell r="AI117" t="str">
            <v>______</v>
          </cell>
          <cell r="AJ117" t="str">
            <v>______</v>
          </cell>
          <cell r="AK117" t="str">
            <v>______</v>
          </cell>
          <cell r="AL117" t="str">
            <v>______</v>
          </cell>
          <cell r="AM117" t="str">
            <v>______</v>
          </cell>
          <cell r="AN117" t="str">
            <v>______</v>
          </cell>
          <cell r="AO117" t="str">
            <v>______</v>
          </cell>
          <cell r="AP117" t="str">
            <v>______</v>
          </cell>
          <cell r="AQ117" t="str">
            <v>______</v>
          </cell>
          <cell r="AR117" t="str">
            <v>______</v>
          </cell>
          <cell r="AS117" t="str">
            <v>______</v>
          </cell>
          <cell r="AT117" t="str">
            <v>______</v>
          </cell>
          <cell r="AU117" t="str">
            <v>______</v>
          </cell>
          <cell r="AV117" t="str">
            <v>______</v>
          </cell>
          <cell r="AW117" t="str">
            <v>______</v>
          </cell>
          <cell r="AX117" t="str">
            <v>______</v>
          </cell>
          <cell r="AY117" t="str">
            <v>______</v>
          </cell>
          <cell r="AZ117" t="str">
            <v>______</v>
          </cell>
          <cell r="BA117" t="str">
            <v>______</v>
          </cell>
          <cell r="BK117" t="str">
            <v>______</v>
          </cell>
          <cell r="BL117" t="e">
            <v>#VALUE!</v>
          </cell>
        </row>
        <row r="118">
          <cell r="A118" t="str">
            <v>Total</v>
          </cell>
          <cell r="C118">
            <v>1</v>
          </cell>
          <cell r="D118">
            <v>1</v>
          </cell>
          <cell r="E118">
            <v>1</v>
          </cell>
          <cell r="F118">
            <v>1</v>
          </cell>
          <cell r="G118">
            <v>1</v>
          </cell>
          <cell r="H118">
            <v>1</v>
          </cell>
          <cell r="I118">
            <v>1</v>
          </cell>
          <cell r="J118">
            <v>1</v>
          </cell>
          <cell r="K118">
            <v>1</v>
          </cell>
          <cell r="L118">
            <v>1</v>
          </cell>
          <cell r="M118">
            <v>1</v>
          </cell>
          <cell r="N118">
            <v>1</v>
          </cell>
          <cell r="O118">
            <v>1</v>
          </cell>
          <cell r="P118">
            <v>1</v>
          </cell>
          <cell r="Q118">
            <v>1</v>
          </cell>
          <cell r="R118">
            <v>1</v>
          </cell>
          <cell r="S118">
            <v>1</v>
          </cell>
          <cell r="T118">
            <v>1</v>
          </cell>
          <cell r="U118">
            <v>1</v>
          </cell>
          <cell r="V118">
            <v>1</v>
          </cell>
          <cell r="W118">
            <v>1</v>
          </cell>
          <cell r="X118">
            <v>1</v>
          </cell>
          <cell r="Y118">
            <v>1</v>
          </cell>
          <cell r="Z118">
            <v>1</v>
          </cell>
          <cell r="AA118">
            <v>1</v>
          </cell>
          <cell r="AB118">
            <v>1</v>
          </cell>
          <cell r="AC118">
            <v>1</v>
          </cell>
          <cell r="AD118">
            <v>0.95056294803554164</v>
          </cell>
          <cell r="AE118">
            <v>1.0000000000000002</v>
          </cell>
          <cell r="AF118">
            <v>1</v>
          </cell>
          <cell r="AG118">
            <v>1</v>
          </cell>
          <cell r="AH118">
            <v>1</v>
          </cell>
          <cell r="AI118">
            <v>1</v>
          </cell>
          <cell r="AJ118">
            <v>1</v>
          </cell>
          <cell r="AK118">
            <v>0.99999999999999989</v>
          </cell>
          <cell r="AL118">
            <v>1.0000000000000002</v>
          </cell>
          <cell r="AM118">
            <v>1</v>
          </cell>
          <cell r="AN118">
            <v>1</v>
          </cell>
          <cell r="AO118">
            <v>1</v>
          </cell>
          <cell r="AP118">
            <v>1</v>
          </cell>
          <cell r="AQ118">
            <v>1</v>
          </cell>
          <cell r="AR118">
            <v>1</v>
          </cell>
          <cell r="AS118">
            <v>1</v>
          </cell>
          <cell r="AT118">
            <v>1</v>
          </cell>
          <cell r="AU118">
            <v>1</v>
          </cell>
          <cell r="AV118">
            <v>1</v>
          </cell>
          <cell r="AW118">
            <v>1</v>
          </cell>
          <cell r="AX118">
            <v>1</v>
          </cell>
          <cell r="AY118">
            <v>1</v>
          </cell>
          <cell r="AZ118">
            <v>1</v>
          </cell>
          <cell r="BA118">
            <v>1</v>
          </cell>
          <cell r="BK118">
            <v>1</v>
          </cell>
          <cell r="BL118">
            <v>0</v>
          </cell>
        </row>
        <row r="119">
          <cell r="BL119">
            <v>0</v>
          </cell>
        </row>
        <row r="120">
          <cell r="A120" t="str">
            <v>VIP Casino Revenue</v>
          </cell>
          <cell r="BL120">
            <v>0</v>
          </cell>
        </row>
        <row r="121">
          <cell r="A121" t="str">
            <v>Sands Macao</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1.4575</v>
          </cell>
          <cell r="AF121">
            <v>11.1035</v>
          </cell>
          <cell r="AG121">
            <v>12.561</v>
          </cell>
          <cell r="AH121">
            <v>17.969700000000003</v>
          </cell>
          <cell r="AI121">
            <v>51.817999999999998</v>
          </cell>
          <cell r="AJ121">
            <v>76.751999999999995</v>
          </cell>
          <cell r="AK121">
            <v>94.463999999999999</v>
          </cell>
          <cell r="AL121">
            <v>241.00369999999998</v>
          </cell>
          <cell r="AM121">
            <v>92.5</v>
          </cell>
          <cell r="AN121">
            <v>127.8</v>
          </cell>
          <cell r="AO121">
            <v>147.41999999999999</v>
          </cell>
          <cell r="AP121">
            <v>175.15</v>
          </cell>
          <cell r="AQ121">
            <v>542.87</v>
          </cell>
          <cell r="AR121">
            <v>188.37641355245393</v>
          </cell>
          <cell r="AS121">
            <v>151.48683818937158</v>
          </cell>
          <cell r="AT121">
            <v>88.927821075617828</v>
          </cell>
          <cell r="AU121">
            <v>105.56988658651376</v>
          </cell>
          <cell r="AV121">
            <v>534.36095940395705</v>
          </cell>
          <cell r="AW121">
            <v>359.30724355831563</v>
          </cell>
          <cell r="AX121">
            <v>317.38806514317889</v>
          </cell>
          <cell r="AY121">
            <v>264.06687019912482</v>
          </cell>
          <cell r="AZ121">
            <v>271.98887630509859</v>
          </cell>
          <cell r="BA121">
            <v>280.14854259425152</v>
          </cell>
          <cell r="BK121">
            <v>280.63532829475901</v>
          </cell>
          <cell r="BL121">
            <v>253.72563110919805</v>
          </cell>
        </row>
        <row r="122">
          <cell r="A122" t="str">
            <v>Venetian Macao</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127.03974439373974</v>
          </cell>
          <cell r="AU122">
            <v>211.13977317302752</v>
          </cell>
          <cell r="AV122">
            <v>338.17951756676723</v>
          </cell>
          <cell r="AW122">
            <v>778.4990277096839</v>
          </cell>
          <cell r="AX122">
            <v>888.68658240090087</v>
          </cell>
          <cell r="AY122">
            <v>726.18389304759341</v>
          </cell>
          <cell r="AZ122">
            <v>611.9749716864718</v>
          </cell>
          <cell r="BA122">
            <v>630.33422083706591</v>
          </cell>
          <cell r="BK122">
            <v>320.72608947972452</v>
          </cell>
          <cell r="BL122">
            <v>17.45342808704271</v>
          </cell>
        </row>
        <row r="123">
          <cell r="A123" t="str">
            <v>Cotai Site 2 - Four Seasons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119.76908118610521</v>
          </cell>
          <cell r="AX123">
            <v>126.95522605727155</v>
          </cell>
          <cell r="AY123">
            <v>132.03343509956241</v>
          </cell>
          <cell r="AZ123">
            <v>135.99443815254929</v>
          </cell>
          <cell r="BA123">
            <v>140.07427129712576</v>
          </cell>
          <cell r="BK123">
            <v>0</v>
          </cell>
          <cell r="BL123">
            <v>0</v>
          </cell>
        </row>
        <row r="124">
          <cell r="A124" t="str">
            <v>Cotai Site 3 - Far East</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25.391045211454308</v>
          </cell>
          <cell r="AY124">
            <v>52.813374039824964</v>
          </cell>
          <cell r="AZ124">
            <v>54.397775261019717</v>
          </cell>
          <cell r="BA124">
            <v>56.029708518850306</v>
          </cell>
          <cell r="BK124">
            <v>0</v>
          </cell>
          <cell r="BL124">
            <v>0</v>
          </cell>
        </row>
        <row r="125">
          <cell r="A125" t="str">
            <v>Cotai Site 5 - Shangri-La/St.Regis/Traders</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29.942270296526303</v>
          </cell>
          <cell r="AX125">
            <v>95.216419542953645</v>
          </cell>
          <cell r="AY125">
            <v>99.025076324671801</v>
          </cell>
          <cell r="AZ125">
            <v>101.99582861441196</v>
          </cell>
          <cell r="BA125">
            <v>105.05570347284431</v>
          </cell>
          <cell r="BK125">
            <v>0</v>
          </cell>
          <cell r="BL125">
            <v>0</v>
          </cell>
        </row>
        <row r="126">
          <cell r="A126" t="str">
            <v>Cotai Site 6 - Starwood</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29.942270296526303</v>
          </cell>
          <cell r="AX126">
            <v>95.216419542953645</v>
          </cell>
          <cell r="AY126">
            <v>99.025076324671801</v>
          </cell>
          <cell r="AZ126">
            <v>101.99582861441196</v>
          </cell>
          <cell r="BA126">
            <v>105.05570347284431</v>
          </cell>
          <cell r="BK126">
            <v>0</v>
          </cell>
          <cell r="BL126">
            <v>0</v>
          </cell>
        </row>
        <row r="127">
          <cell r="A127" t="str">
            <v>Cotai Site 7 - Hilton</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31.738806514317886</v>
          </cell>
          <cell r="AY127">
            <v>99.025076324671801</v>
          </cell>
          <cell r="AZ127">
            <v>101.99582861441196</v>
          </cell>
          <cell r="BA127">
            <v>105.05570347284431</v>
          </cell>
          <cell r="BK127">
            <v>0</v>
          </cell>
          <cell r="BL127">
            <v>0</v>
          </cell>
        </row>
        <row r="128">
          <cell r="A128" t="str">
            <v>Cotai Site 8 - FHR/Raffles</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31.738806514317886</v>
          </cell>
          <cell r="AY128">
            <v>99.025076324671801</v>
          </cell>
          <cell r="AZ128">
            <v>101.99582861441196</v>
          </cell>
          <cell r="BA128">
            <v>105.05570347284431</v>
          </cell>
          <cell r="BK128">
            <v>0</v>
          </cell>
          <cell r="BL128">
            <v>0</v>
          </cell>
        </row>
        <row r="129">
          <cell r="A129" t="str">
            <v>Wynn Macau</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27.75</v>
          </cell>
          <cell r="AP129">
            <v>171.6</v>
          </cell>
          <cell r="AQ129">
            <v>199.35</v>
          </cell>
          <cell r="AR129">
            <v>188.37641355245393</v>
          </cell>
          <cell r="AS129">
            <v>151.48683818937158</v>
          </cell>
          <cell r="AT129">
            <v>139.74371883311372</v>
          </cell>
          <cell r="AU129">
            <v>158.35482987977062</v>
          </cell>
          <cell r="AV129">
            <v>637.96180045470976</v>
          </cell>
          <cell r="AW129">
            <v>569.2296633049815</v>
          </cell>
          <cell r="AX129">
            <v>666.86105613191614</v>
          </cell>
          <cell r="AY129">
            <v>495.48534572784922</v>
          </cell>
          <cell r="AZ129">
            <v>510.34990609968474</v>
          </cell>
          <cell r="BA129">
            <v>525.66040328267525</v>
          </cell>
          <cell r="BK129">
            <v>200.45380592482786</v>
          </cell>
          <cell r="BL129">
            <v>437.5079945298819</v>
          </cell>
        </row>
        <row r="130">
          <cell r="A130" t="str">
            <v>Wynn Cotai</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264.06687019912482</v>
          </cell>
          <cell r="AZ130">
            <v>271.98887630509859</v>
          </cell>
          <cell r="BA130">
            <v>280.14854259425152</v>
          </cell>
          <cell r="BK130">
            <v>0</v>
          </cell>
          <cell r="BL130">
            <v>0</v>
          </cell>
        </row>
        <row r="131">
          <cell r="A131" t="str">
            <v>Wynn Cotai #2</v>
          </cell>
          <cell r="C131">
            <v>0</v>
          </cell>
          <cell r="D131">
            <v>0</v>
          </cell>
          <cell r="E131">
            <v>0</v>
          </cell>
          <cell r="F131">
            <v>0</v>
          </cell>
          <cell r="G131">
            <v>0</v>
          </cell>
          <cell r="H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264.06687019912482</v>
          </cell>
          <cell r="AZ131">
            <v>271.98887630509859</v>
          </cell>
          <cell r="BA131">
            <v>280.14854259425152</v>
          </cell>
        </row>
        <row r="132">
          <cell r="A132" t="str">
            <v>MGM Macau</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75.407061847509823</v>
          </cell>
          <cell r="AV132">
            <v>75.407061847509823</v>
          </cell>
          <cell r="AW132">
            <v>538.96086533747348</v>
          </cell>
          <cell r="AX132">
            <v>507.82090422908618</v>
          </cell>
          <cell r="AY132">
            <v>528.13374039824964</v>
          </cell>
          <cell r="AZ132">
            <v>509.9791430720598</v>
          </cell>
          <cell r="BA132">
            <v>525.27851736422156</v>
          </cell>
          <cell r="BK132">
            <v>40.090761184965565</v>
          </cell>
          <cell r="BL132">
            <v>35.316300662544258</v>
          </cell>
        </row>
        <row r="133">
          <cell r="A133" t="str">
            <v>MGM Cotai</v>
          </cell>
          <cell r="C133">
            <v>0</v>
          </cell>
          <cell r="D133">
            <v>0</v>
          </cell>
          <cell r="E133">
            <v>0</v>
          </cell>
          <cell r="F133">
            <v>0</v>
          </cell>
          <cell r="G133">
            <v>0</v>
          </cell>
          <cell r="H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271.98887630509859</v>
          </cell>
          <cell r="BA133">
            <v>280.14854259425152</v>
          </cell>
        </row>
        <row r="134">
          <cell r="A134" t="str">
            <v>Other</v>
          </cell>
          <cell r="C134">
            <v>1158.4249182304775</v>
          </cell>
          <cell r="D134">
            <v>1373.1958703116916</v>
          </cell>
          <cell r="E134">
            <v>1311.6412933882118</v>
          </cell>
          <cell r="F134">
            <v>1543.9553513896376</v>
          </cell>
          <cell r="G134">
            <v>1152.1755032529654</v>
          </cell>
          <cell r="H134">
            <v>1070.2080149186154</v>
          </cell>
          <cell r="I134">
            <v>356.7836313191666</v>
          </cell>
          <cell r="J134">
            <v>323.12262262629986</v>
          </cell>
          <cell r="K134">
            <v>347.77375070532207</v>
          </cell>
          <cell r="L134">
            <v>322.42796849630065</v>
          </cell>
          <cell r="M134">
            <v>1350.1079731470891</v>
          </cell>
          <cell r="N134">
            <v>386.33383027944319</v>
          </cell>
          <cell r="O134">
            <v>395.05514867652977</v>
          </cell>
          <cell r="P134">
            <v>398.421535841712</v>
          </cell>
          <cell r="Q134">
            <v>409.2409713503929</v>
          </cell>
          <cell r="R134">
            <v>1589.0514861480779</v>
          </cell>
          <cell r="S134">
            <v>448.8076265927283</v>
          </cell>
          <cell r="T134">
            <v>492.75232872959464</v>
          </cell>
          <cell r="U134">
            <v>491.39934057749974</v>
          </cell>
          <cell r="V134">
            <v>550.84854088916359</v>
          </cell>
          <cell r="W134">
            <v>1983.8078367889864</v>
          </cell>
          <cell r="X134">
            <v>646.14830969658385</v>
          </cell>
          <cell r="Y134">
            <v>501.2437962789877</v>
          </cell>
          <cell r="Z134">
            <v>734.20742432344173</v>
          </cell>
          <cell r="AA134">
            <v>807.25032416093984</v>
          </cell>
          <cell r="AB134">
            <v>2688.8498544599533</v>
          </cell>
          <cell r="AC134">
            <v>851.76682704702944</v>
          </cell>
          <cell r="AD134">
            <v>827.74883397630197</v>
          </cell>
          <cell r="AE134">
            <v>952.83954649257635</v>
          </cell>
          <cell r="AF134">
            <v>962.08747327333651</v>
          </cell>
          <cell r="AG134">
            <v>3594.4426807892442</v>
          </cell>
          <cell r="AH134">
            <v>853.41058739791868</v>
          </cell>
          <cell r="AI134">
            <v>874.69573647604284</v>
          </cell>
          <cell r="AJ134">
            <v>796.91550231017868</v>
          </cell>
          <cell r="AK134">
            <v>731.81010821960808</v>
          </cell>
          <cell r="AL134">
            <v>3256.8319344037482</v>
          </cell>
          <cell r="AM134">
            <v>880.77110396866146</v>
          </cell>
          <cell r="AN134">
            <v>885.48988755432492</v>
          </cell>
          <cell r="AO134">
            <v>929.52342951078037</v>
          </cell>
          <cell r="AP134">
            <v>1024.2874881365419</v>
          </cell>
          <cell r="AQ134">
            <v>3720.0719091703086</v>
          </cell>
          <cell r="AR134">
            <v>1072.2965079139685</v>
          </cell>
          <cell r="AS134">
            <v>1014.3031774418791</v>
          </cell>
          <cell r="AT134">
            <v>914.68615963492607</v>
          </cell>
          <cell r="AU134">
            <v>957.66968546337466</v>
          </cell>
          <cell r="AV134">
            <v>3958.9555304541482</v>
          </cell>
          <cell r="AW134">
            <v>3562.8036376156483</v>
          </cell>
          <cell r="AX134">
            <v>3560.7479715752261</v>
          </cell>
          <cell r="AY134">
            <v>3478.7210507689792</v>
          </cell>
          <cell r="AZ134">
            <v>3481.086853677637</v>
          </cell>
          <cell r="BA134">
            <v>3585.5194592879666</v>
          </cell>
          <cell r="BK134">
            <v>3167.1701336122796</v>
          </cell>
          <cell r="BL134">
            <v>791.78539684186853</v>
          </cell>
        </row>
        <row r="135">
          <cell r="B135" t="str">
            <v>______</v>
          </cell>
          <cell r="C135" t="str">
            <v>______</v>
          </cell>
          <cell r="D135" t="str">
            <v>______</v>
          </cell>
          <cell r="E135" t="str">
            <v>______</v>
          </cell>
          <cell r="F135" t="str">
            <v>______</v>
          </cell>
          <cell r="G135" t="str">
            <v>______</v>
          </cell>
          <cell r="H135" t="str">
            <v>______</v>
          </cell>
          <cell r="I135" t="str">
            <v>______</v>
          </cell>
          <cell r="J135" t="str">
            <v>______</v>
          </cell>
          <cell r="K135" t="str">
            <v>______</v>
          </cell>
          <cell r="L135" t="str">
            <v>______</v>
          </cell>
          <cell r="M135" t="str">
            <v>______</v>
          </cell>
          <cell r="N135" t="str">
            <v>______</v>
          </cell>
          <cell r="O135" t="str">
            <v>______</v>
          </cell>
          <cell r="P135" t="str">
            <v>______</v>
          </cell>
          <cell r="Q135" t="str">
            <v>______</v>
          </cell>
          <cell r="R135" t="str">
            <v>______</v>
          </cell>
          <cell r="S135" t="str">
            <v>______</v>
          </cell>
          <cell r="T135" t="str">
            <v>______</v>
          </cell>
          <cell r="U135" t="str">
            <v>______</v>
          </cell>
          <cell r="V135" t="str">
            <v>______</v>
          </cell>
          <cell r="W135" t="str">
            <v>______</v>
          </cell>
          <cell r="X135" t="str">
            <v>______</v>
          </cell>
          <cell r="Y135" t="str">
            <v>______</v>
          </cell>
          <cell r="Z135" t="str">
            <v>______</v>
          </cell>
          <cell r="AA135" t="str">
            <v>______</v>
          </cell>
          <cell r="AB135" t="str">
            <v>______</v>
          </cell>
          <cell r="AC135" t="str">
            <v>______</v>
          </cell>
          <cell r="AD135" t="str">
            <v>______</v>
          </cell>
          <cell r="AE135" t="str">
            <v>______</v>
          </cell>
          <cell r="AF135" t="str">
            <v>______</v>
          </cell>
          <cell r="AG135" t="str">
            <v>______</v>
          </cell>
          <cell r="AH135" t="str">
            <v>______</v>
          </cell>
          <cell r="AI135" t="str">
            <v>______</v>
          </cell>
          <cell r="AJ135" t="str">
            <v>______</v>
          </cell>
          <cell r="AK135" t="str">
            <v>______</v>
          </cell>
          <cell r="AL135" t="str">
            <v>______</v>
          </cell>
          <cell r="AM135" t="str">
            <v>______</v>
          </cell>
          <cell r="AN135" t="str">
            <v>______</v>
          </cell>
          <cell r="AO135" t="str">
            <v>______</v>
          </cell>
          <cell r="AP135" t="str">
            <v>______</v>
          </cell>
          <cell r="AQ135" t="str">
            <v>______</v>
          </cell>
          <cell r="AR135" t="str">
            <v>______</v>
          </cell>
          <cell r="AS135" t="str">
            <v>______</v>
          </cell>
          <cell r="AT135" t="str">
            <v>______</v>
          </cell>
          <cell r="AU135" t="str">
            <v>______</v>
          </cell>
          <cell r="AV135" t="str">
            <v>______</v>
          </cell>
          <cell r="AW135" t="str">
            <v>______</v>
          </cell>
          <cell r="AX135" t="str">
            <v>______</v>
          </cell>
          <cell r="AY135" t="str">
            <v>______</v>
          </cell>
          <cell r="AZ135" t="str">
            <v>______</v>
          </cell>
          <cell r="BA135" t="str">
            <v>______</v>
          </cell>
          <cell r="BK135" t="str">
            <v>______</v>
          </cell>
          <cell r="BL135" t="e">
            <v>#VALUE!</v>
          </cell>
        </row>
        <row r="136">
          <cell r="A136" t="str">
            <v>Total VIP Revenue</v>
          </cell>
          <cell r="C136">
            <v>1158.4249182304775</v>
          </cell>
          <cell r="D136">
            <v>1373.1958703116916</v>
          </cell>
          <cell r="E136">
            <v>1311.6412933882118</v>
          </cell>
          <cell r="F136">
            <v>1543.9553513896376</v>
          </cell>
          <cell r="G136">
            <v>1152.1755032529654</v>
          </cell>
          <cell r="H136">
            <v>1070.2080149186154</v>
          </cell>
          <cell r="I136">
            <v>356.7836313191666</v>
          </cell>
          <cell r="J136">
            <v>323.12262262629986</v>
          </cell>
          <cell r="K136">
            <v>347.77375070532207</v>
          </cell>
          <cell r="L136">
            <v>322.42796849630065</v>
          </cell>
          <cell r="M136">
            <v>1350.1079731470891</v>
          </cell>
          <cell r="N136">
            <v>386.33383027944319</v>
          </cell>
          <cell r="O136">
            <v>395.05514867652977</v>
          </cell>
          <cell r="P136">
            <v>398.421535841712</v>
          </cell>
          <cell r="Q136">
            <v>409.2409713503929</v>
          </cell>
          <cell r="R136">
            <v>1589.0514861480779</v>
          </cell>
          <cell r="S136">
            <v>448.8076265927283</v>
          </cell>
          <cell r="T136">
            <v>492.75232872959464</v>
          </cell>
          <cell r="U136">
            <v>491.39934057749974</v>
          </cell>
          <cell r="V136">
            <v>550.84854088916359</v>
          </cell>
          <cell r="W136">
            <v>1983.8078367889864</v>
          </cell>
          <cell r="X136">
            <v>646.14830969658385</v>
          </cell>
          <cell r="Y136">
            <v>501.2437962789877</v>
          </cell>
          <cell r="Z136">
            <v>734.20742432344173</v>
          </cell>
          <cell r="AA136">
            <v>807.25032416093984</v>
          </cell>
          <cell r="AB136">
            <v>2688.8498544599533</v>
          </cell>
          <cell r="AC136">
            <v>851.76682704702944</v>
          </cell>
          <cell r="AD136">
            <v>827.74883397630197</v>
          </cell>
          <cell r="AE136">
            <v>954.29704649257633</v>
          </cell>
          <cell r="AF136">
            <v>973.19097327333657</v>
          </cell>
          <cell r="AG136">
            <v>3607.0036807892443</v>
          </cell>
          <cell r="AH136">
            <v>871.38028739791866</v>
          </cell>
          <cell r="AI136">
            <v>926.51373647604282</v>
          </cell>
          <cell r="AJ136">
            <v>873.66750231017863</v>
          </cell>
          <cell r="AK136">
            <v>826.27410821960802</v>
          </cell>
          <cell r="AL136">
            <v>3497.8356344037484</v>
          </cell>
          <cell r="AM136">
            <v>973.27110396866146</v>
          </cell>
          <cell r="AN136">
            <v>1013.2898875543249</v>
          </cell>
          <cell r="AO136">
            <v>1104.6934295107803</v>
          </cell>
          <cell r="AP136">
            <v>1371.0374881365419</v>
          </cell>
          <cell r="AQ136">
            <v>4462.2919091703088</v>
          </cell>
          <cell r="AR136">
            <v>1449.0493350188763</v>
          </cell>
          <cell r="AS136">
            <v>1317.2768538206224</v>
          </cell>
          <cell r="AT136">
            <v>1270.3974439373974</v>
          </cell>
          <cell r="AU136">
            <v>1508.1412369501963</v>
          </cell>
          <cell r="AV136">
            <v>5544.8648697270919</v>
          </cell>
          <cell r="AW136">
            <v>5988.4540593052607</v>
          </cell>
          <cell r="AX136">
            <v>6347.7613028635769</v>
          </cell>
          <cell r="AY136">
            <v>6601.6717549781206</v>
          </cell>
          <cell r="AZ136">
            <v>6799.7219076274641</v>
          </cell>
          <cell r="BA136">
            <v>7003.713564856288</v>
          </cell>
          <cell r="BK136">
            <v>4009.0761184965568</v>
          </cell>
          <cell r="BL136">
            <v>1535.7887512305351</v>
          </cell>
        </row>
        <row r="137">
          <cell r="A137" t="str">
            <v xml:space="preserve">  Year-over-Year growth</v>
          </cell>
          <cell r="D137">
            <v>0.18539911279643562</v>
          </cell>
          <cell r="E137">
            <v>-4.4825780687432371E-2</v>
          </cell>
          <cell r="F137">
            <v>0.17711706635990065</v>
          </cell>
          <cell r="G137">
            <v>-0.2537507627950838</v>
          </cell>
          <cell r="H137">
            <v>-7.114149546048254E-2</v>
          </cell>
          <cell r="I137" t="str">
            <v>N.M.</v>
          </cell>
          <cell r="J137" t="str">
            <v>N.M.</v>
          </cell>
          <cell r="K137" t="str">
            <v>N.M.</v>
          </cell>
          <cell r="L137" t="str">
            <v>N.M.</v>
          </cell>
          <cell r="M137">
            <v>0.26153790134879418</v>
          </cell>
          <cell r="N137">
            <v>8.2823864006928094E-2</v>
          </cell>
          <cell r="O137">
            <v>0.22261680555069607</v>
          </cell>
          <cell r="P137">
            <v>0.14563429538218697</v>
          </cell>
          <cell r="Q137">
            <v>0.26924774317488609</v>
          </cell>
          <cell r="R137">
            <v>0.17698103985269698</v>
          </cell>
          <cell r="S137">
            <v>0.16170935966983913</v>
          </cell>
          <cell r="T137">
            <v>0.24730010577095163</v>
          </cell>
          <cell r="U137">
            <v>0.23336540917488624</v>
          </cell>
          <cell r="V137">
            <v>0.34602490818918041</v>
          </cell>
          <cell r="W137">
            <v>0.24842263078448967</v>
          </cell>
          <cell r="X137">
            <v>0.43969993246779859</v>
          </cell>
          <cell r="Y137">
            <v>1.723272941456333E-2</v>
          </cell>
          <cell r="Z137">
            <v>0.49411560760458162</v>
          </cell>
          <cell r="AA137">
            <v>0.46546693735069167</v>
          </cell>
          <cell r="AB137">
            <v>0.35539834282142757</v>
          </cell>
          <cell r="AC137">
            <v>0.31822186062360713</v>
          </cell>
          <cell r="AD137">
            <v>0.65138968326619362</v>
          </cell>
          <cell r="AE137">
            <v>0.29976490958524837</v>
          </cell>
          <cell r="AF137">
            <v>0.20556281508449858</v>
          </cell>
          <cell r="AG137">
            <v>0.34146712387319189</v>
          </cell>
          <cell r="AH137">
            <v>2.3026795277865775E-2</v>
          </cell>
          <cell r="AI137">
            <v>0.11931747704831985</v>
          </cell>
          <cell r="AJ137">
            <v>-8.4491033980188424E-2</v>
          </cell>
          <cell r="AK137">
            <v>-0.15096406469901003</v>
          </cell>
          <cell r="AL137">
            <v>-3.0265576652145021E-2</v>
          </cell>
          <cell r="AM137">
            <v>0.11693036673460355</v>
          </cell>
          <cell r="AN137">
            <v>9.3658785252695331E-2</v>
          </cell>
          <cell r="AO137">
            <v>0.2644323230401906</v>
          </cell>
          <cell r="AP137">
            <v>0.65930104126189826</v>
          </cell>
          <cell r="AQ137">
            <v>0.2757294440254523</v>
          </cell>
          <cell r="AR137">
            <v>0.48884450499984688</v>
          </cell>
          <cell r="AS137">
            <v>0.30000000000000004</v>
          </cell>
          <cell r="AT137">
            <v>0.14999999999999991</v>
          </cell>
          <cell r="AU137">
            <v>0.10000000000000009</v>
          </cell>
          <cell r="AV137">
            <v>0.24260469341596025</v>
          </cell>
          <cell r="AW137">
            <v>8.0000000000000293E-2</v>
          </cell>
          <cell r="AX137">
            <v>6.0000000000000053E-2</v>
          </cell>
          <cell r="AY137">
            <v>4.0000000000000036E-2</v>
          </cell>
          <cell r="AZ137">
            <v>3.0000000000000027E-2</v>
          </cell>
          <cell r="BA137">
            <v>3.0000000000000027E-2</v>
          </cell>
          <cell r="BK137">
            <v>0.1</v>
          </cell>
          <cell r="BL137">
            <v>0.14260469341596024</v>
          </cell>
        </row>
        <row r="138">
          <cell r="BL138">
            <v>0</v>
          </cell>
        </row>
        <row r="139">
          <cell r="A139" t="str">
            <v>VIP Casino Revenue Market Share</v>
          </cell>
          <cell r="BL139">
            <v>0</v>
          </cell>
        </row>
        <row r="140">
          <cell r="A140" t="str">
            <v>Sands Macao</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1.5273022224651077E-3</v>
          </cell>
          <cell r="AF140">
            <v>1.1409374218354367E-2</v>
          </cell>
          <cell r="AG140">
            <v>3.4823917887579041E-3</v>
          </cell>
          <cell r="AH140">
            <v>2.0622109840997677E-2</v>
          </cell>
          <cell r="AI140">
            <v>5.5927934967362328E-2</v>
          </cell>
          <cell r="AJ140">
            <v>8.7850354736842079E-2</v>
          </cell>
          <cell r="AK140">
            <v>0.11432525727272728</v>
          </cell>
          <cell r="AL140">
            <v>6.8900807582138485E-2</v>
          </cell>
          <cell r="AM140">
            <v>9.5040322909842004E-2</v>
          </cell>
          <cell r="AN140">
            <v>0.1261238285012968</v>
          </cell>
          <cell r="AO140">
            <v>0.13344878865196633</v>
          </cell>
          <cell r="AP140">
            <v>0.12774997147456318</v>
          </cell>
          <cell r="AQ140">
            <v>0.12165721361356163</v>
          </cell>
          <cell r="AR140">
            <v>0.13</v>
          </cell>
          <cell r="AS140">
            <v>0.115</v>
          </cell>
          <cell r="AT140">
            <v>7.0000000000000007E-2</v>
          </cell>
          <cell r="AU140">
            <v>7.0000000000000007E-2</v>
          </cell>
          <cell r="AV140">
            <v>9.6370420552783886E-2</v>
          </cell>
          <cell r="AW140">
            <v>0.06</v>
          </cell>
          <cell r="AX140">
            <v>0.05</v>
          </cell>
          <cell r="AY140">
            <v>0.04</v>
          </cell>
          <cell r="AZ140">
            <v>0.04</v>
          </cell>
          <cell r="BA140">
            <v>0.04</v>
          </cell>
          <cell r="BK140">
            <v>7.0000000000000007E-2</v>
          </cell>
          <cell r="BL140">
            <v>2.637042055278388E-2</v>
          </cell>
        </row>
        <row r="141">
          <cell r="A141" t="str">
            <v>Venetian Macao</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0.1</v>
          </cell>
          <cell r="AU141">
            <v>0.14000000000000001</v>
          </cell>
          <cell r="AV141">
            <v>6.0989677027676929E-2</v>
          </cell>
          <cell r="AW141">
            <v>0.13</v>
          </cell>
          <cell r="AX141">
            <v>0.14000000000000001</v>
          </cell>
          <cell r="AY141">
            <v>0.11000000000000001</v>
          </cell>
          <cell r="AZ141">
            <v>0.09</v>
          </cell>
          <cell r="BA141">
            <v>0.09</v>
          </cell>
          <cell r="BK141">
            <v>0.08</v>
          </cell>
          <cell r="BL141">
            <v>-1.9010322972323072E-2</v>
          </cell>
        </row>
        <row r="142">
          <cell r="A142" t="str">
            <v>Cotai Site 2 - Four Seasons</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0.02</v>
          </cell>
          <cell r="AX142">
            <v>0.02</v>
          </cell>
          <cell r="AY142">
            <v>0.02</v>
          </cell>
          <cell r="AZ142">
            <v>0.02</v>
          </cell>
          <cell r="BA142">
            <v>0.02</v>
          </cell>
          <cell r="BK142">
            <v>0</v>
          </cell>
          <cell r="BL142">
            <v>0</v>
          </cell>
        </row>
        <row r="143">
          <cell r="A143" t="str">
            <v>Cotai Site 3 - Far East</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4.0000000000000001E-3</v>
          </cell>
          <cell r="AY143">
            <v>8.0000000000000002E-3</v>
          </cell>
          <cell r="AZ143">
            <v>8.0000000000000002E-3</v>
          </cell>
          <cell r="BA143">
            <v>8.0000000000000002E-3</v>
          </cell>
          <cell r="BK143">
            <v>0</v>
          </cell>
          <cell r="BL143">
            <v>0</v>
          </cell>
        </row>
        <row r="144">
          <cell r="A144" t="str">
            <v>Cotai Site 5 - Shangri-La/St.Regis/Traders</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5.0000000000000001E-3</v>
          </cell>
          <cell r="AX144">
            <v>1.4999999999999999E-2</v>
          </cell>
          <cell r="AY144">
            <v>1.4999999999999999E-2</v>
          </cell>
          <cell r="AZ144">
            <v>1.4999999999999999E-2</v>
          </cell>
          <cell r="BA144">
            <v>1.4999999999999999E-2</v>
          </cell>
          <cell r="BK144">
            <v>0</v>
          </cell>
          <cell r="BL144">
            <v>0</v>
          </cell>
        </row>
        <row r="145">
          <cell r="A145" t="str">
            <v>Cotai Site 6 - Starwood</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5.0000000000000001E-3</v>
          </cell>
          <cell r="AX145">
            <v>1.4999999999999999E-2</v>
          </cell>
          <cell r="AY145">
            <v>1.4999999999999999E-2</v>
          </cell>
          <cell r="AZ145">
            <v>1.4999999999999999E-2</v>
          </cell>
          <cell r="BA145">
            <v>1.4999999999999999E-2</v>
          </cell>
          <cell r="BK145">
            <v>0</v>
          </cell>
          <cell r="BL145">
            <v>0</v>
          </cell>
        </row>
        <row r="146">
          <cell r="A146" t="str">
            <v>Cotai Site 7 - Hilton</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5.0000000000000001E-3</v>
          </cell>
          <cell r="AY146">
            <v>1.4999999999999999E-2</v>
          </cell>
          <cell r="AZ146">
            <v>1.4999999999999999E-2</v>
          </cell>
          <cell r="BA146">
            <v>1.4999999999999999E-2</v>
          </cell>
          <cell r="BK146">
            <v>0</v>
          </cell>
          <cell r="BL146">
            <v>0</v>
          </cell>
        </row>
        <row r="147">
          <cell r="A147" t="str">
            <v>Cotai Site 8 - FHR/Raffles</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5.0000000000000001E-3</v>
          </cell>
          <cell r="AY147">
            <v>1.4999999999999999E-2</v>
          </cell>
          <cell r="AZ147">
            <v>1.4999999999999999E-2</v>
          </cell>
          <cell r="BA147">
            <v>1.4999999999999999E-2</v>
          </cell>
          <cell r="BK147">
            <v>0</v>
          </cell>
          <cell r="BL147">
            <v>0</v>
          </cell>
        </row>
        <row r="148">
          <cell r="A148" t="str">
            <v>Wynn Macau</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2.5120091473965989E-2</v>
          </cell>
          <cell r="AP148">
            <v>0.12516069143611214</v>
          </cell>
          <cell r="AQ148">
            <v>4.4674352117198425E-2</v>
          </cell>
          <cell r="AR148">
            <v>0.13</v>
          </cell>
          <cell r="AS148">
            <v>0.115</v>
          </cell>
          <cell r="AT148">
            <v>0.11</v>
          </cell>
          <cell r="AU148">
            <v>0.105</v>
          </cell>
          <cell r="AV148">
            <v>0.11505452620455096</v>
          </cell>
          <cell r="AW148">
            <v>9.505452620455096E-2</v>
          </cell>
          <cell r="AX148">
            <v>0.10505452620455095</v>
          </cell>
          <cell r="AY148">
            <v>7.5054526204550956E-2</v>
          </cell>
          <cell r="AZ148">
            <v>7.5054526204550956E-2</v>
          </cell>
          <cell r="BA148">
            <v>7.5054526204550956E-2</v>
          </cell>
          <cell r="BK148">
            <v>0.05</v>
          </cell>
          <cell r="BL148">
            <v>6.5054526204550961E-2</v>
          </cell>
        </row>
        <row r="149">
          <cell r="A149" t="str">
            <v>Wynn Cotai</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0.04</v>
          </cell>
          <cell r="AZ149">
            <v>0.04</v>
          </cell>
          <cell r="BA149">
            <v>0.04</v>
          </cell>
          <cell r="BK149">
            <v>0</v>
          </cell>
          <cell r="BL149">
            <v>0</v>
          </cell>
        </row>
        <row r="150">
          <cell r="A150" t="str">
            <v>Wynn Cotai #2</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0.04</v>
          </cell>
          <cell r="AZ150">
            <v>0.04</v>
          </cell>
          <cell r="BA150">
            <v>0.04</v>
          </cell>
        </row>
        <row r="151">
          <cell r="A151" t="str">
            <v>MGM Macau</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0.05</v>
          </cell>
          <cell r="AV151">
            <v>1.3599440855484946E-2</v>
          </cell>
          <cell r="AW151">
            <v>0.09</v>
          </cell>
          <cell r="AX151">
            <v>0.08</v>
          </cell>
          <cell r="AY151">
            <v>0.08</v>
          </cell>
          <cell r="AZ151">
            <v>7.4999999999999997E-2</v>
          </cell>
          <cell r="BA151">
            <v>7.4999999999999997E-2</v>
          </cell>
          <cell r="BK151">
            <v>0.01</v>
          </cell>
          <cell r="BL151">
            <v>3.5994408554849457E-3</v>
          </cell>
        </row>
        <row r="152">
          <cell r="A152" t="str">
            <v>MGM Cotai #1</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0.04</v>
          </cell>
          <cell r="BA152">
            <v>0.04</v>
          </cell>
        </row>
        <row r="153">
          <cell r="A153" t="str">
            <v>Other</v>
          </cell>
          <cell r="C153">
            <v>1</v>
          </cell>
          <cell r="D153">
            <v>1</v>
          </cell>
          <cell r="E153">
            <v>1</v>
          </cell>
          <cell r="F153">
            <v>1</v>
          </cell>
          <cell r="G153">
            <v>1</v>
          </cell>
          <cell r="H153">
            <v>1</v>
          </cell>
          <cell r="I153">
            <v>1</v>
          </cell>
          <cell r="J153">
            <v>1</v>
          </cell>
          <cell r="K153">
            <v>1</v>
          </cell>
          <cell r="L153">
            <v>1</v>
          </cell>
          <cell r="M153">
            <v>1</v>
          </cell>
          <cell r="N153">
            <v>1</v>
          </cell>
          <cell r="O153">
            <v>1</v>
          </cell>
          <cell r="P153">
            <v>1</v>
          </cell>
          <cell r="Q153">
            <v>1</v>
          </cell>
          <cell r="R153">
            <v>1</v>
          </cell>
          <cell r="S153">
            <v>1</v>
          </cell>
          <cell r="T153">
            <v>1</v>
          </cell>
          <cell r="U153">
            <v>1</v>
          </cell>
          <cell r="V153">
            <v>1</v>
          </cell>
          <cell r="W153">
            <v>1</v>
          </cell>
          <cell r="X153">
            <v>1</v>
          </cell>
          <cell r="Y153">
            <v>1</v>
          </cell>
          <cell r="Z153">
            <v>1</v>
          </cell>
          <cell r="AA153">
            <v>1</v>
          </cell>
          <cell r="AB153">
            <v>1</v>
          </cell>
          <cell r="AC153">
            <v>1</v>
          </cell>
          <cell r="AD153">
            <v>1</v>
          </cell>
          <cell r="AE153">
            <v>0.99847269777753489</v>
          </cell>
          <cell r="AF153">
            <v>0.98859062578164558</v>
          </cell>
          <cell r="AG153">
            <v>0.99651760821124202</v>
          </cell>
          <cell r="AH153">
            <v>0.97937789015900234</v>
          </cell>
          <cell r="AI153">
            <v>0.94407206503263774</v>
          </cell>
          <cell r="AJ153">
            <v>0.912149645263158</v>
          </cell>
          <cell r="AK153">
            <v>0.88567474272727276</v>
          </cell>
          <cell r="AL153">
            <v>0.93109919241786143</v>
          </cell>
          <cell r="AM153">
            <v>0.90495967709015801</v>
          </cell>
          <cell r="AN153">
            <v>0.87387617149870322</v>
          </cell>
          <cell r="AO153">
            <v>0.84143111987406771</v>
          </cell>
          <cell r="AP153">
            <v>0.74708933708932468</v>
          </cell>
          <cell r="AQ153">
            <v>0.83366843426923987</v>
          </cell>
          <cell r="AR153">
            <v>0.7400000000000001</v>
          </cell>
          <cell r="AS153">
            <v>0.76999999999999991</v>
          </cell>
          <cell r="AT153">
            <v>0.72</v>
          </cell>
          <cell r="AU153">
            <v>0.63500000000000001</v>
          </cell>
          <cell r="AV153">
            <v>0.71398593535950328</v>
          </cell>
          <cell r="AW153">
            <v>0.59494547379544904</v>
          </cell>
          <cell r="AX153">
            <v>0.56094547379544901</v>
          </cell>
          <cell r="AY153">
            <v>0.52694547379544898</v>
          </cell>
          <cell r="AZ153">
            <v>0.51194547379544908</v>
          </cell>
          <cell r="BA153">
            <v>0.51194547379544919</v>
          </cell>
          <cell r="BK153">
            <v>0.79</v>
          </cell>
          <cell r="BL153">
            <v>-7.6014064640496759E-2</v>
          </cell>
        </row>
        <row r="154">
          <cell r="B154" t="str">
            <v>______</v>
          </cell>
          <cell r="C154" t="str">
            <v>______</v>
          </cell>
          <cell r="D154" t="str">
            <v>______</v>
          </cell>
          <cell r="E154" t="str">
            <v>______</v>
          </cell>
          <cell r="F154" t="str">
            <v>______</v>
          </cell>
          <cell r="G154" t="str">
            <v>______</v>
          </cell>
          <cell r="H154" t="str">
            <v>______</v>
          </cell>
          <cell r="I154" t="str">
            <v>______</v>
          </cell>
          <cell r="J154" t="str">
            <v>______</v>
          </cell>
          <cell r="K154" t="str">
            <v>______</v>
          </cell>
          <cell r="L154" t="str">
            <v>______</v>
          </cell>
          <cell r="M154" t="str">
            <v>______</v>
          </cell>
          <cell r="N154" t="str">
            <v>______</v>
          </cell>
          <cell r="O154" t="str">
            <v>______</v>
          </cell>
          <cell r="P154" t="str">
            <v>______</v>
          </cell>
          <cell r="Q154" t="str">
            <v>______</v>
          </cell>
          <cell r="R154" t="str">
            <v>______</v>
          </cell>
          <cell r="S154" t="str">
            <v>______</v>
          </cell>
          <cell r="T154" t="str">
            <v>______</v>
          </cell>
          <cell r="U154" t="str">
            <v>______</v>
          </cell>
          <cell r="V154" t="str">
            <v>______</v>
          </cell>
          <cell r="W154" t="str">
            <v>______</v>
          </cell>
          <cell r="X154" t="str">
            <v>______</v>
          </cell>
          <cell r="Y154" t="str">
            <v>______</v>
          </cell>
          <cell r="Z154" t="str">
            <v>______</v>
          </cell>
          <cell r="AA154" t="str">
            <v>______</v>
          </cell>
          <cell r="AB154" t="str">
            <v>______</v>
          </cell>
          <cell r="AC154" t="str">
            <v>______</v>
          </cell>
          <cell r="AD154" t="str">
            <v>______</v>
          </cell>
          <cell r="AE154" t="str">
            <v>______</v>
          </cell>
          <cell r="AF154" t="str">
            <v>______</v>
          </cell>
          <cell r="AG154" t="str">
            <v>______</v>
          </cell>
          <cell r="AH154" t="str">
            <v>______</v>
          </cell>
          <cell r="AI154" t="str">
            <v>______</v>
          </cell>
          <cell r="AJ154" t="str">
            <v>______</v>
          </cell>
          <cell r="AK154" t="str">
            <v>______</v>
          </cell>
          <cell r="AL154" t="str">
            <v>______</v>
          </cell>
          <cell r="AM154" t="str">
            <v>______</v>
          </cell>
          <cell r="AN154" t="str">
            <v>______</v>
          </cell>
          <cell r="AO154" t="str">
            <v>______</v>
          </cell>
          <cell r="AP154" t="str">
            <v>______</v>
          </cell>
          <cell r="AQ154" t="str">
            <v>______</v>
          </cell>
          <cell r="AR154" t="str">
            <v>______</v>
          </cell>
          <cell r="AS154" t="str">
            <v>______</v>
          </cell>
          <cell r="AT154" t="str">
            <v>______</v>
          </cell>
          <cell r="AU154" t="str">
            <v>______</v>
          </cell>
          <cell r="AV154" t="str">
            <v>______</v>
          </cell>
          <cell r="AW154" t="str">
            <v>______</v>
          </cell>
          <cell r="AX154" t="str">
            <v>______</v>
          </cell>
          <cell r="AY154" t="str">
            <v>______</v>
          </cell>
          <cell r="AZ154" t="str">
            <v>______</v>
          </cell>
          <cell r="BA154" t="str">
            <v>______</v>
          </cell>
          <cell r="BK154" t="str">
            <v>______</v>
          </cell>
          <cell r="BL154" t="e">
            <v>#VALUE!</v>
          </cell>
        </row>
        <row r="155">
          <cell r="A155" t="str">
            <v>Total</v>
          </cell>
          <cell r="C155">
            <v>1</v>
          </cell>
          <cell r="D155">
            <v>1</v>
          </cell>
          <cell r="E155">
            <v>1</v>
          </cell>
          <cell r="F155">
            <v>1</v>
          </cell>
          <cell r="G155">
            <v>1</v>
          </cell>
          <cell r="H155">
            <v>1</v>
          </cell>
          <cell r="I155">
            <v>1</v>
          </cell>
          <cell r="J155">
            <v>1</v>
          </cell>
          <cell r="K155">
            <v>1</v>
          </cell>
          <cell r="L155">
            <v>1</v>
          </cell>
          <cell r="M155">
            <v>1</v>
          </cell>
          <cell r="N155">
            <v>1</v>
          </cell>
          <cell r="O155">
            <v>1</v>
          </cell>
          <cell r="P155">
            <v>1</v>
          </cell>
          <cell r="Q155">
            <v>1</v>
          </cell>
          <cell r="R155">
            <v>1</v>
          </cell>
          <cell r="S155">
            <v>1</v>
          </cell>
          <cell r="T155">
            <v>1</v>
          </cell>
          <cell r="U155">
            <v>1</v>
          </cell>
          <cell r="V155">
            <v>1</v>
          </cell>
          <cell r="W155">
            <v>1</v>
          </cell>
          <cell r="X155">
            <v>1</v>
          </cell>
          <cell r="Y155">
            <v>1</v>
          </cell>
          <cell r="Z155">
            <v>1</v>
          </cell>
          <cell r="AA155">
            <v>1</v>
          </cell>
          <cell r="AB155">
            <v>1</v>
          </cell>
          <cell r="AC155">
            <v>1</v>
          </cell>
          <cell r="AD155">
            <v>1</v>
          </cell>
          <cell r="AE155">
            <v>1</v>
          </cell>
          <cell r="AF155">
            <v>1</v>
          </cell>
          <cell r="AG155">
            <v>0.99999999999999989</v>
          </cell>
          <cell r="AH155">
            <v>1</v>
          </cell>
          <cell r="AI155">
            <v>1</v>
          </cell>
          <cell r="AJ155">
            <v>1</v>
          </cell>
          <cell r="AK155">
            <v>1</v>
          </cell>
          <cell r="AL155">
            <v>0.99999999999999989</v>
          </cell>
          <cell r="AM155">
            <v>1</v>
          </cell>
          <cell r="AN155">
            <v>1</v>
          </cell>
          <cell r="AO155">
            <v>1</v>
          </cell>
          <cell r="AP155">
            <v>1</v>
          </cell>
          <cell r="AQ155">
            <v>0.99999999999999989</v>
          </cell>
          <cell r="AR155">
            <v>1</v>
          </cell>
          <cell r="AS155">
            <v>0.99999999999999989</v>
          </cell>
          <cell r="AT155">
            <v>1</v>
          </cell>
          <cell r="AU155">
            <v>1</v>
          </cell>
          <cell r="AV155">
            <v>1</v>
          </cell>
          <cell r="AW155">
            <v>1</v>
          </cell>
          <cell r="AX155">
            <v>1</v>
          </cell>
          <cell r="AY155">
            <v>1</v>
          </cell>
          <cell r="AZ155">
            <v>1</v>
          </cell>
          <cell r="BA155">
            <v>1</v>
          </cell>
          <cell r="BK155">
            <v>1</v>
          </cell>
          <cell r="BL155">
            <v>0</v>
          </cell>
        </row>
        <row r="156">
          <cell r="A156" t="str">
            <v xml:space="preserve">  LVS Plots 5&amp;6 Share</v>
          </cell>
          <cell r="AW156">
            <v>0.01</v>
          </cell>
          <cell r="AX156">
            <v>0.03</v>
          </cell>
          <cell r="AY156">
            <v>0.03</v>
          </cell>
          <cell r="AZ156">
            <v>0.03</v>
          </cell>
          <cell r="BA156">
            <v>0.03</v>
          </cell>
          <cell r="BL156">
            <v>0</v>
          </cell>
        </row>
        <row r="157">
          <cell r="A157" t="str">
            <v xml:space="preserve">  LVS Plots 7&amp;8 Share</v>
          </cell>
          <cell r="AX157">
            <v>0.01</v>
          </cell>
          <cell r="AY157">
            <v>0.03</v>
          </cell>
          <cell r="AZ157">
            <v>0.03</v>
          </cell>
          <cell r="BA157">
            <v>0.03</v>
          </cell>
          <cell r="BL157">
            <v>0</v>
          </cell>
        </row>
        <row r="158">
          <cell r="BL158">
            <v>0</v>
          </cell>
        </row>
        <row r="159">
          <cell r="A159" t="str">
            <v>VIP Casino Revenue Growth</v>
          </cell>
          <cell r="BL159">
            <v>0</v>
          </cell>
        </row>
        <row r="160">
          <cell r="A160" t="str">
            <v>Sands Macao</v>
          </cell>
          <cell r="D160" t="str">
            <v>N.M.</v>
          </cell>
          <cell r="E160" t="str">
            <v>N.M.</v>
          </cell>
          <cell r="F160" t="str">
            <v>N.M.</v>
          </cell>
          <cell r="G160" t="str">
            <v>N.M.</v>
          </cell>
          <cell r="H160" t="str">
            <v>N.M.</v>
          </cell>
          <cell r="I160" t="str">
            <v>N.M.</v>
          </cell>
          <cell r="J160" t="str">
            <v>N.M.</v>
          </cell>
          <cell r="K160" t="str">
            <v>N.M.</v>
          </cell>
          <cell r="L160" t="str">
            <v>N.M.</v>
          </cell>
          <cell r="M160" t="str">
            <v>N.M.</v>
          </cell>
          <cell r="N160" t="str">
            <v>N.M.</v>
          </cell>
          <cell r="O160" t="str">
            <v>N.M.</v>
          </cell>
          <cell r="P160" t="str">
            <v>N.M.</v>
          </cell>
          <cell r="Q160" t="str">
            <v>N.M.</v>
          </cell>
          <cell r="R160" t="str">
            <v>N.M.</v>
          </cell>
          <cell r="S160" t="str">
            <v>N.M.</v>
          </cell>
          <cell r="T160" t="str">
            <v>N.M.</v>
          </cell>
          <cell r="U160" t="str">
            <v>N.M.</v>
          </cell>
          <cell r="V160" t="str">
            <v>N.M.</v>
          </cell>
          <cell r="W160" t="str">
            <v>N.M.</v>
          </cell>
          <cell r="X160" t="str">
            <v>N.M.</v>
          </cell>
          <cell r="Y160" t="str">
            <v>N.M.</v>
          </cell>
          <cell r="Z160" t="str">
            <v>N.M.</v>
          </cell>
          <cell r="AA160" t="str">
            <v>N.M.</v>
          </cell>
          <cell r="AB160" t="str">
            <v>N.M.</v>
          </cell>
          <cell r="AC160" t="str">
            <v>N.M.</v>
          </cell>
          <cell r="AD160" t="str">
            <v>N.M.</v>
          </cell>
          <cell r="AE160" t="str">
            <v>N.M.</v>
          </cell>
          <cell r="AF160" t="str">
            <v>N.M.</v>
          </cell>
          <cell r="AG160" t="str">
            <v>N.M.</v>
          </cell>
          <cell r="AH160" t="str">
            <v>N.M.</v>
          </cell>
          <cell r="AI160" t="str">
            <v>N.M.</v>
          </cell>
          <cell r="AJ160">
            <v>51.660034305317318</v>
          </cell>
          <cell r="AK160">
            <v>7.5075876975728377</v>
          </cell>
          <cell r="AL160">
            <v>18.186665074436746</v>
          </cell>
          <cell r="AM160">
            <v>4.147553938017885</v>
          </cell>
          <cell r="AN160">
            <v>1.4663244432436606</v>
          </cell>
          <cell r="AO160">
            <v>0.9207317073170731</v>
          </cell>
          <cell r="AP160">
            <v>0.85414549457994582</v>
          </cell>
          <cell r="AQ160">
            <v>1.2525380315737893</v>
          </cell>
          <cell r="AR160">
            <v>1.0365017681346371</v>
          </cell>
          <cell r="AS160">
            <v>0.18534302182606877</v>
          </cell>
          <cell r="AT160">
            <v>-0.39677234380940285</v>
          </cell>
          <cell r="AU160">
            <v>-0.39726013938616178</v>
          </cell>
          <cell r="AV160">
            <v>-1.5674177235881381E-2</v>
          </cell>
          <cell r="AW160">
            <v>-0.32759450847775595</v>
          </cell>
          <cell r="AX160">
            <v>-0.11666666666666647</v>
          </cell>
          <cell r="AY160">
            <v>-0.16800000000000004</v>
          </cell>
          <cell r="AZ160">
            <v>3.0000000000000027E-2</v>
          </cell>
          <cell r="BA160">
            <v>3.0000000000000027E-2</v>
          </cell>
          <cell r="BK160">
            <v>-0.38582667162288631</v>
          </cell>
          <cell r="BL160">
            <v>0.37015249438700493</v>
          </cell>
        </row>
        <row r="161">
          <cell r="A161" t="str">
            <v>Venetian Macao</v>
          </cell>
          <cell r="D161" t="str">
            <v>N.M.</v>
          </cell>
          <cell r="E161" t="str">
            <v>N.M.</v>
          </cell>
          <cell r="F161" t="str">
            <v>N.M.</v>
          </cell>
          <cell r="G161" t="str">
            <v>N.M.</v>
          </cell>
          <cell r="H161" t="str">
            <v>N.M.</v>
          </cell>
          <cell r="I161" t="str">
            <v>N.M.</v>
          </cell>
          <cell r="J161" t="str">
            <v>N.M.</v>
          </cell>
          <cell r="K161" t="str">
            <v>N.M.</v>
          </cell>
          <cell r="L161" t="str">
            <v>N.M.</v>
          </cell>
          <cell r="M161" t="str">
            <v>N.M.</v>
          </cell>
          <cell r="N161" t="str">
            <v>N.M.</v>
          </cell>
          <cell r="O161" t="str">
            <v>N.M.</v>
          </cell>
          <cell r="P161" t="str">
            <v>N.M.</v>
          </cell>
          <cell r="Q161" t="str">
            <v>N.M.</v>
          </cell>
          <cell r="R161" t="str">
            <v>N.M.</v>
          </cell>
          <cell r="S161" t="str">
            <v>N.M.</v>
          </cell>
          <cell r="T161" t="str">
            <v>N.M.</v>
          </cell>
          <cell r="U161" t="str">
            <v>N.M.</v>
          </cell>
          <cell r="V161" t="str">
            <v>N.M.</v>
          </cell>
          <cell r="W161" t="str">
            <v>N.M.</v>
          </cell>
          <cell r="X161" t="str">
            <v>N.M.</v>
          </cell>
          <cell r="Y161" t="str">
            <v>N.M.</v>
          </cell>
          <cell r="Z161" t="str">
            <v>N.M.</v>
          </cell>
          <cell r="AA161" t="str">
            <v>N.M.</v>
          </cell>
          <cell r="AB161" t="str">
            <v>N.M.</v>
          </cell>
          <cell r="AC161" t="str">
            <v>N.M.</v>
          </cell>
          <cell r="AD161" t="str">
            <v>N.M.</v>
          </cell>
          <cell r="AE161" t="str">
            <v>N.M.</v>
          </cell>
          <cell r="AF161" t="str">
            <v>N.M.</v>
          </cell>
          <cell r="AG161" t="str">
            <v>N.M.</v>
          </cell>
          <cell r="AH161" t="str">
            <v>N.M.</v>
          </cell>
          <cell r="AI161" t="str">
            <v>N.M.</v>
          </cell>
          <cell r="AJ161" t="str">
            <v>N.M.</v>
          </cell>
          <cell r="AK161" t="str">
            <v>N.M.</v>
          </cell>
          <cell r="AL161" t="str">
            <v>N.M.</v>
          </cell>
          <cell r="AM161" t="str">
            <v>N.M.</v>
          </cell>
          <cell r="AN161" t="str">
            <v>N.M.</v>
          </cell>
          <cell r="AO161" t="str">
            <v>N.M.</v>
          </cell>
          <cell r="AP161" t="str">
            <v>N.M.</v>
          </cell>
          <cell r="AQ161" t="str">
            <v>N.M.</v>
          </cell>
          <cell r="AR161" t="str">
            <v>N.M.</v>
          </cell>
          <cell r="AS161" t="str">
            <v>N.M.</v>
          </cell>
          <cell r="AT161" t="str">
            <v>N.M.</v>
          </cell>
          <cell r="AU161" t="str">
            <v>N.M.</v>
          </cell>
          <cell r="AV161" t="str">
            <v>N.M.</v>
          </cell>
          <cell r="AW161">
            <v>1.3020289144388641</v>
          </cell>
          <cell r="AX161">
            <v>0.14153846153846183</v>
          </cell>
          <cell r="AY161">
            <v>-0.18285714285714272</v>
          </cell>
          <cell r="AZ161">
            <v>-0.15727272727272745</v>
          </cell>
          <cell r="BA161">
            <v>3.0000000000000027E-2</v>
          </cell>
          <cell r="BK161" t="str">
            <v>N.M.</v>
          </cell>
          <cell r="BL161" t="e">
            <v>#VALUE!</v>
          </cell>
        </row>
        <row r="162">
          <cell r="A162" t="str">
            <v>Cotai Site 2 - Four Seasons</v>
          </cell>
          <cell r="D162" t="str">
            <v>N.M.</v>
          </cell>
          <cell r="E162" t="str">
            <v>N.M.</v>
          </cell>
          <cell r="F162" t="str">
            <v>N.M.</v>
          </cell>
          <cell r="G162" t="str">
            <v>N.M.</v>
          </cell>
          <cell r="H162" t="str">
            <v>N.M.</v>
          </cell>
          <cell r="I162" t="str">
            <v>N.M.</v>
          </cell>
          <cell r="J162" t="str">
            <v>N.M.</v>
          </cell>
          <cell r="K162" t="str">
            <v>N.M.</v>
          </cell>
          <cell r="L162" t="str">
            <v>N.M.</v>
          </cell>
          <cell r="M162" t="str">
            <v>N.M.</v>
          </cell>
          <cell r="N162" t="str">
            <v>N.M.</v>
          </cell>
          <cell r="O162" t="str">
            <v>N.M.</v>
          </cell>
          <cell r="P162" t="str">
            <v>N.M.</v>
          </cell>
          <cell r="Q162" t="str">
            <v>N.M.</v>
          </cell>
          <cell r="R162" t="str">
            <v>N.M.</v>
          </cell>
          <cell r="S162" t="str">
            <v>N.M.</v>
          </cell>
          <cell r="T162" t="str">
            <v>N.M.</v>
          </cell>
          <cell r="U162" t="str">
            <v>N.M.</v>
          </cell>
          <cell r="V162" t="str">
            <v>N.M.</v>
          </cell>
          <cell r="W162" t="str">
            <v>N.M.</v>
          </cell>
          <cell r="X162" t="str">
            <v>N.M.</v>
          </cell>
          <cell r="Y162" t="str">
            <v>N.M.</v>
          </cell>
          <cell r="Z162" t="str">
            <v>N.M.</v>
          </cell>
          <cell r="AA162" t="str">
            <v>N.M.</v>
          </cell>
          <cell r="AB162" t="str">
            <v>N.M.</v>
          </cell>
          <cell r="AC162" t="str">
            <v>N.M.</v>
          </cell>
          <cell r="AD162" t="str">
            <v>N.M.</v>
          </cell>
          <cell r="AE162" t="str">
            <v>N.M.</v>
          </cell>
          <cell r="AF162" t="str">
            <v>N.M.</v>
          </cell>
          <cell r="AG162" t="str">
            <v>N.M.</v>
          </cell>
          <cell r="AH162" t="str">
            <v>N.M.</v>
          </cell>
          <cell r="AI162" t="str">
            <v>N.M.</v>
          </cell>
          <cell r="AJ162" t="str">
            <v>N.M.</v>
          </cell>
          <cell r="AK162" t="str">
            <v>N.M.</v>
          </cell>
          <cell r="AL162" t="str">
            <v>N.M.</v>
          </cell>
          <cell r="AM162" t="str">
            <v>N.M.</v>
          </cell>
          <cell r="AN162" t="str">
            <v>N.M.</v>
          </cell>
          <cell r="AO162" t="str">
            <v>N.M.</v>
          </cell>
          <cell r="AP162" t="str">
            <v>N.M.</v>
          </cell>
          <cell r="AQ162" t="str">
            <v>N.M.</v>
          </cell>
          <cell r="AR162" t="str">
            <v>N.M.</v>
          </cell>
          <cell r="AS162" t="str">
            <v>N.M.</v>
          </cell>
          <cell r="AT162" t="str">
            <v>N.M.</v>
          </cell>
          <cell r="AU162" t="str">
            <v>N.M.</v>
          </cell>
          <cell r="AV162" t="str">
            <v>N.M.</v>
          </cell>
          <cell r="AW162" t="str">
            <v>N.M.</v>
          </cell>
          <cell r="AX162">
            <v>6.0000000000000275E-2</v>
          </cell>
          <cell r="AY162">
            <v>4.0000000000000036E-2</v>
          </cell>
          <cell r="AZ162">
            <v>3.0000000000000027E-2</v>
          </cell>
          <cell r="BA162">
            <v>3.0000000000000027E-2</v>
          </cell>
          <cell r="BK162" t="str">
            <v>N.M.</v>
          </cell>
          <cell r="BL162" t="e">
            <v>#VALUE!</v>
          </cell>
        </row>
        <row r="163">
          <cell r="A163" t="str">
            <v>Cotai Site 3 - Far East</v>
          </cell>
          <cell r="D163" t="str">
            <v>N.M.</v>
          </cell>
          <cell r="E163" t="str">
            <v>N.M.</v>
          </cell>
          <cell r="F163" t="str">
            <v>N.M.</v>
          </cell>
          <cell r="G163" t="str">
            <v>N.M.</v>
          </cell>
          <cell r="H163" t="str">
            <v>N.M.</v>
          </cell>
          <cell r="I163" t="str">
            <v>N.M.</v>
          </cell>
          <cell r="J163" t="str">
            <v>N.M.</v>
          </cell>
          <cell r="K163" t="str">
            <v>N.M.</v>
          </cell>
          <cell r="L163" t="str">
            <v>N.M.</v>
          </cell>
          <cell r="M163" t="str">
            <v>N.M.</v>
          </cell>
          <cell r="N163" t="str">
            <v>N.M.</v>
          </cell>
          <cell r="O163" t="str">
            <v>N.M.</v>
          </cell>
          <cell r="P163" t="str">
            <v>N.M.</v>
          </cell>
          <cell r="Q163" t="str">
            <v>N.M.</v>
          </cell>
          <cell r="R163" t="str">
            <v>N.M.</v>
          </cell>
          <cell r="S163" t="str">
            <v>N.M.</v>
          </cell>
          <cell r="T163" t="str">
            <v>N.M.</v>
          </cell>
          <cell r="U163" t="str">
            <v>N.M.</v>
          </cell>
          <cell r="V163" t="str">
            <v>N.M.</v>
          </cell>
          <cell r="W163" t="str">
            <v>N.M.</v>
          </cell>
          <cell r="X163" t="str">
            <v>N.M.</v>
          </cell>
          <cell r="Y163" t="str">
            <v>N.M.</v>
          </cell>
          <cell r="Z163" t="str">
            <v>N.M.</v>
          </cell>
          <cell r="AA163" t="str">
            <v>N.M.</v>
          </cell>
          <cell r="AB163" t="str">
            <v>N.M.</v>
          </cell>
          <cell r="AC163" t="str">
            <v>N.M.</v>
          </cell>
          <cell r="AD163" t="str">
            <v>N.M.</v>
          </cell>
          <cell r="AE163" t="str">
            <v>N.M.</v>
          </cell>
          <cell r="AF163" t="str">
            <v>N.M.</v>
          </cell>
          <cell r="AG163" t="str">
            <v>N.M.</v>
          </cell>
          <cell r="AH163" t="str">
            <v>N.M.</v>
          </cell>
          <cell r="AI163" t="str">
            <v>N.M.</v>
          </cell>
          <cell r="AJ163" t="str">
            <v>N.M.</v>
          </cell>
          <cell r="AK163" t="str">
            <v>N.M.</v>
          </cell>
          <cell r="AL163" t="str">
            <v>N.M.</v>
          </cell>
          <cell r="AM163" t="str">
            <v>N.M.</v>
          </cell>
          <cell r="AN163" t="str">
            <v>N.M.</v>
          </cell>
          <cell r="AO163" t="str">
            <v>N.M.</v>
          </cell>
          <cell r="AP163" t="str">
            <v>N.M.</v>
          </cell>
          <cell r="AQ163" t="str">
            <v>N.M.</v>
          </cell>
          <cell r="AR163" t="str">
            <v>N.M.</v>
          </cell>
          <cell r="AS163" t="str">
            <v>N.M.</v>
          </cell>
          <cell r="AT163" t="str">
            <v>N.M.</v>
          </cell>
          <cell r="AU163" t="str">
            <v>N.M.</v>
          </cell>
          <cell r="AV163" t="str">
            <v>N.M.</v>
          </cell>
          <cell r="AW163" t="str">
            <v>N.M.</v>
          </cell>
          <cell r="AX163" t="str">
            <v>N.M.</v>
          </cell>
          <cell r="AY163">
            <v>1.08</v>
          </cell>
          <cell r="AZ163">
            <v>3.0000000000000027E-2</v>
          </cell>
          <cell r="BA163">
            <v>3.0000000000000027E-2</v>
          </cell>
          <cell r="BK163" t="str">
            <v>N.M.</v>
          </cell>
          <cell r="BL163" t="e">
            <v>#VALUE!</v>
          </cell>
        </row>
        <row r="164">
          <cell r="A164" t="str">
            <v>Cotai Site 5 - Shangri-La/St.Regis/Traders</v>
          </cell>
          <cell r="D164" t="str">
            <v>N.M.</v>
          </cell>
          <cell r="E164" t="str">
            <v>N.M.</v>
          </cell>
          <cell r="F164" t="str">
            <v>N.M.</v>
          </cell>
          <cell r="G164" t="str">
            <v>N.M.</v>
          </cell>
          <cell r="H164" t="str">
            <v>N.M.</v>
          </cell>
          <cell r="I164" t="str">
            <v>N.M.</v>
          </cell>
          <cell r="J164" t="str">
            <v>N.M.</v>
          </cell>
          <cell r="K164" t="str">
            <v>N.M.</v>
          </cell>
          <cell r="L164" t="str">
            <v>N.M.</v>
          </cell>
          <cell r="M164" t="str">
            <v>N.M.</v>
          </cell>
          <cell r="N164" t="str">
            <v>N.M.</v>
          </cell>
          <cell r="O164" t="str">
            <v>N.M.</v>
          </cell>
          <cell r="P164" t="str">
            <v>N.M.</v>
          </cell>
          <cell r="Q164" t="str">
            <v>N.M.</v>
          </cell>
          <cell r="R164" t="str">
            <v>N.M.</v>
          </cell>
          <cell r="S164" t="str">
            <v>N.M.</v>
          </cell>
          <cell r="T164" t="str">
            <v>N.M.</v>
          </cell>
          <cell r="U164" t="str">
            <v>N.M.</v>
          </cell>
          <cell r="V164" t="str">
            <v>N.M.</v>
          </cell>
          <cell r="W164" t="str">
            <v>N.M.</v>
          </cell>
          <cell r="X164" t="str">
            <v>N.M.</v>
          </cell>
          <cell r="Y164" t="str">
            <v>N.M.</v>
          </cell>
          <cell r="Z164" t="str">
            <v>N.M.</v>
          </cell>
          <cell r="AA164" t="str">
            <v>N.M.</v>
          </cell>
          <cell r="AB164" t="str">
            <v>N.M.</v>
          </cell>
          <cell r="AC164" t="str">
            <v>N.M.</v>
          </cell>
          <cell r="AD164" t="str">
            <v>N.M.</v>
          </cell>
          <cell r="AE164" t="str">
            <v>N.M.</v>
          </cell>
          <cell r="AF164" t="str">
            <v>N.M.</v>
          </cell>
          <cell r="AG164" t="str">
            <v>N.M.</v>
          </cell>
          <cell r="AH164" t="str">
            <v>N.M.</v>
          </cell>
          <cell r="AI164" t="str">
            <v>N.M.</v>
          </cell>
          <cell r="AJ164" t="str">
            <v>N.M.</v>
          </cell>
          <cell r="AK164" t="str">
            <v>N.M.</v>
          </cell>
          <cell r="AL164" t="str">
            <v>N.M.</v>
          </cell>
          <cell r="AM164" t="str">
            <v>N.M.</v>
          </cell>
          <cell r="AN164" t="str">
            <v>N.M.</v>
          </cell>
          <cell r="AO164" t="str">
            <v>N.M.</v>
          </cell>
          <cell r="AP164" t="str">
            <v>N.M.</v>
          </cell>
          <cell r="AQ164" t="str">
            <v>N.M.</v>
          </cell>
          <cell r="AR164" t="str">
            <v>N.M.</v>
          </cell>
          <cell r="AS164" t="str">
            <v>N.M.</v>
          </cell>
          <cell r="AT164" t="str">
            <v>N.M.</v>
          </cell>
          <cell r="AU164" t="str">
            <v>N.M.</v>
          </cell>
          <cell r="AV164" t="str">
            <v>N.M.</v>
          </cell>
          <cell r="AW164" t="str">
            <v>N.M.</v>
          </cell>
          <cell r="AX164">
            <v>2.1800000000000002</v>
          </cell>
          <cell r="AY164">
            <v>4.0000000000000036E-2</v>
          </cell>
          <cell r="AZ164">
            <v>3.0000000000000027E-2</v>
          </cell>
          <cell r="BA164">
            <v>3.0000000000000027E-2</v>
          </cell>
          <cell r="BK164" t="str">
            <v>N.M.</v>
          </cell>
          <cell r="BL164" t="e">
            <v>#VALUE!</v>
          </cell>
        </row>
        <row r="165">
          <cell r="A165" t="str">
            <v>Cotai Site 6 - Starwood</v>
          </cell>
          <cell r="D165" t="str">
            <v>N.M.</v>
          </cell>
          <cell r="E165" t="str">
            <v>N.M.</v>
          </cell>
          <cell r="F165" t="str">
            <v>N.M.</v>
          </cell>
          <cell r="G165" t="str">
            <v>N.M.</v>
          </cell>
          <cell r="H165" t="str">
            <v>N.M.</v>
          </cell>
          <cell r="I165" t="str">
            <v>N.M.</v>
          </cell>
          <cell r="J165" t="str">
            <v>N.M.</v>
          </cell>
          <cell r="K165" t="str">
            <v>N.M.</v>
          </cell>
          <cell r="L165" t="str">
            <v>N.M.</v>
          </cell>
          <cell r="M165" t="str">
            <v>N.M.</v>
          </cell>
          <cell r="N165" t="str">
            <v>N.M.</v>
          </cell>
          <cell r="O165" t="str">
            <v>N.M.</v>
          </cell>
          <cell r="P165" t="str">
            <v>N.M.</v>
          </cell>
          <cell r="Q165" t="str">
            <v>N.M.</v>
          </cell>
          <cell r="R165" t="str">
            <v>N.M.</v>
          </cell>
          <cell r="S165" t="str">
            <v>N.M.</v>
          </cell>
          <cell r="T165" t="str">
            <v>N.M.</v>
          </cell>
          <cell r="U165" t="str">
            <v>N.M.</v>
          </cell>
          <cell r="V165" t="str">
            <v>N.M.</v>
          </cell>
          <cell r="W165" t="str">
            <v>N.M.</v>
          </cell>
          <cell r="X165" t="str">
            <v>N.M.</v>
          </cell>
          <cell r="Y165" t="str">
            <v>N.M.</v>
          </cell>
          <cell r="Z165" t="str">
            <v>N.M.</v>
          </cell>
          <cell r="AA165" t="str">
            <v>N.M.</v>
          </cell>
          <cell r="AB165" t="str">
            <v>N.M.</v>
          </cell>
          <cell r="AC165" t="str">
            <v>N.M.</v>
          </cell>
          <cell r="AD165" t="str">
            <v>N.M.</v>
          </cell>
          <cell r="AE165" t="str">
            <v>N.M.</v>
          </cell>
          <cell r="AF165" t="str">
            <v>N.M.</v>
          </cell>
          <cell r="AG165" t="str">
            <v>N.M.</v>
          </cell>
          <cell r="AH165" t="str">
            <v>N.M.</v>
          </cell>
          <cell r="AI165" t="str">
            <v>N.M.</v>
          </cell>
          <cell r="AJ165" t="str">
            <v>N.M.</v>
          </cell>
          <cell r="AK165" t="str">
            <v>N.M.</v>
          </cell>
          <cell r="AL165" t="str">
            <v>N.M.</v>
          </cell>
          <cell r="AM165" t="str">
            <v>N.M.</v>
          </cell>
          <cell r="AN165" t="str">
            <v>N.M.</v>
          </cell>
          <cell r="AO165" t="str">
            <v>N.M.</v>
          </cell>
          <cell r="AP165" t="str">
            <v>N.M.</v>
          </cell>
          <cell r="AQ165" t="str">
            <v>N.M.</v>
          </cell>
          <cell r="AR165" t="str">
            <v>N.M.</v>
          </cell>
          <cell r="AS165" t="str">
            <v>N.M.</v>
          </cell>
          <cell r="AT165" t="str">
            <v>N.M.</v>
          </cell>
          <cell r="AU165" t="str">
            <v>N.M.</v>
          </cell>
          <cell r="AV165" t="str">
            <v>N.M.</v>
          </cell>
          <cell r="AW165" t="str">
            <v>N.M.</v>
          </cell>
          <cell r="AX165">
            <v>2.1800000000000002</v>
          </cell>
          <cell r="AY165">
            <v>4.0000000000000036E-2</v>
          </cell>
          <cell r="AZ165">
            <v>3.0000000000000027E-2</v>
          </cell>
          <cell r="BA165">
            <v>3.0000000000000027E-2</v>
          </cell>
          <cell r="BK165" t="str">
            <v>N.M.</v>
          </cell>
          <cell r="BL165" t="e">
            <v>#VALUE!</v>
          </cell>
        </row>
        <row r="166">
          <cell r="A166" t="str">
            <v>Cotai Site 7 - Hilton</v>
          </cell>
          <cell r="D166" t="str">
            <v>N.M.</v>
          </cell>
          <cell r="E166" t="str">
            <v>N.M.</v>
          </cell>
          <cell r="F166" t="str">
            <v>N.M.</v>
          </cell>
          <cell r="G166" t="str">
            <v>N.M.</v>
          </cell>
          <cell r="H166" t="str">
            <v>N.M.</v>
          </cell>
          <cell r="I166" t="str">
            <v>N.M.</v>
          </cell>
          <cell r="J166" t="str">
            <v>N.M.</v>
          </cell>
          <cell r="K166" t="str">
            <v>N.M.</v>
          </cell>
          <cell r="L166" t="str">
            <v>N.M.</v>
          </cell>
          <cell r="M166" t="str">
            <v>N.M.</v>
          </cell>
          <cell r="N166" t="str">
            <v>N.M.</v>
          </cell>
          <cell r="O166" t="str">
            <v>N.M.</v>
          </cell>
          <cell r="P166" t="str">
            <v>N.M.</v>
          </cell>
          <cell r="Q166" t="str">
            <v>N.M.</v>
          </cell>
          <cell r="R166" t="str">
            <v>N.M.</v>
          </cell>
          <cell r="S166" t="str">
            <v>N.M.</v>
          </cell>
          <cell r="T166" t="str">
            <v>N.M.</v>
          </cell>
          <cell r="U166" t="str">
            <v>N.M.</v>
          </cell>
          <cell r="V166" t="str">
            <v>N.M.</v>
          </cell>
          <cell r="W166" t="str">
            <v>N.M.</v>
          </cell>
          <cell r="X166" t="str">
            <v>N.M.</v>
          </cell>
          <cell r="Y166" t="str">
            <v>N.M.</v>
          </cell>
          <cell r="Z166" t="str">
            <v>N.M.</v>
          </cell>
          <cell r="AA166" t="str">
            <v>N.M.</v>
          </cell>
          <cell r="AB166" t="str">
            <v>N.M.</v>
          </cell>
          <cell r="AC166" t="str">
            <v>N.M.</v>
          </cell>
          <cell r="AD166" t="str">
            <v>N.M.</v>
          </cell>
          <cell r="AE166" t="str">
            <v>N.M.</v>
          </cell>
          <cell r="AF166" t="str">
            <v>N.M.</v>
          </cell>
          <cell r="AG166" t="str">
            <v>N.M.</v>
          </cell>
          <cell r="AH166" t="str">
            <v>N.M.</v>
          </cell>
          <cell r="AI166" t="str">
            <v>N.M.</v>
          </cell>
          <cell r="AJ166" t="str">
            <v>N.M.</v>
          </cell>
          <cell r="AK166" t="str">
            <v>N.M.</v>
          </cell>
          <cell r="AL166" t="str">
            <v>N.M.</v>
          </cell>
          <cell r="AM166" t="str">
            <v>N.M.</v>
          </cell>
          <cell r="AN166" t="str">
            <v>N.M.</v>
          </cell>
          <cell r="AO166" t="str">
            <v>N.M.</v>
          </cell>
          <cell r="AP166" t="str">
            <v>N.M.</v>
          </cell>
          <cell r="AQ166" t="str">
            <v>N.M.</v>
          </cell>
          <cell r="AR166" t="str">
            <v>N.M.</v>
          </cell>
          <cell r="AS166" t="str">
            <v>N.M.</v>
          </cell>
          <cell r="AT166" t="str">
            <v>N.M.</v>
          </cell>
          <cell r="AU166" t="str">
            <v>N.M.</v>
          </cell>
          <cell r="AV166" t="str">
            <v>N.M.</v>
          </cell>
          <cell r="AW166" t="str">
            <v>N.M.</v>
          </cell>
          <cell r="AX166" t="str">
            <v>N.M.</v>
          </cell>
          <cell r="AY166">
            <v>2.1199999999999997</v>
          </cell>
          <cell r="AZ166">
            <v>3.0000000000000027E-2</v>
          </cell>
          <cell r="BA166">
            <v>3.0000000000000027E-2</v>
          </cell>
          <cell r="BK166" t="str">
            <v>N.M.</v>
          </cell>
          <cell r="BL166" t="e">
            <v>#VALUE!</v>
          </cell>
        </row>
        <row r="167">
          <cell r="A167" t="str">
            <v>Cotai Site 8 - FHR/Raffles</v>
          </cell>
          <cell r="D167" t="str">
            <v>N.M.</v>
          </cell>
          <cell r="E167" t="str">
            <v>N.M.</v>
          </cell>
          <cell r="F167" t="str">
            <v>N.M.</v>
          </cell>
          <cell r="G167" t="str">
            <v>N.M.</v>
          </cell>
          <cell r="H167" t="str">
            <v>N.M.</v>
          </cell>
          <cell r="I167" t="str">
            <v>N.M.</v>
          </cell>
          <cell r="J167" t="str">
            <v>N.M.</v>
          </cell>
          <cell r="K167" t="str">
            <v>N.M.</v>
          </cell>
          <cell r="L167" t="str">
            <v>N.M.</v>
          </cell>
          <cell r="M167" t="str">
            <v>N.M.</v>
          </cell>
          <cell r="N167" t="str">
            <v>N.M.</v>
          </cell>
          <cell r="O167" t="str">
            <v>N.M.</v>
          </cell>
          <cell r="P167" t="str">
            <v>N.M.</v>
          </cell>
          <cell r="Q167" t="str">
            <v>N.M.</v>
          </cell>
          <cell r="R167" t="str">
            <v>N.M.</v>
          </cell>
          <cell r="S167" t="str">
            <v>N.M.</v>
          </cell>
          <cell r="T167" t="str">
            <v>N.M.</v>
          </cell>
          <cell r="U167" t="str">
            <v>N.M.</v>
          </cell>
          <cell r="V167" t="str">
            <v>N.M.</v>
          </cell>
          <cell r="W167" t="str">
            <v>N.M.</v>
          </cell>
          <cell r="X167" t="str">
            <v>N.M.</v>
          </cell>
          <cell r="Y167" t="str">
            <v>N.M.</v>
          </cell>
          <cell r="Z167" t="str">
            <v>N.M.</v>
          </cell>
          <cell r="AA167" t="str">
            <v>N.M.</v>
          </cell>
          <cell r="AB167" t="str">
            <v>N.M.</v>
          </cell>
          <cell r="AC167" t="str">
            <v>N.M.</v>
          </cell>
          <cell r="AD167" t="str">
            <v>N.M.</v>
          </cell>
          <cell r="AE167" t="str">
            <v>N.M.</v>
          </cell>
          <cell r="AF167" t="str">
            <v>N.M.</v>
          </cell>
          <cell r="AG167" t="str">
            <v>N.M.</v>
          </cell>
          <cell r="AH167" t="str">
            <v>N.M.</v>
          </cell>
          <cell r="AI167" t="str">
            <v>N.M.</v>
          </cell>
          <cell r="AJ167" t="str">
            <v>N.M.</v>
          </cell>
          <cell r="AK167" t="str">
            <v>N.M.</v>
          </cell>
          <cell r="AL167" t="str">
            <v>N.M.</v>
          </cell>
          <cell r="AM167" t="str">
            <v>N.M.</v>
          </cell>
          <cell r="AN167" t="str">
            <v>N.M.</v>
          </cell>
          <cell r="AO167" t="str">
            <v>N.M.</v>
          </cell>
          <cell r="AP167" t="str">
            <v>N.M.</v>
          </cell>
          <cell r="AQ167" t="str">
            <v>N.M.</v>
          </cell>
          <cell r="AR167" t="str">
            <v>N.M.</v>
          </cell>
          <cell r="AS167" t="str">
            <v>N.M.</v>
          </cell>
          <cell r="AT167" t="str">
            <v>N.M.</v>
          </cell>
          <cell r="AU167" t="str">
            <v>N.M.</v>
          </cell>
          <cell r="AV167" t="str">
            <v>N.M.</v>
          </cell>
          <cell r="AW167" t="str">
            <v>N.M.</v>
          </cell>
          <cell r="AX167" t="str">
            <v>N.M.</v>
          </cell>
          <cell r="AY167">
            <v>2.1199999999999997</v>
          </cell>
          <cell r="AZ167">
            <v>3.0000000000000027E-2</v>
          </cell>
          <cell r="BA167">
            <v>3.0000000000000027E-2</v>
          </cell>
          <cell r="BK167" t="str">
            <v>N.M.</v>
          </cell>
          <cell r="BL167" t="e">
            <v>#VALUE!</v>
          </cell>
        </row>
        <row r="168">
          <cell r="A168" t="str">
            <v>Wynn Macau</v>
          </cell>
          <cell r="D168" t="str">
            <v>N.M.</v>
          </cell>
          <cell r="E168" t="str">
            <v>N.M.</v>
          </cell>
          <cell r="F168" t="str">
            <v>N.M.</v>
          </cell>
          <cell r="G168" t="str">
            <v>N.M.</v>
          </cell>
          <cell r="H168" t="str">
            <v>N.M.</v>
          </cell>
          <cell r="I168" t="str">
            <v>N.M.</v>
          </cell>
          <cell r="J168" t="str">
            <v>N.M.</v>
          </cell>
          <cell r="K168" t="str">
            <v>N.M.</v>
          </cell>
          <cell r="L168" t="str">
            <v>N.M.</v>
          </cell>
          <cell r="M168" t="str">
            <v>N.M.</v>
          </cell>
          <cell r="N168" t="str">
            <v>N.M.</v>
          </cell>
          <cell r="O168" t="str">
            <v>N.M.</v>
          </cell>
          <cell r="P168" t="str">
            <v>N.M.</v>
          </cell>
          <cell r="Q168" t="str">
            <v>N.M.</v>
          </cell>
          <cell r="R168" t="str">
            <v>N.M.</v>
          </cell>
          <cell r="S168" t="str">
            <v>N.M.</v>
          </cell>
          <cell r="T168" t="str">
            <v>N.M.</v>
          </cell>
          <cell r="U168" t="str">
            <v>N.M.</v>
          </cell>
          <cell r="V168" t="str">
            <v>N.M.</v>
          </cell>
          <cell r="W168" t="str">
            <v>N.M.</v>
          </cell>
          <cell r="X168" t="str">
            <v>N.M.</v>
          </cell>
          <cell r="Y168" t="str">
            <v>N.M.</v>
          </cell>
          <cell r="Z168" t="str">
            <v>N.M.</v>
          </cell>
          <cell r="AA168" t="str">
            <v>N.M.</v>
          </cell>
          <cell r="AB168" t="str">
            <v>N.M.</v>
          </cell>
          <cell r="AC168" t="str">
            <v>N.M.</v>
          </cell>
          <cell r="AD168" t="str">
            <v>N.M.</v>
          </cell>
          <cell r="AE168" t="str">
            <v>N.M.</v>
          </cell>
          <cell r="AF168" t="str">
            <v>N.M.</v>
          </cell>
          <cell r="AG168" t="str">
            <v>N.M.</v>
          </cell>
          <cell r="AH168" t="str">
            <v>N.M.</v>
          </cell>
          <cell r="AI168" t="str">
            <v>N.M.</v>
          </cell>
          <cell r="AJ168" t="str">
            <v>N.M.</v>
          </cell>
          <cell r="AK168" t="str">
            <v>N.M.</v>
          </cell>
          <cell r="AL168" t="str">
            <v>N.M.</v>
          </cell>
          <cell r="AM168" t="str">
            <v>N.M.</v>
          </cell>
          <cell r="AN168" t="str">
            <v>N.M.</v>
          </cell>
          <cell r="AO168" t="str">
            <v>N.M.</v>
          </cell>
          <cell r="AP168" t="str">
            <v>N.M.</v>
          </cell>
          <cell r="AQ168" t="str">
            <v>N.M.</v>
          </cell>
          <cell r="AR168" t="str">
            <v>N.M.</v>
          </cell>
          <cell r="AS168" t="str">
            <v>N.M.</v>
          </cell>
          <cell r="AT168" t="str">
            <v>N.M.</v>
          </cell>
          <cell r="AU168" t="str">
            <v>N.M.</v>
          </cell>
          <cell r="AV168" t="str">
            <v>N.M.</v>
          </cell>
          <cell r="AW168">
            <v>-0.10773707312998859</v>
          </cell>
          <cell r="AX168">
            <v>0.17151494224682695</v>
          </cell>
          <cell r="AY168">
            <v>-0.25698863178203946</v>
          </cell>
          <cell r="AZ168">
            <v>3.0000000000000027E-2</v>
          </cell>
          <cell r="BA168">
            <v>3.0000000000000027E-2</v>
          </cell>
          <cell r="BK168">
            <v>6.1460215623309047</v>
          </cell>
          <cell r="BL168" t="e">
            <v>#VALUE!</v>
          </cell>
        </row>
        <row r="169">
          <cell r="A169" t="str">
            <v>Wynn Cotai</v>
          </cell>
          <cell r="D169" t="str">
            <v>N.M.</v>
          </cell>
          <cell r="E169" t="str">
            <v>N.M.</v>
          </cell>
          <cell r="F169" t="str">
            <v>N.M.</v>
          </cell>
          <cell r="G169" t="str">
            <v>N.M.</v>
          </cell>
          <cell r="H169" t="str">
            <v>N.M.</v>
          </cell>
          <cell r="I169" t="str">
            <v>N.M.</v>
          </cell>
          <cell r="J169" t="str">
            <v>N.M.</v>
          </cell>
          <cell r="K169" t="str">
            <v>N.M.</v>
          </cell>
          <cell r="L169" t="str">
            <v>N.M.</v>
          </cell>
          <cell r="M169" t="str">
            <v>N.M.</v>
          </cell>
          <cell r="N169" t="str">
            <v>N.M.</v>
          </cell>
          <cell r="O169" t="str">
            <v>N.M.</v>
          </cell>
          <cell r="P169" t="str">
            <v>N.M.</v>
          </cell>
          <cell r="Q169" t="str">
            <v>N.M.</v>
          </cell>
          <cell r="R169" t="str">
            <v>N.M.</v>
          </cell>
          <cell r="S169" t="str">
            <v>N.M.</v>
          </cell>
          <cell r="T169" t="str">
            <v>N.M.</v>
          </cell>
          <cell r="U169" t="str">
            <v>N.M.</v>
          </cell>
          <cell r="V169" t="str">
            <v>N.M.</v>
          </cell>
          <cell r="W169" t="str">
            <v>N.M.</v>
          </cell>
          <cell r="X169" t="str">
            <v>N.M.</v>
          </cell>
          <cell r="Y169" t="str">
            <v>N.M.</v>
          </cell>
          <cell r="Z169" t="str">
            <v>N.M.</v>
          </cell>
          <cell r="AA169" t="str">
            <v>N.M.</v>
          </cell>
          <cell r="AB169" t="str">
            <v>N.M.</v>
          </cell>
          <cell r="AC169" t="str">
            <v>N.M.</v>
          </cell>
          <cell r="AD169" t="str">
            <v>N.M.</v>
          </cell>
          <cell r="AE169" t="str">
            <v>N.M.</v>
          </cell>
          <cell r="AF169" t="str">
            <v>N.M.</v>
          </cell>
          <cell r="AG169" t="str">
            <v>N.M.</v>
          </cell>
          <cell r="AH169" t="str">
            <v>N.M.</v>
          </cell>
          <cell r="AI169" t="str">
            <v>N.M.</v>
          </cell>
          <cell r="AJ169" t="str">
            <v>N.M.</v>
          </cell>
          <cell r="AK169" t="str">
            <v>N.M.</v>
          </cell>
          <cell r="AL169" t="str">
            <v>N.M.</v>
          </cell>
          <cell r="AM169" t="str">
            <v>N.M.</v>
          </cell>
          <cell r="AN169" t="str">
            <v>N.M.</v>
          </cell>
          <cell r="AO169" t="str">
            <v>N.M.</v>
          </cell>
          <cell r="AP169" t="str">
            <v>N.M.</v>
          </cell>
          <cell r="AQ169" t="str">
            <v>N.M.</v>
          </cell>
          <cell r="AR169" t="str">
            <v>N.M.</v>
          </cell>
          <cell r="AS169" t="str">
            <v>N.M.</v>
          </cell>
          <cell r="AT169" t="str">
            <v>N.M.</v>
          </cell>
          <cell r="AU169" t="str">
            <v>N.M.</v>
          </cell>
          <cell r="AV169" t="str">
            <v>N.M.</v>
          </cell>
          <cell r="AW169" t="str">
            <v>N.M.</v>
          </cell>
          <cell r="AX169" t="str">
            <v>N.M.</v>
          </cell>
          <cell r="AY169" t="str">
            <v>N.M.</v>
          </cell>
          <cell r="AZ169">
            <v>3.0000000000000027E-2</v>
          </cell>
          <cell r="BA169">
            <v>3.0000000000000027E-2</v>
          </cell>
          <cell r="BK169" t="str">
            <v>N.M.</v>
          </cell>
          <cell r="BL169" t="e">
            <v>#VALUE!</v>
          </cell>
        </row>
        <row r="170">
          <cell r="A170" t="str">
            <v>Wynn Cotai #2</v>
          </cell>
          <cell r="D170" t="str">
            <v>N.M.</v>
          </cell>
          <cell r="E170" t="str">
            <v>N.M.</v>
          </cell>
          <cell r="F170" t="str">
            <v>N.M.</v>
          </cell>
          <cell r="G170" t="str">
            <v>N.M.</v>
          </cell>
          <cell r="H170" t="str">
            <v>N.M.</v>
          </cell>
          <cell r="I170" t="str">
            <v>N.M.</v>
          </cell>
          <cell r="J170" t="str">
            <v>N.M.</v>
          </cell>
          <cell r="K170" t="str">
            <v>N.M.</v>
          </cell>
          <cell r="L170" t="str">
            <v>N.M.</v>
          </cell>
          <cell r="M170" t="str">
            <v>N.M.</v>
          </cell>
          <cell r="N170" t="str">
            <v>N.M.</v>
          </cell>
          <cell r="O170" t="str">
            <v>N.M.</v>
          </cell>
          <cell r="P170" t="str">
            <v>N.M.</v>
          </cell>
          <cell r="Q170" t="str">
            <v>N.M.</v>
          </cell>
          <cell r="R170" t="str">
            <v>N.M.</v>
          </cell>
          <cell r="S170" t="str">
            <v>N.M.</v>
          </cell>
          <cell r="T170" t="str">
            <v>N.M.</v>
          </cell>
          <cell r="U170" t="str">
            <v>N.M.</v>
          </cell>
          <cell r="V170" t="str">
            <v>N.M.</v>
          </cell>
          <cell r="W170" t="str">
            <v>N.M.</v>
          </cell>
          <cell r="X170" t="str">
            <v>N.M.</v>
          </cell>
          <cell r="Y170" t="str">
            <v>N.M.</v>
          </cell>
          <cell r="Z170" t="str">
            <v>N.M.</v>
          </cell>
          <cell r="AA170" t="str">
            <v>N.M.</v>
          </cell>
          <cell r="AB170" t="str">
            <v>N.M.</v>
          </cell>
          <cell r="AC170" t="str">
            <v>N.M.</v>
          </cell>
          <cell r="AD170" t="str">
            <v>N.M.</v>
          </cell>
          <cell r="AE170" t="str">
            <v>N.M.</v>
          </cell>
          <cell r="AF170" t="str">
            <v>N.M.</v>
          </cell>
          <cell r="AG170" t="str">
            <v>N.M.</v>
          </cell>
          <cell r="AH170" t="str">
            <v>N.M.</v>
          </cell>
          <cell r="AI170" t="str">
            <v>N.M.</v>
          </cell>
          <cell r="AJ170" t="str">
            <v>N.M.</v>
          </cell>
          <cell r="AK170" t="str">
            <v>N.M.</v>
          </cell>
          <cell r="AL170" t="str">
            <v>N.M.</v>
          </cell>
          <cell r="AM170" t="str">
            <v>N.M.</v>
          </cell>
          <cell r="AN170" t="str">
            <v>N.M.</v>
          </cell>
          <cell r="AO170" t="str">
            <v>N.M.</v>
          </cell>
          <cell r="AP170" t="str">
            <v>N.M.</v>
          </cell>
          <cell r="AQ170" t="str">
            <v>N.M.</v>
          </cell>
          <cell r="AR170" t="str">
            <v>N.M.</v>
          </cell>
          <cell r="AS170" t="str">
            <v>N.M.</v>
          </cell>
          <cell r="AT170" t="str">
            <v>N.M.</v>
          </cell>
          <cell r="AU170" t="str">
            <v>N.M.</v>
          </cell>
          <cell r="AV170" t="str">
            <v>N.M.</v>
          </cell>
          <cell r="AW170" t="str">
            <v>N.M.</v>
          </cell>
          <cell r="AX170" t="str">
            <v>N.M.</v>
          </cell>
          <cell r="AY170" t="str">
            <v>N.M.</v>
          </cell>
          <cell r="AZ170">
            <v>3.0000000000000027E-2</v>
          </cell>
          <cell r="BA170">
            <v>3.0000000000000027E-2</v>
          </cell>
        </row>
        <row r="171">
          <cell r="A171" t="str">
            <v>MGM Macau</v>
          </cell>
          <cell r="D171" t="str">
            <v>N.M.</v>
          </cell>
          <cell r="E171" t="str">
            <v>N.M.</v>
          </cell>
          <cell r="F171" t="str">
            <v>N.M.</v>
          </cell>
          <cell r="G171" t="str">
            <v>N.M.</v>
          </cell>
          <cell r="H171" t="str">
            <v>N.M.</v>
          </cell>
          <cell r="I171" t="str">
            <v>N.M.</v>
          </cell>
          <cell r="J171" t="str">
            <v>N.M.</v>
          </cell>
          <cell r="K171" t="str">
            <v>N.M.</v>
          </cell>
          <cell r="L171" t="str">
            <v>N.M.</v>
          </cell>
          <cell r="M171" t="str">
            <v>N.M.</v>
          </cell>
          <cell r="N171" t="str">
            <v>N.M.</v>
          </cell>
          <cell r="O171" t="str">
            <v>N.M.</v>
          </cell>
          <cell r="P171" t="str">
            <v>N.M.</v>
          </cell>
          <cell r="Q171" t="str">
            <v>N.M.</v>
          </cell>
          <cell r="R171" t="str">
            <v>N.M.</v>
          </cell>
          <cell r="S171" t="str">
            <v>N.M.</v>
          </cell>
          <cell r="T171" t="str">
            <v>N.M.</v>
          </cell>
          <cell r="U171" t="str">
            <v>N.M.</v>
          </cell>
          <cell r="V171" t="str">
            <v>N.M.</v>
          </cell>
          <cell r="W171" t="str">
            <v>N.M.</v>
          </cell>
          <cell r="X171" t="str">
            <v>N.M.</v>
          </cell>
          <cell r="Y171" t="str">
            <v>N.M.</v>
          </cell>
          <cell r="Z171" t="str">
            <v>N.M.</v>
          </cell>
          <cell r="AA171" t="str">
            <v>N.M.</v>
          </cell>
          <cell r="AB171" t="str">
            <v>N.M.</v>
          </cell>
          <cell r="AC171" t="str">
            <v>N.M.</v>
          </cell>
          <cell r="AD171" t="str">
            <v>N.M.</v>
          </cell>
          <cell r="AE171" t="str">
            <v>N.M.</v>
          </cell>
          <cell r="AF171" t="str">
            <v>N.M.</v>
          </cell>
          <cell r="AG171" t="str">
            <v>N.M.</v>
          </cell>
          <cell r="AH171" t="str">
            <v>N.M.</v>
          </cell>
          <cell r="AI171" t="str">
            <v>N.M.</v>
          </cell>
          <cell r="AJ171" t="str">
            <v>N.M.</v>
          </cell>
          <cell r="AK171" t="str">
            <v>N.M.</v>
          </cell>
          <cell r="AL171" t="str">
            <v>N.M.</v>
          </cell>
          <cell r="AM171" t="str">
            <v>N.M.</v>
          </cell>
          <cell r="AN171" t="str">
            <v>N.M.</v>
          </cell>
          <cell r="AO171" t="str">
            <v>N.M.</v>
          </cell>
          <cell r="AP171" t="str">
            <v>N.M.</v>
          </cell>
          <cell r="AQ171" t="str">
            <v>N.M.</v>
          </cell>
          <cell r="AR171" t="str">
            <v>N.M.</v>
          </cell>
          <cell r="AS171" t="str">
            <v>N.M.</v>
          </cell>
          <cell r="AT171" t="str">
            <v>N.M.</v>
          </cell>
          <cell r="AU171" t="str">
            <v>N.M.</v>
          </cell>
          <cell r="AV171" t="str">
            <v>N.M.</v>
          </cell>
          <cell r="AW171">
            <v>6.1473526766945854</v>
          </cell>
          <cell r="AX171">
            <v>-5.7777777777777706E-2</v>
          </cell>
          <cell r="AY171">
            <v>4.0000000000000036E-2</v>
          </cell>
          <cell r="AZ171">
            <v>-3.4375000000000044E-2</v>
          </cell>
          <cell r="BA171">
            <v>3.0000000000000027E-2</v>
          </cell>
          <cell r="BK171" t="str">
            <v>N.M.</v>
          </cell>
          <cell r="BL171" t="e">
            <v>#VALUE!</v>
          </cell>
        </row>
        <row r="172">
          <cell r="A172" t="str">
            <v>MGM Cotai #1</v>
          </cell>
          <cell r="D172" t="str">
            <v>N.M.</v>
          </cell>
          <cell r="E172" t="str">
            <v>N.M.</v>
          </cell>
          <cell r="F172" t="str">
            <v>N.M.</v>
          </cell>
          <cell r="G172" t="str">
            <v>N.M.</v>
          </cell>
          <cell r="H172" t="str">
            <v>N.M.</v>
          </cell>
          <cell r="I172" t="str">
            <v>N.M.</v>
          </cell>
          <cell r="J172" t="str">
            <v>N.M.</v>
          </cell>
          <cell r="K172" t="str">
            <v>N.M.</v>
          </cell>
          <cell r="L172" t="str">
            <v>N.M.</v>
          </cell>
          <cell r="M172" t="str">
            <v>N.M.</v>
          </cell>
          <cell r="N172" t="str">
            <v>N.M.</v>
          </cell>
          <cell r="O172" t="str">
            <v>N.M.</v>
          </cell>
          <cell r="P172" t="str">
            <v>N.M.</v>
          </cell>
          <cell r="Q172" t="str">
            <v>N.M.</v>
          </cell>
          <cell r="R172" t="str">
            <v>N.M.</v>
          </cell>
          <cell r="S172" t="str">
            <v>N.M.</v>
          </cell>
          <cell r="T172" t="str">
            <v>N.M.</v>
          </cell>
          <cell r="U172" t="str">
            <v>N.M.</v>
          </cell>
          <cell r="V172" t="str">
            <v>N.M.</v>
          </cell>
          <cell r="W172" t="str">
            <v>N.M.</v>
          </cell>
          <cell r="X172" t="str">
            <v>N.M.</v>
          </cell>
          <cell r="Y172" t="str">
            <v>N.M.</v>
          </cell>
          <cell r="Z172" t="str">
            <v>N.M.</v>
          </cell>
          <cell r="AA172" t="str">
            <v>N.M.</v>
          </cell>
          <cell r="AB172" t="str">
            <v>N.M.</v>
          </cell>
          <cell r="AC172" t="str">
            <v>N.M.</v>
          </cell>
          <cell r="AD172" t="str">
            <v>N.M.</v>
          </cell>
          <cell r="AE172" t="str">
            <v>N.M.</v>
          </cell>
          <cell r="AF172" t="str">
            <v>N.M.</v>
          </cell>
          <cell r="AG172" t="str">
            <v>N.M.</v>
          </cell>
          <cell r="AH172" t="str">
            <v>N.M.</v>
          </cell>
          <cell r="AI172" t="str">
            <v>N.M.</v>
          </cell>
          <cell r="AJ172" t="str">
            <v>N.M.</v>
          </cell>
          <cell r="AK172" t="str">
            <v>N.M.</v>
          </cell>
          <cell r="AL172" t="str">
            <v>N.M.</v>
          </cell>
          <cell r="AM172" t="str">
            <v>N.M.</v>
          </cell>
          <cell r="AN172" t="str">
            <v>N.M.</v>
          </cell>
          <cell r="AO172" t="str">
            <v>N.M.</v>
          </cell>
          <cell r="AP172" t="str">
            <v>N.M.</v>
          </cell>
          <cell r="AQ172" t="str">
            <v>N.M.</v>
          </cell>
          <cell r="AR172" t="str">
            <v>N.M.</v>
          </cell>
          <cell r="AS172" t="str">
            <v>N.M.</v>
          </cell>
          <cell r="AT172" t="str">
            <v>N.M.</v>
          </cell>
          <cell r="AU172" t="str">
            <v>N.M.</v>
          </cell>
          <cell r="AV172" t="str">
            <v>N.M.</v>
          </cell>
          <cell r="AW172" t="str">
            <v>N.M.</v>
          </cell>
          <cell r="AX172" t="str">
            <v>N.M.</v>
          </cell>
          <cell r="AY172" t="str">
            <v>N.M.</v>
          </cell>
          <cell r="AZ172" t="str">
            <v>N.M.</v>
          </cell>
          <cell r="BA172">
            <v>3.0000000000000027E-2</v>
          </cell>
        </row>
        <row r="173">
          <cell r="A173" t="str">
            <v>Other</v>
          </cell>
          <cell r="D173">
            <v>0.18539911279643562</v>
          </cell>
          <cell r="E173">
            <v>-4.4825780687432371E-2</v>
          </cell>
          <cell r="F173">
            <v>0.17711706635990065</v>
          </cell>
          <cell r="G173">
            <v>-0.2537507627950838</v>
          </cell>
          <cell r="H173">
            <v>-7.114149546048254E-2</v>
          </cell>
          <cell r="I173" t="str">
            <v>N.M.</v>
          </cell>
          <cell r="J173" t="str">
            <v>N.M.</v>
          </cell>
          <cell r="K173" t="str">
            <v>N.M.</v>
          </cell>
          <cell r="L173" t="str">
            <v>N.M.</v>
          </cell>
          <cell r="M173">
            <v>0.26153790134879418</v>
          </cell>
          <cell r="N173">
            <v>8.2823864006928094E-2</v>
          </cell>
          <cell r="O173">
            <v>0.22261680555069607</v>
          </cell>
          <cell r="P173">
            <v>0.14563429538218697</v>
          </cell>
          <cell r="Q173">
            <v>0.26924774317488609</v>
          </cell>
          <cell r="R173">
            <v>0.17698103985269698</v>
          </cell>
          <cell r="S173">
            <v>0.16170935966983913</v>
          </cell>
          <cell r="T173">
            <v>0.24730010577095163</v>
          </cell>
          <cell r="U173">
            <v>0.23336540917488624</v>
          </cell>
          <cell r="V173">
            <v>0.34602490818918041</v>
          </cell>
          <cell r="W173">
            <v>0.24842263078448967</v>
          </cell>
          <cell r="X173">
            <v>0.43969993246779859</v>
          </cell>
          <cell r="Y173">
            <v>1.723272941456333E-2</v>
          </cell>
          <cell r="Z173">
            <v>0.49411560760458162</v>
          </cell>
          <cell r="AA173">
            <v>0.46546693735069167</v>
          </cell>
          <cell r="AB173">
            <v>0.35539834282142757</v>
          </cell>
          <cell r="AC173">
            <v>0.31822186062360713</v>
          </cell>
          <cell r="AD173">
            <v>0.65138968326619362</v>
          </cell>
          <cell r="AE173">
            <v>0.29777977575015679</v>
          </cell>
          <cell r="AF173">
            <v>0.19180809778346664</v>
          </cell>
          <cell r="AG173">
            <v>0.3367956097761271</v>
          </cell>
          <cell r="AH173">
            <v>1.9298243353618183E-3</v>
          </cell>
          <cell r="AI173">
            <v>5.6716361984129327E-2</v>
          </cell>
          <cell r="AJ173">
            <v>-0.16364144913627643</v>
          </cell>
          <cell r="AK173">
            <v>-0.23935179643307225</v>
          </cell>
          <cell r="AL173">
            <v>-9.3925756053888643E-2</v>
          </cell>
          <cell r="AM173">
            <v>3.2060202878623878E-2</v>
          </cell>
          <cell r="AN173">
            <v>1.2340463807185564E-2</v>
          </cell>
          <cell r="AO173">
            <v>0.16640149026613793</v>
          </cell>
          <cell r="AP173">
            <v>0.39966294074359054</v>
          </cell>
          <cell r="AQ173">
            <v>0.14223637697515068</v>
          </cell>
          <cell r="AR173">
            <v>0.21745196122160904</v>
          </cell>
          <cell r="AS173">
            <v>0.1454712150844879</v>
          </cell>
          <cell r="AT173">
            <v>-1.5962233338930876E-2</v>
          </cell>
          <cell r="AU173">
            <v>-6.5038188442937295E-2</v>
          </cell>
          <cell r="AV173">
            <v>6.4214785927919849E-2</v>
          </cell>
          <cell r="AW173">
            <v>-0.1000647493489415</v>
          </cell>
          <cell r="AX173">
            <v>-5.7697988705263104E-4</v>
          </cell>
          <cell r="AY173">
            <v>-2.3036429834701111E-2</v>
          </cell>
          <cell r="AZ173">
            <v>6.8007836044658987E-4</v>
          </cell>
          <cell r="BA173">
            <v>3.0000000000000027E-2</v>
          </cell>
          <cell r="BK173">
            <v>2.3858452439018407E-3</v>
          </cell>
          <cell r="BL173">
            <v>6.1828940684018008E-2</v>
          </cell>
        </row>
        <row r="174">
          <cell r="B174" t="str">
            <v>______</v>
          </cell>
          <cell r="C174" t="str">
            <v>______</v>
          </cell>
          <cell r="D174" t="str">
            <v>______</v>
          </cell>
          <cell r="E174" t="str">
            <v>______</v>
          </cell>
          <cell r="F174" t="str">
            <v>______</v>
          </cell>
          <cell r="G174" t="str">
            <v>______</v>
          </cell>
          <cell r="H174" t="str">
            <v>______</v>
          </cell>
          <cell r="I174" t="str">
            <v>______</v>
          </cell>
          <cell r="J174" t="str">
            <v>______</v>
          </cell>
          <cell r="K174" t="str">
            <v>______</v>
          </cell>
          <cell r="L174" t="str">
            <v>______</v>
          </cell>
          <cell r="M174" t="str">
            <v>______</v>
          </cell>
          <cell r="N174" t="str">
            <v>______</v>
          </cell>
          <cell r="O174" t="str">
            <v>______</v>
          </cell>
          <cell r="P174" t="str">
            <v>______</v>
          </cell>
          <cell r="Q174" t="str">
            <v>______</v>
          </cell>
          <cell r="R174" t="str">
            <v>______</v>
          </cell>
          <cell r="S174" t="str">
            <v>______</v>
          </cell>
          <cell r="T174" t="str">
            <v>______</v>
          </cell>
          <cell r="U174" t="str">
            <v>______</v>
          </cell>
          <cell r="V174" t="str">
            <v>______</v>
          </cell>
          <cell r="W174" t="str">
            <v>______</v>
          </cell>
          <cell r="X174" t="str">
            <v>______</v>
          </cell>
          <cell r="Y174" t="str">
            <v>______</v>
          </cell>
          <cell r="Z174" t="str">
            <v>______</v>
          </cell>
          <cell r="AA174" t="str">
            <v>______</v>
          </cell>
          <cell r="AB174" t="str">
            <v>______</v>
          </cell>
          <cell r="AC174" t="str">
            <v>______</v>
          </cell>
          <cell r="AD174" t="str">
            <v>______</v>
          </cell>
          <cell r="AE174" t="str">
            <v>______</v>
          </cell>
          <cell r="AF174" t="str">
            <v>______</v>
          </cell>
          <cell r="AG174" t="str">
            <v>______</v>
          </cell>
          <cell r="AH174" t="str">
            <v>______</v>
          </cell>
          <cell r="AI174" t="str">
            <v>______</v>
          </cell>
          <cell r="AJ174" t="str">
            <v>______</v>
          </cell>
          <cell r="AK174" t="str">
            <v>______</v>
          </cell>
          <cell r="AL174" t="str">
            <v>______</v>
          </cell>
          <cell r="AM174" t="str">
            <v>______</v>
          </cell>
          <cell r="AN174" t="str">
            <v>______</v>
          </cell>
          <cell r="AO174" t="str">
            <v>______</v>
          </cell>
          <cell r="AP174" t="str">
            <v>______</v>
          </cell>
          <cell r="AQ174" t="str">
            <v>______</v>
          </cell>
          <cell r="AR174" t="str">
            <v>______</v>
          </cell>
          <cell r="AS174" t="str">
            <v>______</v>
          </cell>
          <cell r="AT174" t="str">
            <v>______</v>
          </cell>
          <cell r="AU174" t="str">
            <v>______</v>
          </cell>
          <cell r="AV174" t="str">
            <v>______</v>
          </cell>
          <cell r="AW174" t="str">
            <v>______</v>
          </cell>
          <cell r="AX174" t="str">
            <v>______</v>
          </cell>
          <cell r="AY174" t="str">
            <v>______</v>
          </cell>
          <cell r="AZ174" t="str">
            <v>______</v>
          </cell>
          <cell r="BA174" t="str">
            <v>______</v>
          </cell>
          <cell r="BK174" t="str">
            <v>______</v>
          </cell>
          <cell r="BL174" t="e">
            <v>#VALUE!</v>
          </cell>
        </row>
        <row r="175">
          <cell r="A175" t="str">
            <v>Total VIP</v>
          </cell>
          <cell r="D175">
            <v>0.18539911279643562</v>
          </cell>
          <cell r="E175">
            <v>-4.4825780687432371E-2</v>
          </cell>
          <cell r="F175">
            <v>0.17711706635990065</v>
          </cell>
          <cell r="G175">
            <v>-0.2537507627950838</v>
          </cell>
          <cell r="H175">
            <v>-7.114149546048254E-2</v>
          </cell>
          <cell r="I175" t="str">
            <v>N.M.</v>
          </cell>
          <cell r="J175" t="str">
            <v>N.M.</v>
          </cell>
          <cell r="K175" t="str">
            <v>N.M.</v>
          </cell>
          <cell r="L175" t="str">
            <v>N.M.</v>
          </cell>
          <cell r="M175">
            <v>0.26153790134879418</v>
          </cell>
          <cell r="N175">
            <v>8.2823864006928094E-2</v>
          </cell>
          <cell r="O175">
            <v>0.22261680555069607</v>
          </cell>
          <cell r="P175">
            <v>0.14563429538218697</v>
          </cell>
          <cell r="Q175">
            <v>0.26924774317488609</v>
          </cell>
          <cell r="R175">
            <v>0.17698103985269698</v>
          </cell>
          <cell r="S175">
            <v>0.16170935966983913</v>
          </cell>
          <cell r="T175">
            <v>0.24730010577095163</v>
          </cell>
          <cell r="U175">
            <v>0.23336540917488624</v>
          </cell>
          <cell r="V175">
            <v>0.34602490818918041</v>
          </cell>
          <cell r="W175">
            <v>0.24842263078448967</v>
          </cell>
          <cell r="X175">
            <v>0.43969993246779859</v>
          </cell>
          <cell r="Y175">
            <v>1.723272941456333E-2</v>
          </cell>
          <cell r="Z175">
            <v>0.49411560760458162</v>
          </cell>
          <cell r="AA175">
            <v>0.46546693735069167</v>
          </cell>
          <cell r="AB175">
            <v>0.35539834282142757</v>
          </cell>
          <cell r="AC175">
            <v>0.31822186062360713</v>
          </cell>
          <cell r="AD175">
            <v>0.65138968326619362</v>
          </cell>
          <cell r="AE175">
            <v>0.29976490958524837</v>
          </cell>
          <cell r="AF175">
            <v>0.20556281508449858</v>
          </cell>
          <cell r="AG175">
            <v>0.34146712387319189</v>
          </cell>
          <cell r="AH175">
            <v>2.3026795277865775E-2</v>
          </cell>
          <cell r="AI175">
            <v>0.11931747704831985</v>
          </cell>
          <cell r="AJ175">
            <v>-8.4491033980188424E-2</v>
          </cell>
          <cell r="AK175">
            <v>-0.15096406469901003</v>
          </cell>
          <cell r="AL175">
            <v>-3.0265576652145021E-2</v>
          </cell>
          <cell r="AM175">
            <v>0.11693036673460355</v>
          </cell>
          <cell r="AN175">
            <v>9.3658785252695331E-2</v>
          </cell>
          <cell r="AO175">
            <v>0.2644323230401906</v>
          </cell>
          <cell r="AP175">
            <v>0.65930104126189826</v>
          </cell>
          <cell r="AQ175">
            <v>0.2757294440254523</v>
          </cell>
          <cell r="AR175">
            <v>0.48884450499984688</v>
          </cell>
          <cell r="AS175">
            <v>0.30000000000000004</v>
          </cell>
          <cell r="AT175">
            <v>0.14999999999999991</v>
          </cell>
          <cell r="AU175">
            <v>0.10000000000000009</v>
          </cell>
          <cell r="AV175">
            <v>0.24260469341596025</v>
          </cell>
          <cell r="AW175">
            <v>8.0000000000000293E-2</v>
          </cell>
          <cell r="AX175">
            <v>6.0000000000000053E-2</v>
          </cell>
          <cell r="AY175">
            <v>4.0000000000000036E-2</v>
          </cell>
          <cell r="AZ175">
            <v>3.0000000000000027E-2</v>
          </cell>
          <cell r="BA175">
            <v>3.0000000000000027E-2</v>
          </cell>
          <cell r="BK175">
            <v>0.1</v>
          </cell>
          <cell r="BL175">
            <v>0.14260469341596024</v>
          </cell>
        </row>
        <row r="176">
          <cell r="BL176">
            <v>0</v>
          </cell>
        </row>
        <row r="177">
          <cell r="A177" t="str">
            <v>Mass Market Casino Revenue</v>
          </cell>
          <cell r="BL177">
            <v>0</v>
          </cell>
        </row>
        <row r="178">
          <cell r="A178" t="str">
            <v>Sands Macao</v>
          </cell>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57.6</v>
          </cell>
          <cell r="AE178">
            <v>161.45427947878929</v>
          </cell>
          <cell r="AF178">
            <v>159.43351093841301</v>
          </cell>
          <cell r="AG178">
            <v>378.48779041720229</v>
          </cell>
          <cell r="AH178">
            <v>159.43683999999999</v>
          </cell>
          <cell r="AI178">
            <v>168.69997400000003</v>
          </cell>
          <cell r="AJ178">
            <v>187.61291200000002</v>
          </cell>
          <cell r="AK178">
            <v>205.48660799999999</v>
          </cell>
          <cell r="AL178">
            <v>721.23633399999994</v>
          </cell>
          <cell r="AM178">
            <v>216.42468</v>
          </cell>
          <cell r="AN178">
            <v>213.556915</v>
          </cell>
          <cell r="AO178">
            <v>214.49235999999999</v>
          </cell>
          <cell r="AP178">
            <v>211.08191600000001</v>
          </cell>
          <cell r="AQ178">
            <v>855.55587099999991</v>
          </cell>
          <cell r="AR178">
            <v>229.15605269639022</v>
          </cell>
          <cell r="AS178">
            <v>189.08410955798803</v>
          </cell>
          <cell r="AT178">
            <v>164.57290321828026</v>
          </cell>
          <cell r="AU178">
            <v>141.33669099233745</v>
          </cell>
          <cell r="AV178">
            <v>724.14975646499602</v>
          </cell>
          <cell r="AW178">
            <v>654.28465076227974</v>
          </cell>
          <cell r="AX178">
            <v>566.04384286561344</v>
          </cell>
          <cell r="AY178">
            <v>562.04743001083773</v>
          </cell>
          <cell r="AZ178">
            <v>527.14601078104374</v>
          </cell>
          <cell r="BA178">
            <v>592.46546112039437</v>
          </cell>
          <cell r="BK178">
            <v>769.71944991091209</v>
          </cell>
          <cell r="BL178">
            <v>-45.569693445916073</v>
          </cell>
          <cell r="BN178" t="str">
            <v>gt:lvs:sandsMacao:casinoRev</v>
          </cell>
        </row>
        <row r="179">
          <cell r="A179" t="str">
            <v>Venetian Macao</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150.2592351407414</v>
          </cell>
          <cell r="AU179">
            <v>157.28352617609249</v>
          </cell>
          <cell r="AV179">
            <v>307.54276131683389</v>
          </cell>
          <cell r="AW179">
            <v>701.80469855375372</v>
          </cell>
          <cell r="AX179">
            <v>636.06719309686355</v>
          </cell>
          <cell r="AY179">
            <v>631.57639765931481</v>
          </cell>
          <cell r="AZ179">
            <v>815.6904737011788</v>
          </cell>
          <cell r="BA179">
            <v>916.76389984787909</v>
          </cell>
          <cell r="BK179">
            <v>444.6776490060862</v>
          </cell>
          <cell r="BL179">
            <v>-137.13488768925231</v>
          </cell>
          <cell r="BN179" t="str">
            <v>gt:lvs:venetianMacao:casinoRev</v>
          </cell>
        </row>
        <row r="180">
          <cell r="A180" t="str">
            <v>Cotai Site 2 - Four Seasons (LVS)</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106.72606014872754</v>
          </cell>
          <cell r="AX180">
            <v>92.332334481802775</v>
          </cell>
          <cell r="AY180">
            <v>91.680444821513461</v>
          </cell>
          <cell r="AZ180">
            <v>89.725952107129672</v>
          </cell>
          <cell r="BA180">
            <v>100.84402898326672</v>
          </cell>
          <cell r="BK180">
            <v>0</v>
          </cell>
          <cell r="BL180">
            <v>0</v>
          </cell>
        </row>
        <row r="181">
          <cell r="A181" t="str">
            <v>Cotai Site 3 - Far East (LVS)</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98.433418873066657</v>
          </cell>
          <cell r="AY181">
            <v>195.47690802432118</v>
          </cell>
          <cell r="AZ181">
            <v>202.56313430245939</v>
          </cell>
          <cell r="BA181">
            <v>227.66303512888999</v>
          </cell>
          <cell r="BK181">
            <v>0</v>
          </cell>
          <cell r="BL181">
            <v>0</v>
          </cell>
        </row>
        <row r="182">
          <cell r="A182" t="str">
            <v>Cotai Site 5 - Shangri-La/St.Regis/Traders (LVS)</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121.27961380537219</v>
          </cell>
          <cell r="AX182">
            <v>233.16246081263324</v>
          </cell>
          <cell r="AY182">
            <v>208.36464732162145</v>
          </cell>
          <cell r="AZ182">
            <v>203.9226184252947</v>
          </cell>
          <cell r="BA182">
            <v>229.19097496196977</v>
          </cell>
          <cell r="BK182">
            <v>0</v>
          </cell>
          <cell r="BL182">
            <v>0</v>
          </cell>
        </row>
        <row r="183">
          <cell r="A183" t="str">
            <v>Cotai Site 6 - Starwood (LVS)</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121.27961380537219</v>
          </cell>
          <cell r="AX183">
            <v>233.16246081263324</v>
          </cell>
          <cell r="AY183">
            <v>208.36464732162145</v>
          </cell>
          <cell r="AZ183">
            <v>203.9226184252947</v>
          </cell>
          <cell r="BA183">
            <v>229.19097496196977</v>
          </cell>
          <cell r="BK183">
            <v>0</v>
          </cell>
          <cell r="BL183">
            <v>0</v>
          </cell>
        </row>
        <row r="184">
          <cell r="A184" t="str">
            <v>Cotai Site 7 - Hilton (LVS)</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104.92310736568496</v>
          </cell>
          <cell r="AY184">
            <v>231.51627480180159</v>
          </cell>
          <cell r="AZ184">
            <v>203.9226184252947</v>
          </cell>
          <cell r="BA184">
            <v>229.19097496196977</v>
          </cell>
          <cell r="BK184">
            <v>0</v>
          </cell>
          <cell r="BL184">
            <v>0</v>
          </cell>
        </row>
        <row r="185">
          <cell r="A185" t="str">
            <v>Cotai Site 8 - FHR/Raffles (LVS)</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104.92310736568496</v>
          </cell>
          <cell r="AY185">
            <v>231.51627480180159</v>
          </cell>
          <cell r="AZ185">
            <v>203.9226184252947</v>
          </cell>
          <cell r="BA185">
            <v>229.19097496196977</v>
          </cell>
          <cell r="BK185">
            <v>0</v>
          </cell>
          <cell r="BL185">
            <v>0</v>
          </cell>
        </row>
        <row r="186">
          <cell r="A186" t="str">
            <v>Wynn Macau</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24.603640000000002</v>
          </cell>
          <cell r="AP186">
            <v>103.98989599999999</v>
          </cell>
          <cell r="AQ186">
            <v>128.593536</v>
          </cell>
          <cell r="AR186">
            <v>131.21534834732279</v>
          </cell>
          <cell r="AS186">
            <v>110.69248952644686</v>
          </cell>
          <cell r="AT186">
            <v>146.57266675405845</v>
          </cell>
          <cell r="AU186">
            <v>141.70468261378372</v>
          </cell>
          <cell r="AV186">
            <v>530.18518724161186</v>
          </cell>
          <cell r="AW186">
            <v>572.1522995582626</v>
          </cell>
          <cell r="AX186">
            <v>552.30280184172238</v>
          </cell>
          <cell r="AY186">
            <v>553.57702123675585</v>
          </cell>
          <cell r="AZ186">
            <v>556.96553974647895</v>
          </cell>
          <cell r="BA186">
            <v>625.97997250353694</v>
          </cell>
          <cell r="BK186">
            <v>600.14488565541137</v>
          </cell>
          <cell r="BL186">
            <v>-69.959698413799515</v>
          </cell>
        </row>
        <row r="187">
          <cell r="A187" t="str">
            <v>Wynn Cotai</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370.42603968288262</v>
          </cell>
          <cell r="AZ187">
            <v>380.65555439388345</v>
          </cell>
          <cell r="BA187">
            <v>427.82315326234357</v>
          </cell>
          <cell r="BK187">
            <v>0</v>
          </cell>
          <cell r="BL187">
            <v>0</v>
          </cell>
        </row>
        <row r="188">
          <cell r="A188" t="str">
            <v>Wynn Cotai #2</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370.42603968288262</v>
          </cell>
          <cell r="AZ188">
            <v>380.65555439388345</v>
          </cell>
          <cell r="BA188">
            <v>427.82315326234357</v>
          </cell>
        </row>
        <row r="189">
          <cell r="A189" t="str">
            <v>MGM Grand</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82.165392503367684</v>
          </cell>
          <cell r="AV189">
            <v>82.165392503367684</v>
          </cell>
          <cell r="AW189">
            <v>457.75777434699677</v>
          </cell>
          <cell r="AX189">
            <v>440.0241960456014</v>
          </cell>
          <cell r="AY189">
            <v>436.91751380596003</v>
          </cell>
          <cell r="AZ189">
            <v>427.60307276912903</v>
          </cell>
          <cell r="BA189">
            <v>480.58800883136593</v>
          </cell>
          <cell r="BK189">
            <v>140.92316195094151</v>
          </cell>
          <cell r="BL189">
            <v>-58.757769447573821</v>
          </cell>
        </row>
        <row r="190">
          <cell r="A190" t="str">
            <v>MGM Cotai</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348.93425819439318</v>
          </cell>
          <cell r="BA190">
            <v>392.17122382381496</v>
          </cell>
        </row>
        <row r="191">
          <cell r="A191" t="str">
            <v>Crown Macau - PBL/Melco</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14.573533573191717</v>
          </cell>
          <cell r="AT191">
            <v>19.545427824991378</v>
          </cell>
          <cell r="AU191">
            <v>19.43617718906086</v>
          </cell>
          <cell r="AV191">
            <v>53.55513858724396</v>
          </cell>
          <cell r="AW191">
            <v>66.479195715537344</v>
          </cell>
          <cell r="AX191">
            <v>63.264747700494489</v>
          </cell>
          <cell r="AY191">
            <v>62.818082562888847</v>
          </cell>
          <cell r="AZ191">
            <v>67.067883393208035</v>
          </cell>
          <cell r="BA191">
            <v>75.378365098603396</v>
          </cell>
          <cell r="BK191">
            <v>50.982150841462108</v>
          </cell>
          <cell r="BL191">
            <v>2.5729877457818517</v>
          </cell>
        </row>
        <row r="192">
          <cell r="A192" t="str">
            <v>Penninsula Project - PBL/Melco ("Trinity")</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67.617113635663628</v>
          </cell>
          <cell r="AY192">
            <v>171.32204335333321</v>
          </cell>
          <cell r="AZ192">
            <v>167.66970848302009</v>
          </cell>
          <cell r="BA192">
            <v>188.44591274650847</v>
          </cell>
          <cell r="BK192">
            <v>0</v>
          </cell>
          <cell r="BL192">
            <v>0</v>
          </cell>
        </row>
        <row r="193">
          <cell r="A193" t="str">
            <v>City of Dreams - PBL/Melco</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326.42744513768656</v>
          </cell>
          <cell r="AY193">
            <v>324.12278472252228</v>
          </cell>
          <cell r="AZ193">
            <v>317.21296199490286</v>
          </cell>
          <cell r="BA193">
            <v>356.51929438528634</v>
          </cell>
          <cell r="BK193">
            <v>0</v>
          </cell>
          <cell r="BL193">
            <v>0</v>
          </cell>
        </row>
        <row r="194">
          <cell r="A194" t="str">
            <v>Galaxy Cotai Mega Resort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140.50467851229786</v>
          </cell>
          <cell r="AX194">
            <v>243.11072580730558</v>
          </cell>
          <cell r="AY194">
            <v>236.14660029783764</v>
          </cell>
          <cell r="AZ194">
            <v>231.11230088200062</v>
          </cell>
          <cell r="BA194">
            <v>259.74977162356578</v>
          </cell>
          <cell r="BK194">
            <v>0</v>
          </cell>
          <cell r="BL194">
            <v>0</v>
          </cell>
        </row>
        <row r="195">
          <cell r="A195" t="str">
            <v>Galaxy StarWorld</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46.075357202572775</v>
          </cell>
          <cell r="AQ195">
            <v>46.075357202572775</v>
          </cell>
          <cell r="AR195">
            <v>68.515564811678161</v>
          </cell>
          <cell r="AS195">
            <v>52.531983326135695</v>
          </cell>
          <cell r="AT195">
            <v>49.104128674170653</v>
          </cell>
          <cell r="AU195">
            <v>48.829657461132896</v>
          </cell>
          <cell r="AV195">
            <v>218.9813342731174</v>
          </cell>
          <cell r="AW195">
            <v>217.83615374464185</v>
          </cell>
          <cell r="AX195">
            <v>201.9186910637404</v>
          </cell>
          <cell r="AY195">
            <v>200.49309397836021</v>
          </cell>
          <cell r="AZ195">
            <v>196.21887506256132</v>
          </cell>
          <cell r="BA195">
            <v>220.53264924118423</v>
          </cell>
          <cell r="BK195">
            <v>279.91013510659275</v>
          </cell>
          <cell r="BL195">
            <v>-60.92880083347535</v>
          </cell>
        </row>
        <row r="196">
          <cell r="A196" t="str">
            <v>Galaxy City Clubs</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15.584662049969774</v>
          </cell>
          <cell r="AN196">
            <v>48.370736851855163</v>
          </cell>
          <cell r="AO196">
            <v>48.588518956769327</v>
          </cell>
          <cell r="AP196">
            <v>47.983051173170118</v>
          </cell>
          <cell r="AQ196">
            <v>160.52696903176437</v>
          </cell>
          <cell r="AR196">
            <v>43.804927774902964</v>
          </cell>
          <cell r="AS196">
            <v>33.585941264568824</v>
          </cell>
          <cell r="AT196">
            <v>27.299449858536679</v>
          </cell>
          <cell r="AU196">
            <v>27.146857534423667</v>
          </cell>
          <cell r="AV196">
            <v>131.83717643243213</v>
          </cell>
          <cell r="AW196">
            <v>99.880499725046533</v>
          </cell>
          <cell r="AX196">
            <v>86.410007977161868</v>
          </cell>
          <cell r="AY196">
            <v>85.79993144154767</v>
          </cell>
          <cell r="AZ196">
            <v>83.970802653793569</v>
          </cell>
          <cell r="BA196">
            <v>94.375750356562207</v>
          </cell>
          <cell r="BK196">
            <v>169.71164959442979</v>
          </cell>
          <cell r="BL196">
            <v>-37.874473161997656</v>
          </cell>
        </row>
        <row r="197">
          <cell r="A197" t="str">
            <v>Macau Studio City</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267.67050501290294</v>
          </cell>
          <cell r="AY197">
            <v>265.78068347246824</v>
          </cell>
          <cell r="AZ197">
            <v>421.89323945322076</v>
          </cell>
          <cell r="BA197">
            <v>474.17066153243076</v>
          </cell>
          <cell r="BK197">
            <v>169.71164959442979</v>
          </cell>
          <cell r="BL197">
            <v>-169.71164959442979</v>
          </cell>
        </row>
        <row r="198">
          <cell r="A198" t="str">
            <v>New SJM</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2.5627961534465076</v>
          </cell>
          <cell r="AQ198">
            <v>2.5627961534465076</v>
          </cell>
          <cell r="AR198">
            <v>64.696472722730164</v>
          </cell>
          <cell r="AS198">
            <v>59.009358478897354</v>
          </cell>
          <cell r="AT198">
            <v>77.11723723072754</v>
          </cell>
          <cell r="AU198">
            <v>99.408371523874223</v>
          </cell>
          <cell r="AV198">
            <v>300.23143995622928</v>
          </cell>
          <cell r="AW198">
            <v>392.07273551000719</v>
          </cell>
          <cell r="AX198">
            <v>646.96986976446226</v>
          </cell>
          <cell r="AY198">
            <v>734.08254349056051</v>
          </cell>
          <cell r="AZ198">
            <v>1017.5194865773074</v>
          </cell>
          <cell r="BA198">
            <v>1207.1352834372897</v>
          </cell>
          <cell r="BK198">
            <v>520.92428793120621</v>
          </cell>
          <cell r="BL198">
            <v>-220.69284797497693</v>
          </cell>
        </row>
        <row r="199">
          <cell r="A199" t="str">
            <v>Old SJM</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340.48443981418973</v>
          </cell>
          <cell r="AN199">
            <v>309.08591569865285</v>
          </cell>
          <cell r="AO199">
            <v>299.05512605404181</v>
          </cell>
          <cell r="AP199">
            <v>268.1871050337221</v>
          </cell>
          <cell r="AQ199">
            <v>1216.8125866006064</v>
          </cell>
          <cell r="AR199">
            <v>236.68973460745829</v>
          </cell>
          <cell r="AS199">
            <v>208.00939838784359</v>
          </cell>
          <cell r="AT199">
            <v>194.05555484876777</v>
          </cell>
          <cell r="AU199">
            <v>179.04220447629757</v>
          </cell>
          <cell r="AV199">
            <v>817.79689232036719</v>
          </cell>
          <cell r="AW199">
            <v>334.98504770091671</v>
          </cell>
          <cell r="AX199">
            <v>182.76204075559838</v>
          </cell>
          <cell r="AY199">
            <v>163.44892419951725</v>
          </cell>
          <cell r="AZ199">
            <v>197.82908658731301</v>
          </cell>
          <cell r="BA199">
            <v>179.1814796207598</v>
          </cell>
          <cell r="BK199">
            <v>956.76057293187182</v>
          </cell>
          <cell r="BL199">
            <v>-138.96368061150463</v>
          </cell>
        </row>
        <row r="200">
          <cell r="A200" t="str">
            <v>Other Mass Market</v>
          </cell>
          <cell r="C200">
            <v>774.18348351978238</v>
          </cell>
          <cell r="D200">
            <v>812.62684792133757</v>
          </cell>
          <cell r="E200">
            <v>743.50329546010403</v>
          </cell>
          <cell r="F200">
            <v>680.70481053873436</v>
          </cell>
          <cell r="G200">
            <v>662.81947826698092</v>
          </cell>
          <cell r="H200">
            <v>551.5480923777086</v>
          </cell>
          <cell r="I200">
            <v>168.24051122816675</v>
          </cell>
          <cell r="J200">
            <v>152.36773901043691</v>
          </cell>
          <cell r="K200">
            <v>163.99192248273209</v>
          </cell>
          <cell r="L200">
            <v>152.04017643273204</v>
          </cell>
          <cell r="M200">
            <v>636.64034915406774</v>
          </cell>
          <cell r="N200">
            <v>162.13602457748809</v>
          </cell>
          <cell r="O200">
            <v>165.7961749012515</v>
          </cell>
          <cell r="P200">
            <v>167.20897541048095</v>
          </cell>
          <cell r="Q200">
            <v>171.74966049695442</v>
          </cell>
          <cell r="R200">
            <v>666.8908353861749</v>
          </cell>
          <cell r="S200">
            <v>160.7774673428186</v>
          </cell>
          <cell r="T200">
            <v>176.51988679842961</v>
          </cell>
          <cell r="U200">
            <v>176.03520250264322</v>
          </cell>
          <cell r="V200">
            <v>197.33183672926856</v>
          </cell>
          <cell r="W200">
            <v>710.66439337316001</v>
          </cell>
          <cell r="X200">
            <v>189.65527202686269</v>
          </cell>
          <cell r="Y200">
            <v>147.12338809600604</v>
          </cell>
          <cell r="Z200">
            <v>215.50208627736168</v>
          </cell>
          <cell r="AA200">
            <v>236.94139182134211</v>
          </cell>
          <cell r="AB200">
            <v>789.22213822157244</v>
          </cell>
          <cell r="AC200">
            <v>280.95231671690618</v>
          </cell>
          <cell r="AD200">
            <v>279.76918401170786</v>
          </cell>
          <cell r="AE200">
            <v>242.02204245125913</v>
          </cell>
          <cell r="AF200">
            <v>224.3256026284642</v>
          </cell>
          <cell r="AG200">
            <v>1027.0691458083375</v>
          </cell>
          <cell r="AH200">
            <v>289.0339420550722</v>
          </cell>
          <cell r="AI200">
            <v>318.31136805015683</v>
          </cell>
          <cell r="AJ200">
            <v>362.65254466562669</v>
          </cell>
          <cell r="AK200">
            <v>393.98189274480097</v>
          </cell>
          <cell r="AL200">
            <v>1363.9797475156568</v>
          </cell>
          <cell r="AR200">
            <v>0</v>
          </cell>
          <cell r="AS200">
            <v>0</v>
          </cell>
          <cell r="AT200">
            <v>0</v>
          </cell>
          <cell r="AU200">
            <v>0</v>
          </cell>
          <cell r="AV200">
            <v>0</v>
          </cell>
          <cell r="AW200">
            <v>0</v>
          </cell>
          <cell r="AX200">
            <v>0</v>
          </cell>
          <cell r="AY200">
            <v>0</v>
          </cell>
          <cell r="AZ200">
            <v>0</v>
          </cell>
          <cell r="BA200">
            <v>0</v>
          </cell>
          <cell r="BL200">
            <v>0</v>
          </cell>
        </row>
        <row r="201">
          <cell r="B201" t="str">
            <v>______</v>
          </cell>
          <cell r="C201" t="str">
            <v>______</v>
          </cell>
          <cell r="D201" t="str">
            <v>______</v>
          </cell>
          <cell r="E201" t="str">
            <v>______</v>
          </cell>
          <cell r="F201" t="str">
            <v>______</v>
          </cell>
          <cell r="G201" t="str">
            <v>______</v>
          </cell>
          <cell r="H201" t="str">
            <v>______</v>
          </cell>
          <cell r="I201" t="str">
            <v>______</v>
          </cell>
          <cell r="J201" t="str">
            <v>______</v>
          </cell>
          <cell r="K201" t="str">
            <v>______</v>
          </cell>
          <cell r="L201" t="str">
            <v>______</v>
          </cell>
          <cell r="M201" t="str">
            <v>______</v>
          </cell>
          <cell r="N201" t="str">
            <v>______</v>
          </cell>
          <cell r="O201" t="str">
            <v>______</v>
          </cell>
          <cell r="P201" t="str">
            <v>______</v>
          </cell>
          <cell r="Q201" t="str">
            <v>______</v>
          </cell>
          <cell r="R201" t="str">
            <v>______</v>
          </cell>
          <cell r="S201" t="str">
            <v>______</v>
          </cell>
          <cell r="T201" t="str">
            <v>______</v>
          </cell>
          <cell r="U201" t="str">
            <v>______</v>
          </cell>
          <cell r="V201" t="str">
            <v>______</v>
          </cell>
          <cell r="W201" t="str">
            <v>______</v>
          </cell>
          <cell r="X201" t="str">
            <v>______</v>
          </cell>
          <cell r="Y201" t="str">
            <v>______</v>
          </cell>
          <cell r="Z201" t="str">
            <v>______</v>
          </cell>
          <cell r="AA201" t="str">
            <v>______</v>
          </cell>
          <cell r="AB201" t="str">
            <v>______</v>
          </cell>
          <cell r="AC201" t="str">
            <v>______</v>
          </cell>
          <cell r="AD201" t="str">
            <v>______</v>
          </cell>
          <cell r="AE201" t="str">
            <v>______</v>
          </cell>
          <cell r="AF201" t="str">
            <v>______</v>
          </cell>
          <cell r="AG201" t="str">
            <v>______</v>
          </cell>
          <cell r="AH201" t="str">
            <v>______</v>
          </cell>
          <cell r="AI201" t="str">
            <v>______</v>
          </cell>
          <cell r="AJ201" t="str">
            <v>______</v>
          </cell>
          <cell r="AK201" t="str">
            <v>______</v>
          </cell>
          <cell r="AL201" t="str">
            <v>______</v>
          </cell>
          <cell r="AM201" t="str">
            <v>______</v>
          </cell>
          <cell r="AN201" t="str">
            <v>______</v>
          </cell>
          <cell r="AO201" t="str">
            <v>______</v>
          </cell>
          <cell r="AP201" t="str">
            <v>______</v>
          </cell>
          <cell r="AQ201" t="str">
            <v>______</v>
          </cell>
          <cell r="AR201" t="str">
            <v>______</v>
          </cell>
          <cell r="AS201" t="str">
            <v>______</v>
          </cell>
          <cell r="AT201" t="str">
            <v>______</v>
          </cell>
          <cell r="AU201" t="str">
            <v>______</v>
          </cell>
          <cell r="AV201" t="str">
            <v>______</v>
          </cell>
          <cell r="AW201" t="str">
            <v>______</v>
          </cell>
          <cell r="AX201" t="str">
            <v>______</v>
          </cell>
          <cell r="AY201" t="str">
            <v>______</v>
          </cell>
          <cell r="AZ201" t="str">
            <v>______</v>
          </cell>
          <cell r="BA201" t="str">
            <v>______</v>
          </cell>
          <cell r="BK201" t="str">
            <v>______</v>
          </cell>
          <cell r="BL201" t="e">
            <v>#VALUE!</v>
          </cell>
        </row>
        <row r="202">
          <cell r="A202" t="str">
            <v>Total Mass Market Revenue</v>
          </cell>
          <cell r="C202">
            <v>774.18348351978238</v>
          </cell>
          <cell r="D202">
            <v>812.62684792133757</v>
          </cell>
          <cell r="E202">
            <v>743.50329546010403</v>
          </cell>
          <cell r="F202">
            <v>680.70481053873436</v>
          </cell>
          <cell r="G202">
            <v>662.81947826698092</v>
          </cell>
          <cell r="H202">
            <v>551.5480923777086</v>
          </cell>
          <cell r="I202">
            <v>168.24051122816675</v>
          </cell>
          <cell r="J202">
            <v>152.36773901043691</v>
          </cell>
          <cell r="K202">
            <v>163.99192248273209</v>
          </cell>
          <cell r="L202">
            <v>152.04017643273204</v>
          </cell>
          <cell r="M202">
            <v>636.64034915406774</v>
          </cell>
          <cell r="N202">
            <v>162.13602457748809</v>
          </cell>
          <cell r="O202">
            <v>165.7961749012515</v>
          </cell>
          <cell r="P202">
            <v>167.20897541048095</v>
          </cell>
          <cell r="Q202">
            <v>171.74966049695442</v>
          </cell>
          <cell r="R202">
            <v>666.8908353861749</v>
          </cell>
          <cell r="S202">
            <v>160.7774673428186</v>
          </cell>
          <cell r="T202">
            <v>176.51988679842961</v>
          </cell>
          <cell r="U202">
            <v>176.03520250264322</v>
          </cell>
          <cell r="V202">
            <v>197.33183672926856</v>
          </cell>
          <cell r="W202">
            <v>710.66439337316001</v>
          </cell>
          <cell r="X202">
            <v>189.65527202686269</v>
          </cell>
          <cell r="Y202">
            <v>147.12338809600604</v>
          </cell>
          <cell r="Z202">
            <v>215.50208627736168</v>
          </cell>
          <cell r="AA202">
            <v>236.94139182134211</v>
          </cell>
          <cell r="AB202">
            <v>789.22213822157244</v>
          </cell>
          <cell r="AC202">
            <v>280.95231671690618</v>
          </cell>
          <cell r="AD202">
            <v>337.36918401170789</v>
          </cell>
          <cell r="AE202">
            <v>403.47632193004841</v>
          </cell>
          <cell r="AF202">
            <v>383.7591135668772</v>
          </cell>
          <cell r="AG202">
            <v>1405.5569362255396</v>
          </cell>
          <cell r="AH202">
            <v>448.47078205507216</v>
          </cell>
          <cell r="AI202">
            <v>487.01134205015683</v>
          </cell>
          <cell r="AJ202">
            <v>550.26545666562674</v>
          </cell>
          <cell r="AK202">
            <v>599.46850074480096</v>
          </cell>
          <cell r="AL202">
            <v>2085.2160815156567</v>
          </cell>
          <cell r="AM202">
            <v>572.49378186415947</v>
          </cell>
          <cell r="AN202">
            <v>571.01356755050801</v>
          </cell>
          <cell r="AO202">
            <v>586.73964501081116</v>
          </cell>
          <cell r="AP202">
            <v>679.88012156291154</v>
          </cell>
          <cell r="AQ202">
            <v>2410.12711598839</v>
          </cell>
          <cell r="AR202">
            <v>774.07810096048263</v>
          </cell>
          <cell r="AS202">
            <v>667.48681411507209</v>
          </cell>
          <cell r="AT202">
            <v>828.52660355027422</v>
          </cell>
          <cell r="AU202">
            <v>896.35356047037067</v>
          </cell>
          <cell r="AV202">
            <v>3166.4450790961992</v>
          </cell>
          <cell r="AW202">
            <v>3987.0430218892116</v>
          </cell>
          <cell r="AX202">
            <v>5147.5260704163238</v>
          </cell>
          <cell r="AY202">
            <v>6335.90432669035</v>
          </cell>
          <cell r="AZ202">
            <v>7246.1243691780837</v>
          </cell>
          <cell r="BA202">
            <v>8164.3750046539071</v>
          </cell>
          <cell r="BK202">
            <v>3933.7539429289141</v>
          </cell>
          <cell r="BL202">
            <v>-767.30886383271491</v>
          </cell>
        </row>
        <row r="203">
          <cell r="A203" t="str">
            <v xml:space="preserve">  Year-over-Year growth</v>
          </cell>
          <cell r="D203">
            <v>4.9656657911086644E-2</v>
          </cell>
          <cell r="E203">
            <v>-8.5061861588807242E-2</v>
          </cell>
          <cell r="F203">
            <v>-8.446295437400575E-2</v>
          </cell>
          <cell r="G203">
            <v>-2.6274725835415125E-2</v>
          </cell>
          <cell r="H203">
            <v>-0.16787585389042037</v>
          </cell>
          <cell r="I203" t="str">
            <v>N.M.</v>
          </cell>
          <cell r="J203" t="str">
            <v>N.M.</v>
          </cell>
          <cell r="K203" t="str">
            <v>N.M.</v>
          </cell>
          <cell r="L203" t="str">
            <v>N.M.</v>
          </cell>
          <cell r="M203">
            <v>0.15427894312811197</v>
          </cell>
          <cell r="N203">
            <v>-3.6284284956789037E-2</v>
          </cell>
          <cell r="O203">
            <v>8.8131752679579956E-2</v>
          </cell>
          <cell r="P203">
            <v>1.9617142594859249E-2</v>
          </cell>
          <cell r="Q203">
            <v>0.12963339379537331</v>
          </cell>
          <cell r="R203">
            <v>4.7515816853742177E-2</v>
          </cell>
          <cell r="S203">
            <v>-8.3791201752341227E-3</v>
          </cell>
          <cell r="T203">
            <v>6.4680092309518988E-2</v>
          </cell>
          <cell r="U203">
            <v>5.2785605978953987E-2</v>
          </cell>
          <cell r="V203">
            <v>0.14895037438963543</v>
          </cell>
          <cell r="W203">
            <v>6.5638265911447391E-2</v>
          </cell>
          <cell r="X203">
            <v>0.17961350655231589</v>
          </cell>
          <cell r="Y203">
            <v>-0.16653363672271004</v>
          </cell>
          <cell r="Z203">
            <v>0.22419881485991899</v>
          </cell>
          <cell r="AA203">
            <v>0.20072561908201503</v>
          </cell>
          <cell r="AB203">
            <v>0.11054127036749239</v>
          </cell>
          <cell r="AC203">
            <v>0.4813841646179613</v>
          </cell>
          <cell r="AD203">
            <v>1.2931036892078374</v>
          </cell>
          <cell r="AE203">
            <v>0.87226179059238773</v>
          </cell>
          <cell r="AF203">
            <v>0.61963728927632111</v>
          </cell>
          <cell r="AG203">
            <v>0.78093957094616173</v>
          </cell>
          <cell r="AH203">
            <v>0.59625230108695382</v>
          </cell>
          <cell r="AI203">
            <v>0.44355609560728526</v>
          </cell>
          <cell r="AJ203">
            <v>0.36381102621686812</v>
          </cell>
          <cell r="AK203">
            <v>0.56209580320581076</v>
          </cell>
          <cell r="AL203">
            <v>0.48355148608583787</v>
          </cell>
          <cell r="AM203">
            <v>0.27654644354034486</v>
          </cell>
          <cell r="AN203">
            <v>0.17248515228973837</v>
          </cell>
          <cell r="AO203">
            <v>6.6284713865562894E-2</v>
          </cell>
          <cell r="AP203">
            <v>0.13413819194537213</v>
          </cell>
          <cell r="AQ203">
            <v>0.15581648221155531</v>
          </cell>
          <cell r="AR203">
            <v>0.35211617223146496</v>
          </cell>
          <cell r="AS203">
            <v>0.16895088321352492</v>
          </cell>
          <cell r="AT203">
            <v>0.41208559979785919</v>
          </cell>
          <cell r="AU203">
            <v>0.31839942372462504</v>
          </cell>
          <cell r="AV203">
            <v>0.31380832906717626</v>
          </cell>
          <cell r="AW203">
            <v>0.25915432679073547</v>
          </cell>
          <cell r="AX203">
            <v>0.29106358826728473</v>
          </cell>
          <cell r="AY203">
            <v>0.23086396067109427</v>
          </cell>
          <cell r="AZ203">
            <v>0.14366063557073949</v>
          </cell>
          <cell r="BA203">
            <v>0.12672300235166656</v>
          </cell>
          <cell r="BK203">
            <v>0.34732741003516732</v>
          </cell>
          <cell r="BL203">
            <v>-3.3519080967991055E-2</v>
          </cell>
        </row>
        <row r="204">
          <cell r="A204" t="str">
            <v xml:space="preserve">  check</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K204">
            <v>0</v>
          </cell>
          <cell r="BL204">
            <v>0</v>
          </cell>
        </row>
        <row r="205">
          <cell r="BL205">
            <v>0</v>
          </cell>
        </row>
        <row r="206">
          <cell r="A206" t="str">
            <v>Mass Market Casino Revenue Market Share</v>
          </cell>
          <cell r="BL206">
            <v>0</v>
          </cell>
        </row>
        <row r="207">
          <cell r="A207" t="str">
            <v>Sands Macao</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0.1707328432166498</v>
          </cell>
          <cell r="AE207">
            <v>0.40015800358857484</v>
          </cell>
          <cell r="AF207">
            <v>0.41545205130517049</v>
          </cell>
          <cell r="AG207">
            <v>0.26927958637775812</v>
          </cell>
          <cell r="AH207">
            <v>0.35551221256688503</v>
          </cell>
          <cell r="AI207">
            <v>0.34639844996181995</v>
          </cell>
          <cell r="AJ207">
            <v>0.34094982653800221</v>
          </cell>
          <cell r="AK207">
            <v>0.34278132669972838</v>
          </cell>
          <cell r="AL207">
            <v>0.34588086116991928</v>
          </cell>
          <cell r="AM207">
            <v>0.37803848156267478</v>
          </cell>
          <cell r="AN207">
            <v>0.37399621854188286</v>
          </cell>
          <cell r="AO207">
            <v>0.36556650266243351</v>
          </cell>
          <cell r="AP207">
            <v>0.31046931555340068</v>
          </cell>
          <cell r="AQ207">
            <v>0.35498371240437149</v>
          </cell>
          <cell r="AR207">
            <v>0.2960373797063261</v>
          </cell>
          <cell r="AS207">
            <v>0.28327767014943711</v>
          </cell>
          <cell r="AT207">
            <v>0.19863321529215583</v>
          </cell>
          <cell r="AU207">
            <v>0.15767962244515388</v>
          </cell>
          <cell r="AV207">
            <v>0.228694873391485</v>
          </cell>
          <cell r="AW207">
            <v>0.16410273156577451</v>
          </cell>
          <cell r="AX207">
            <v>0.10996424984008536</v>
          </cell>
          <cell r="AY207">
            <v>8.8708320238230498E-2</v>
          </cell>
          <cell r="AZ207">
            <v>7.2748683837569439E-2</v>
          </cell>
          <cell r="BA207">
            <v>7.2567154348333288E-2</v>
          </cell>
          <cell r="BK207">
            <v>0.19567046161962284</v>
          </cell>
          <cell r="BL207">
            <v>3.3024411771862161E-2</v>
          </cell>
        </row>
        <row r="208">
          <cell r="A208" t="str">
            <v>Venetian Macao</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0.18135716402692892</v>
          </cell>
          <cell r="AU208">
            <v>0.1754704093477984</v>
          </cell>
          <cell r="AV208">
            <v>9.7125563095070658E-2</v>
          </cell>
          <cell r="AW208">
            <v>0.17602135083589143</v>
          </cell>
          <cell r="AX208">
            <v>0.12356755155694032</v>
          </cell>
          <cell r="AY208">
            <v>9.9682123512939425E-2</v>
          </cell>
          <cell r="AZ208">
            <v>0.11256920695023914</v>
          </cell>
          <cell r="BA208">
            <v>0.11228831347473624</v>
          </cell>
          <cell r="BK208">
            <v>0.11304155151986889</v>
          </cell>
          <cell r="BL208">
            <v>-1.591598842479823E-2</v>
          </cell>
        </row>
        <row r="209">
          <cell r="A209" t="str">
            <v>Cotai Site 2 - Four Seasons (LVS)</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2.6768223859836029E-2</v>
          </cell>
          <cell r="AX209">
            <v>1.7937225226007467E-2</v>
          </cell>
          <cell r="AY209">
            <v>1.4469985671233147E-2</v>
          </cell>
          <cell r="AZ209">
            <v>1.2382612764526306E-2</v>
          </cell>
          <cell r="BA209">
            <v>1.235171448222099E-2</v>
          </cell>
          <cell r="BK209">
            <v>0</v>
          </cell>
          <cell r="BL209">
            <v>0</v>
          </cell>
        </row>
        <row r="210">
          <cell r="A210" t="str">
            <v>Cotai Site 3 - Far East (LVS)</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1.9122471168971762E-2</v>
          </cell>
          <cell r="AY210">
            <v>3.0852250593630937E-2</v>
          </cell>
          <cell r="AZ210">
            <v>2.795468639264272E-2</v>
          </cell>
          <cell r="BA210">
            <v>2.7884931179559501E-2</v>
          </cell>
          <cell r="BK210">
            <v>0</v>
          </cell>
          <cell r="BL210">
            <v>0</v>
          </cell>
        </row>
        <row r="211">
          <cell r="A211" t="str">
            <v>Cotai Site 5 - Shangri-La/St.Regis/Traders (LVS)</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3.0418436204359123E-2</v>
          </cell>
          <cell r="AX211">
            <v>4.5296023297998651E-2</v>
          </cell>
          <cell r="AY211">
            <v>3.2886331070984418E-2</v>
          </cell>
          <cell r="AZ211">
            <v>2.8142301737559786E-2</v>
          </cell>
          <cell r="BA211">
            <v>2.8072078368684059E-2</v>
          </cell>
          <cell r="BK211">
            <v>0</v>
          </cell>
          <cell r="BL211">
            <v>0</v>
          </cell>
        </row>
        <row r="212">
          <cell r="A212" t="str">
            <v>Cotai Site 6 - Starwood (LVS)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3.0418436204359123E-2</v>
          </cell>
          <cell r="AX212">
            <v>4.5296023297998651E-2</v>
          </cell>
          <cell r="AY212">
            <v>3.2886331070984418E-2</v>
          </cell>
          <cell r="AZ212">
            <v>2.8142301737559786E-2</v>
          </cell>
          <cell r="BA212">
            <v>2.8072078368684059E-2</v>
          </cell>
          <cell r="BK212">
            <v>0</v>
          </cell>
          <cell r="BL212">
            <v>0</v>
          </cell>
        </row>
        <row r="213">
          <cell r="A213" t="str">
            <v>Cotai Site 7 - Hilton (LVS)</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2.0383210484099391E-2</v>
          </cell>
          <cell r="AY213">
            <v>3.6540367856649346E-2</v>
          </cell>
          <cell r="AZ213">
            <v>2.8142301737559786E-2</v>
          </cell>
          <cell r="BA213">
            <v>2.8072078368684059E-2</v>
          </cell>
          <cell r="BK213">
            <v>0</v>
          </cell>
          <cell r="BL213">
            <v>0</v>
          </cell>
        </row>
        <row r="214">
          <cell r="A214" t="str">
            <v>Cotai Site 8 - FHR/Raffles (LVS)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2.0383210484099391E-2</v>
          </cell>
          <cell r="AY214">
            <v>3.6540367856649346E-2</v>
          </cell>
          <cell r="AZ214">
            <v>2.8142301737559786E-2</v>
          </cell>
          <cell r="BA214">
            <v>2.8072078368684059E-2</v>
          </cell>
          <cell r="BK214">
            <v>0</v>
          </cell>
          <cell r="BL214">
            <v>0</v>
          </cell>
        </row>
        <row r="215">
          <cell r="A215" t="str">
            <v>Wynn Macau</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4.1932806499800537E-2</v>
          </cell>
          <cell r="AP215">
            <v>0.15295328205941297</v>
          </cell>
          <cell r="AQ215">
            <v>5.3355499445208295E-2</v>
          </cell>
          <cell r="AR215">
            <v>0.16951176914126581</v>
          </cell>
          <cell r="AS215">
            <v>0.16583472090485957</v>
          </cell>
          <cell r="AT215">
            <v>0.17690761663655447</v>
          </cell>
          <cell r="AU215">
            <v>0.1580901653800792</v>
          </cell>
          <cell r="AV215">
            <v>0.16743861775519664</v>
          </cell>
          <cell r="AW215">
            <v>0.14350291592468326</v>
          </cell>
          <cell r="AX215">
            <v>0.10729480420038999</v>
          </cell>
          <cell r="AY215">
            <v>8.7371429979581888E-2</v>
          </cell>
          <cell r="AZ215">
            <v>7.6863922197578108E-2</v>
          </cell>
          <cell r="BA215">
            <v>7.6672123971119902E-2</v>
          </cell>
          <cell r="BK215">
            <v>0.15256289395888542</v>
          </cell>
          <cell r="BL215">
            <v>1.4875723796311219E-2</v>
          </cell>
        </row>
        <row r="216">
          <cell r="A216" t="str">
            <v>Wynn Cotai</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5.8464588570638965E-2</v>
          </cell>
          <cell r="AZ216">
            <v>5.253229657677827E-2</v>
          </cell>
          <cell r="BA216">
            <v>5.2401212954876909E-2</v>
          </cell>
          <cell r="BK216">
            <v>0</v>
          </cell>
          <cell r="BL216">
            <v>0</v>
          </cell>
        </row>
        <row r="217">
          <cell r="A217" t="str">
            <v>Wynn Cotai #2</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5.8464588570638965E-2</v>
          </cell>
          <cell r="AZ217">
            <v>5.253229657677827E-2</v>
          </cell>
          <cell r="BA217">
            <v>5.2401212954876909E-2</v>
          </cell>
        </row>
        <row r="218">
          <cell r="A218" t="str">
            <v>MGM Grand</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9.1666275593584479E-2</v>
          </cell>
          <cell r="AV218">
            <v>2.5948781820280369E-2</v>
          </cell>
          <cell r="AW218">
            <v>0.11481134560973306</v>
          </cell>
          <cell r="AX218">
            <v>8.5482655167983035E-2</v>
          </cell>
          <cell r="AY218">
            <v>6.8958982219068654E-2</v>
          </cell>
          <cell r="AZ218">
            <v>5.9011279821247584E-2</v>
          </cell>
          <cell r="BA218">
            <v>5.8864029219311727E-2</v>
          </cell>
          <cell r="BK218">
            <v>3.5824091693446344E-2</v>
          </cell>
          <cell r="BL218">
            <v>-9.8753098731659758E-3</v>
          </cell>
        </row>
        <row r="219">
          <cell r="A219" t="str">
            <v>MGM Cotai</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4.8154605195380083E-2</v>
          </cell>
          <cell r="BA219">
            <v>4.8034445208637172E-2</v>
          </cell>
        </row>
        <row r="220">
          <cell r="A220" t="str">
            <v>Crown Macau - PBL/Melco</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2.183344039913768E-2</v>
          </cell>
          <cell r="AT220">
            <v>2.3590585674905705E-2</v>
          </cell>
          <cell r="AU220">
            <v>2.168360571788383E-2</v>
          </cell>
          <cell r="AV220">
            <v>1.6913332538371469E-2</v>
          </cell>
          <cell r="AW220">
            <v>1.6673809474982034E-2</v>
          </cell>
          <cell r="AX220">
            <v>1.2290320988190301E-2</v>
          </cell>
          <cell r="AY220">
            <v>9.9146198117708584E-3</v>
          </cell>
          <cell r="AZ220">
            <v>9.2556903492418859E-3</v>
          </cell>
          <cell r="BA220">
            <v>9.2325946634783142E-3</v>
          </cell>
          <cell r="BK220">
            <v>1.2960177881258852E-2</v>
          </cell>
          <cell r="BL220">
            <v>3.9531546571126164E-3</v>
          </cell>
        </row>
        <row r="221">
          <cell r="A221" t="str">
            <v>Penninsula Project - PBL/Melco ("Trinity")</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1.3135846756419605E-2</v>
          </cell>
          <cell r="AY221">
            <v>2.7039872213920523E-2</v>
          </cell>
          <cell r="AZ221">
            <v>2.3139225873104713E-2</v>
          </cell>
          <cell r="BA221">
            <v>2.308148665869578E-2</v>
          </cell>
          <cell r="BK221">
            <v>0</v>
          </cell>
          <cell r="BL221">
            <v>0</v>
          </cell>
        </row>
        <row r="222">
          <cell r="A222" t="str">
            <v>City of Dreams - PBL/Melco</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6.3414432617198119E-2</v>
          </cell>
          <cell r="AY222">
            <v>5.1156514999309094E-2</v>
          </cell>
          <cell r="AZ222">
            <v>4.3776913813981889E-2</v>
          </cell>
          <cell r="BA222">
            <v>4.3667677462397428E-2</v>
          </cell>
          <cell r="BK222">
            <v>0</v>
          </cell>
          <cell r="BL222">
            <v>0</v>
          </cell>
        </row>
        <row r="223">
          <cell r="A223" t="str">
            <v>Galaxy Cotai Mega Resort</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3.52403216471242E-2</v>
          </cell>
          <cell r="AX223">
            <v>4.7228653625379924E-2</v>
          </cell>
          <cell r="AY223">
            <v>3.7271175213782336E-2</v>
          </cell>
          <cell r="AZ223">
            <v>3.1894608635901087E-2</v>
          </cell>
          <cell r="BA223">
            <v>3.1815022151175272E-2</v>
          </cell>
          <cell r="BK223">
            <v>0</v>
          </cell>
          <cell r="BL223">
            <v>0</v>
          </cell>
        </row>
        <row r="224">
          <cell r="A224" t="str">
            <v>Galaxy StarWorld</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6.776982550490597E-2</v>
          </cell>
          <cell r="AQ224">
            <v>1.9117397126863715E-2</v>
          </cell>
          <cell r="AR224">
            <v>8.8512470158584086E-2</v>
          </cell>
          <cell r="AS224">
            <v>7.8701155161814765E-2</v>
          </cell>
          <cell r="AT224">
            <v>5.9266809857109269E-2</v>
          </cell>
          <cell r="AU224">
            <v>5.4475889442006604E-2</v>
          </cell>
          <cell r="AV224">
            <v>6.9156839548160237E-2</v>
          </cell>
          <cell r="AW224">
            <v>5.4636017858022225E-2</v>
          </cell>
          <cell r="AX224">
            <v>3.9226356176066832E-2</v>
          </cell>
          <cell r="AY224">
            <v>3.1643958563858342E-2</v>
          </cell>
          <cell r="AZ224">
            <v>2.707914811636308E-2</v>
          </cell>
          <cell r="BA224">
            <v>2.7011577630311548E-2</v>
          </cell>
          <cell r="BK224">
            <v>7.1155984631357749E-2</v>
          </cell>
          <cell r="BL224">
            <v>-1.9991450831975122E-3</v>
          </cell>
        </row>
        <row r="225">
          <cell r="A225" t="str">
            <v>Galaxy City Clubs</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2.722241279062081E-2</v>
          </cell>
          <cell r="AN225">
            <v>8.4710310928954619E-2</v>
          </cell>
          <cell r="AO225">
            <v>8.2811037859686548E-2</v>
          </cell>
          <cell r="AP225">
            <v>7.0575752476578463E-2</v>
          </cell>
          <cell r="AQ225">
            <v>6.6605187737549046E-2</v>
          </cell>
          <cell r="AR225">
            <v>5.6589803691060939E-2</v>
          </cell>
          <cell r="AS225">
            <v>5.0317010844769645E-2</v>
          </cell>
          <cell r="AT225">
            <v>3.2949394432909326E-2</v>
          </cell>
          <cell r="AU225">
            <v>3.0285881299091485E-2</v>
          </cell>
          <cell r="AV225">
            <v>4.1635706017065205E-2</v>
          </cell>
          <cell r="AW225">
            <v>2.5051272127412205E-2</v>
          </cell>
          <cell r="AX225">
            <v>1.6786706234238297E-2</v>
          </cell>
          <cell r="AY225">
            <v>1.3541860327674248E-2</v>
          </cell>
          <cell r="AZ225">
            <v>1.1588374471044063E-2</v>
          </cell>
          <cell r="BA225">
            <v>1.1559458048260345E-2</v>
          </cell>
          <cell r="BK225">
            <v>4.3142416139040296E-2</v>
          </cell>
          <cell r="BL225">
            <v>-1.5067101219750911E-3</v>
          </cell>
        </row>
        <row r="226">
          <cell r="A226" t="str">
            <v>Macau Studio City</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5.1999834746102445E-2</v>
          </cell>
          <cell r="AY226">
            <v>4.194834229943345E-2</v>
          </cell>
          <cell r="AZ226">
            <v>5.8223295372595907E-2</v>
          </cell>
          <cell r="BA226">
            <v>5.8078011024988573E-2</v>
          </cell>
          <cell r="BK226">
            <v>4.3142416139040296E-2</v>
          </cell>
          <cell r="BL226">
            <v>-4.3142416139040296E-2</v>
          </cell>
        </row>
        <row r="227">
          <cell r="A227" t="str">
            <v>New SJM</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3.7694824016256574E-3</v>
          </cell>
          <cell r="AQ227">
            <v>1.0633448071868641E-3</v>
          </cell>
          <cell r="AR227">
            <v>8.3578740494601553E-2</v>
          </cell>
          <cell r="AS227">
            <v>8.8405279671523784E-2</v>
          </cell>
          <cell r="AT227">
            <v>9.3077563110558759E-2</v>
          </cell>
          <cell r="AU227">
            <v>0.1109030810026667</v>
          </cell>
          <cell r="AV227">
            <v>9.4816563198350051E-2</v>
          </cell>
          <cell r="AW227">
            <v>9.8336720561452165E-2</v>
          </cell>
          <cell r="AX227">
            <v>0.12568559360635473</v>
          </cell>
          <cell r="AY227">
            <v>0.11586073678514951</v>
          </cell>
          <cell r="AZ227">
            <v>0.14042258105662669</v>
          </cell>
          <cell r="BA227">
            <v>0.14785397323728897</v>
          </cell>
          <cell r="BK227">
            <v>0.13242421755117378</v>
          </cell>
          <cell r="BL227">
            <v>-3.7607654352823733E-2</v>
          </cell>
        </row>
        <row r="228">
          <cell r="A228" t="str">
            <v>Old SJM</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0.59473910564670451</v>
          </cell>
          <cell r="AN228">
            <v>0.54129347052916255</v>
          </cell>
          <cell r="AO228">
            <v>0.50968965297807933</v>
          </cell>
          <cell r="AP228">
            <v>0.39446234200407621</v>
          </cell>
          <cell r="AQ228">
            <v>0.50487485847882063</v>
          </cell>
          <cell r="AR228">
            <v>0.30576983680816144</v>
          </cell>
          <cell r="AS228">
            <v>0.31163072286845744</v>
          </cell>
          <cell r="AT228">
            <v>0.23421765096887762</v>
          </cell>
          <cell r="AU228">
            <v>0.19974506977173534</v>
          </cell>
          <cell r="AV228">
            <v>0.25826972263602044</v>
          </cell>
          <cell r="AW228">
            <v>8.4018418126370786E-2</v>
          </cell>
          <cell r="AX228">
            <v>3.5504830525475491E-2</v>
          </cell>
          <cell r="AY228">
            <v>2.5797252573871665E-2</v>
          </cell>
          <cell r="AZ228">
            <v>2.7301365048161941E-2</v>
          </cell>
          <cell r="BA228">
            <v>2.1946747854994616E-2</v>
          </cell>
          <cell r="BK228">
            <v>0.24321820500534577</v>
          </cell>
          <cell r="BL228">
            <v>1.5051517630674666E-2</v>
          </cell>
        </row>
        <row r="229">
          <cell r="A229" t="str">
            <v>Other Mass Market</v>
          </cell>
          <cell r="C229">
            <v>1</v>
          </cell>
          <cell r="D229">
            <v>1</v>
          </cell>
          <cell r="E229">
            <v>1</v>
          </cell>
          <cell r="F229">
            <v>1</v>
          </cell>
          <cell r="G229">
            <v>1</v>
          </cell>
          <cell r="H229">
            <v>1</v>
          </cell>
          <cell r="I229">
            <v>1</v>
          </cell>
          <cell r="J229">
            <v>1</v>
          </cell>
          <cell r="K229">
            <v>1</v>
          </cell>
          <cell r="L229">
            <v>1</v>
          </cell>
          <cell r="M229">
            <v>1</v>
          </cell>
          <cell r="N229">
            <v>1</v>
          </cell>
          <cell r="O229">
            <v>1</v>
          </cell>
          <cell r="P229">
            <v>1</v>
          </cell>
          <cell r="Q229">
            <v>1</v>
          </cell>
          <cell r="R229">
            <v>1</v>
          </cell>
          <cell r="S229">
            <v>1</v>
          </cell>
          <cell r="T229">
            <v>1</v>
          </cell>
          <cell r="U229">
            <v>1</v>
          </cell>
          <cell r="V229">
            <v>1</v>
          </cell>
          <cell r="W229">
            <v>1</v>
          </cell>
          <cell r="X229">
            <v>1</v>
          </cell>
          <cell r="Y229">
            <v>1</v>
          </cell>
          <cell r="Z229">
            <v>1</v>
          </cell>
          <cell r="AA229">
            <v>1</v>
          </cell>
          <cell r="AB229">
            <v>1</v>
          </cell>
          <cell r="AC229">
            <v>1</v>
          </cell>
          <cell r="AD229">
            <v>0.82926715678335017</v>
          </cell>
          <cell r="AE229">
            <v>0.59984199641142522</v>
          </cell>
          <cell r="AF229">
            <v>0.58454794869482951</v>
          </cell>
          <cell r="AG229">
            <v>0.73072041362224194</v>
          </cell>
          <cell r="AH229">
            <v>0.64448778743311497</v>
          </cell>
          <cell r="AI229">
            <v>0.6536015500381801</v>
          </cell>
          <cell r="AJ229">
            <v>0.65905017346199768</v>
          </cell>
          <cell r="AK229">
            <v>0.65721867330027162</v>
          </cell>
          <cell r="AL229">
            <v>0.65411913883008077</v>
          </cell>
          <cell r="BL229">
            <v>0</v>
          </cell>
        </row>
        <row r="230">
          <cell r="B230" t="str">
            <v>______</v>
          </cell>
          <cell r="C230" t="str">
            <v>______</v>
          </cell>
          <cell r="D230" t="str">
            <v>______</v>
          </cell>
          <cell r="E230" t="str">
            <v>______</v>
          </cell>
          <cell r="F230" t="str">
            <v>______</v>
          </cell>
          <cell r="G230" t="str">
            <v>______</v>
          </cell>
          <cell r="H230" t="str">
            <v>______</v>
          </cell>
          <cell r="I230" t="str">
            <v>______</v>
          </cell>
          <cell r="J230" t="str">
            <v>______</v>
          </cell>
          <cell r="K230" t="str">
            <v>______</v>
          </cell>
          <cell r="L230" t="str">
            <v>______</v>
          </cell>
          <cell r="M230" t="str">
            <v>______</v>
          </cell>
          <cell r="N230" t="str">
            <v>______</v>
          </cell>
          <cell r="O230" t="str">
            <v>______</v>
          </cell>
          <cell r="P230" t="str">
            <v>______</v>
          </cell>
          <cell r="Q230" t="str">
            <v>______</v>
          </cell>
          <cell r="R230" t="str">
            <v>______</v>
          </cell>
          <cell r="S230" t="str">
            <v>______</v>
          </cell>
          <cell r="T230" t="str">
            <v>______</v>
          </cell>
          <cell r="U230" t="str">
            <v>______</v>
          </cell>
          <cell r="V230" t="str">
            <v>______</v>
          </cell>
          <cell r="W230" t="str">
            <v>______</v>
          </cell>
          <cell r="X230" t="str">
            <v>______</v>
          </cell>
          <cell r="Y230" t="str">
            <v>______</v>
          </cell>
          <cell r="Z230" t="str">
            <v>______</v>
          </cell>
          <cell r="AA230" t="str">
            <v>______</v>
          </cell>
          <cell r="AB230" t="str">
            <v>______</v>
          </cell>
          <cell r="AC230" t="str">
            <v>______</v>
          </cell>
          <cell r="AD230" t="str">
            <v>______</v>
          </cell>
          <cell r="AE230" t="str">
            <v>______</v>
          </cell>
          <cell r="AF230" t="str">
            <v>______</v>
          </cell>
          <cell r="AG230" t="str">
            <v>______</v>
          </cell>
          <cell r="AH230" t="str">
            <v>______</v>
          </cell>
          <cell r="AI230" t="str">
            <v>______</v>
          </cell>
          <cell r="AJ230" t="str">
            <v>______</v>
          </cell>
          <cell r="AK230" t="str">
            <v>______</v>
          </cell>
          <cell r="AL230" t="str">
            <v>______</v>
          </cell>
          <cell r="AM230" t="str">
            <v>______</v>
          </cell>
          <cell r="AN230" t="str">
            <v>______</v>
          </cell>
          <cell r="AO230" t="str">
            <v>______</v>
          </cell>
          <cell r="AP230" t="str">
            <v>______</v>
          </cell>
          <cell r="AQ230" t="str">
            <v>______</v>
          </cell>
          <cell r="AR230" t="str">
            <v>______</v>
          </cell>
          <cell r="AS230" t="str">
            <v>______</v>
          </cell>
          <cell r="AT230" t="str">
            <v>______</v>
          </cell>
          <cell r="AU230" t="str">
            <v>______</v>
          </cell>
          <cell r="AV230" t="str">
            <v>______</v>
          </cell>
          <cell r="AW230" t="str">
            <v>______</v>
          </cell>
          <cell r="AX230" t="str">
            <v>______</v>
          </cell>
          <cell r="AY230" t="str">
            <v>______</v>
          </cell>
          <cell r="AZ230" t="str">
            <v>______</v>
          </cell>
          <cell r="BA230" t="str">
            <v>______</v>
          </cell>
          <cell r="BK230" t="str">
            <v>______</v>
          </cell>
          <cell r="BL230" t="e">
            <v>#VALUE!</v>
          </cell>
        </row>
        <row r="231">
          <cell r="A231" t="str">
            <v>Total</v>
          </cell>
          <cell r="C231">
            <v>1</v>
          </cell>
          <cell r="D231">
            <v>1</v>
          </cell>
          <cell r="E231">
            <v>1</v>
          </cell>
          <cell r="F231">
            <v>1</v>
          </cell>
          <cell r="G231">
            <v>1</v>
          </cell>
          <cell r="H231">
            <v>1</v>
          </cell>
          <cell r="I231">
            <v>1</v>
          </cell>
          <cell r="J231">
            <v>1</v>
          </cell>
          <cell r="K231">
            <v>1</v>
          </cell>
          <cell r="L231">
            <v>1</v>
          </cell>
          <cell r="M231">
            <v>1</v>
          </cell>
          <cell r="N231">
            <v>1</v>
          </cell>
          <cell r="O231">
            <v>1</v>
          </cell>
          <cell r="P231">
            <v>1</v>
          </cell>
          <cell r="Q231">
            <v>1</v>
          </cell>
          <cell r="R231">
            <v>1</v>
          </cell>
          <cell r="S231">
            <v>1</v>
          </cell>
          <cell r="T231">
            <v>1</v>
          </cell>
          <cell r="U231">
            <v>1</v>
          </cell>
          <cell r="V231">
            <v>1</v>
          </cell>
          <cell r="W231">
            <v>1</v>
          </cell>
          <cell r="X231">
            <v>1</v>
          </cell>
          <cell r="Y231">
            <v>1</v>
          </cell>
          <cell r="Z231">
            <v>1</v>
          </cell>
          <cell r="AA231">
            <v>1</v>
          </cell>
          <cell r="AB231">
            <v>1</v>
          </cell>
          <cell r="AC231">
            <v>1</v>
          </cell>
          <cell r="AD231">
            <v>1</v>
          </cell>
          <cell r="AE231">
            <v>1</v>
          </cell>
          <cell r="AF231">
            <v>1</v>
          </cell>
          <cell r="AG231">
            <v>1</v>
          </cell>
          <cell r="AH231">
            <v>1</v>
          </cell>
          <cell r="AI231">
            <v>1</v>
          </cell>
          <cell r="AJ231">
            <v>0.99999999999999989</v>
          </cell>
          <cell r="AK231">
            <v>1</v>
          </cell>
          <cell r="AL231">
            <v>1</v>
          </cell>
          <cell r="AM231">
            <v>1</v>
          </cell>
          <cell r="AN231">
            <v>1</v>
          </cell>
          <cell r="AO231">
            <v>0.99999999999999989</v>
          </cell>
          <cell r="AP231">
            <v>1</v>
          </cell>
          <cell r="AQ231">
            <v>1</v>
          </cell>
          <cell r="AR231">
            <v>1</v>
          </cell>
          <cell r="AS231">
            <v>1</v>
          </cell>
          <cell r="AT231">
            <v>1</v>
          </cell>
          <cell r="AU231">
            <v>1</v>
          </cell>
          <cell r="AV231">
            <v>1</v>
          </cell>
          <cell r="AW231">
            <v>1</v>
          </cell>
          <cell r="AX231">
            <v>1</v>
          </cell>
          <cell r="AY231">
            <v>1</v>
          </cell>
          <cell r="AZ231">
            <v>1</v>
          </cell>
          <cell r="BA231">
            <v>1</v>
          </cell>
          <cell r="BK231">
            <v>1</v>
          </cell>
          <cell r="BL231">
            <v>0</v>
          </cell>
        </row>
        <row r="232">
          <cell r="A232" t="str">
            <v xml:space="preserve">  LVS Plots 5&amp;6 Share</v>
          </cell>
          <cell r="AW232">
            <v>6.0836872408718247E-2</v>
          </cell>
          <cell r="AX232">
            <v>9.0592046595997303E-2</v>
          </cell>
          <cell r="AY232">
            <v>6.5772662141968835E-2</v>
          </cell>
          <cell r="AZ232">
            <v>5.6284603475119571E-2</v>
          </cell>
          <cell r="BA232">
            <v>5.6144156737368119E-2</v>
          </cell>
          <cell r="BL232">
            <v>0</v>
          </cell>
        </row>
        <row r="233">
          <cell r="A233" t="str">
            <v xml:space="preserve">  LVS Plots 7&amp;8 Share</v>
          </cell>
          <cell r="AX233">
            <v>4.0766420968198783E-2</v>
          </cell>
          <cell r="AY233">
            <v>7.3080735713298692E-2</v>
          </cell>
          <cell r="AZ233">
            <v>5.6284603475119571E-2</v>
          </cell>
          <cell r="BA233">
            <v>5.6144156737368119E-2</v>
          </cell>
          <cell r="BL233">
            <v>0</v>
          </cell>
        </row>
        <row r="234">
          <cell r="BL234">
            <v>0</v>
          </cell>
        </row>
        <row r="235">
          <cell r="A235" t="str">
            <v>Mass Market Casino Revenue Fair Share</v>
          </cell>
          <cell r="BL235">
            <v>0</v>
          </cell>
        </row>
        <row r="236">
          <cell r="A236" t="str">
            <v>Sands Macao</v>
          </cell>
          <cell r="X236">
            <v>0</v>
          </cell>
          <cell r="Y236">
            <v>0</v>
          </cell>
          <cell r="Z236">
            <v>0</v>
          </cell>
          <cell r="AA236">
            <v>0</v>
          </cell>
          <cell r="AB236" t="str">
            <v>N.M.</v>
          </cell>
          <cell r="AC236">
            <v>0</v>
          </cell>
          <cell r="AD236">
            <v>0.63504584140228115</v>
          </cell>
          <cell r="AE236">
            <v>0.81916350244243064</v>
          </cell>
          <cell r="AF236">
            <v>1.1581742867739755</v>
          </cell>
          <cell r="AG236">
            <v>0.82782484775869758</v>
          </cell>
          <cell r="AH236">
            <v>1.1025445632541968</v>
          </cell>
          <cell r="AI236">
            <v>1.0924376862975698</v>
          </cell>
          <cell r="AJ236">
            <v>1.0968483200441173</v>
          </cell>
          <cell r="AK236">
            <v>1.0977518170763882</v>
          </cell>
          <cell r="AL236">
            <v>1.0965861639373129</v>
          </cell>
          <cell r="AM236">
            <v>1.2193334537883502</v>
          </cell>
          <cell r="AN236">
            <v>1.3658786253092388</v>
          </cell>
          <cell r="AO236">
            <v>1.2097749086447045</v>
          </cell>
          <cell r="AP236">
            <v>0.96063656449488799</v>
          </cell>
          <cell r="AQ236">
            <v>1.166517758723717</v>
          </cell>
          <cell r="AR236">
            <v>1.05</v>
          </cell>
          <cell r="AS236">
            <v>1.1299999999999999</v>
          </cell>
          <cell r="AT236">
            <v>1.1000000000000001</v>
          </cell>
          <cell r="AU236">
            <v>0.95</v>
          </cell>
          <cell r="AV236">
            <v>1.0919373183163483</v>
          </cell>
          <cell r="AW236">
            <v>1.2</v>
          </cell>
          <cell r="AX236">
            <v>1.2</v>
          </cell>
          <cell r="AY236">
            <v>1.2</v>
          </cell>
          <cell r="AZ236">
            <v>1.1499999999999999</v>
          </cell>
          <cell r="BA236">
            <v>1.1499999999999999</v>
          </cell>
          <cell r="BK236">
            <v>0.95</v>
          </cell>
          <cell r="BL236">
            <v>0.14193731831634837</v>
          </cell>
          <cell r="BN236" t="str">
            <v>gt:lvs:sandsMacao:fairShare</v>
          </cell>
        </row>
        <row r="237">
          <cell r="A237" t="str">
            <v>Venetian Macao</v>
          </cell>
          <cell r="X237">
            <v>0</v>
          </cell>
          <cell r="Y237">
            <v>0</v>
          </cell>
          <cell r="Z237">
            <v>0</v>
          </cell>
          <cell r="AA237">
            <v>0</v>
          </cell>
          <cell r="AB237" t="str">
            <v>N.M.</v>
          </cell>
          <cell r="AC237">
            <v>0</v>
          </cell>
          <cell r="AD237">
            <v>0</v>
          </cell>
          <cell r="AE237">
            <v>0</v>
          </cell>
          <cell r="AF237">
            <v>0</v>
          </cell>
          <cell r="AG237" t="str">
            <v>N.M.</v>
          </cell>
          <cell r="AH237">
            <v>0</v>
          </cell>
          <cell r="AI237">
            <v>0</v>
          </cell>
          <cell r="AJ237">
            <v>0</v>
          </cell>
          <cell r="AK237">
            <v>0</v>
          </cell>
          <cell r="AL237" t="str">
            <v>N.M.</v>
          </cell>
          <cell r="AM237">
            <v>0</v>
          </cell>
          <cell r="AN237">
            <v>0</v>
          </cell>
          <cell r="AO237">
            <v>0</v>
          </cell>
          <cell r="AP237">
            <v>0</v>
          </cell>
          <cell r="AQ237" t="str">
            <v>N.M.</v>
          </cell>
          <cell r="AR237">
            <v>0</v>
          </cell>
          <cell r="AS237">
            <v>0</v>
          </cell>
          <cell r="AT237">
            <v>0.95</v>
          </cell>
          <cell r="AU237">
            <v>1</v>
          </cell>
          <cell r="AV237">
            <v>0.87730964062357364</v>
          </cell>
          <cell r="AW237">
            <v>1.05</v>
          </cell>
          <cell r="AX237">
            <v>1.1000000000000001</v>
          </cell>
          <cell r="AY237">
            <v>1.1000000000000001</v>
          </cell>
          <cell r="AZ237">
            <v>1</v>
          </cell>
          <cell r="BA237">
            <v>1</v>
          </cell>
          <cell r="BK237">
            <v>1</v>
          </cell>
          <cell r="BL237">
            <v>-0.12269035937642636</v>
          </cell>
          <cell r="BN237" t="str">
            <v>gt:lvs:venetianMacao:fairShare</v>
          </cell>
        </row>
        <row r="238">
          <cell r="A238" t="str">
            <v>Cotai Site 2 - Four Seasons (LVS)</v>
          </cell>
          <cell r="X238">
            <v>0</v>
          </cell>
          <cell r="Y238">
            <v>0</v>
          </cell>
          <cell r="Z238">
            <v>0</v>
          </cell>
          <cell r="AA238">
            <v>0</v>
          </cell>
          <cell r="AB238" t="str">
            <v>N.M.</v>
          </cell>
          <cell r="AC238">
            <v>0</v>
          </cell>
          <cell r="AD238">
            <v>0</v>
          </cell>
          <cell r="AE238">
            <v>0</v>
          </cell>
          <cell r="AF238">
            <v>0</v>
          </cell>
          <cell r="AG238" t="str">
            <v>N.M.</v>
          </cell>
          <cell r="AH238">
            <v>0</v>
          </cell>
          <cell r="AI238">
            <v>0</v>
          </cell>
          <cell r="AJ238">
            <v>0</v>
          </cell>
          <cell r="AK238">
            <v>0</v>
          </cell>
          <cell r="AL238" t="str">
            <v>N.M.</v>
          </cell>
          <cell r="AM238">
            <v>0</v>
          </cell>
          <cell r="AN238">
            <v>0</v>
          </cell>
          <cell r="AO238">
            <v>0</v>
          </cell>
          <cell r="AP238">
            <v>0</v>
          </cell>
          <cell r="AQ238" t="str">
            <v>N.M.</v>
          </cell>
          <cell r="AR238">
            <v>0</v>
          </cell>
          <cell r="AS238">
            <v>0</v>
          </cell>
          <cell r="AT238">
            <v>0</v>
          </cell>
          <cell r="AU238">
            <v>0</v>
          </cell>
          <cell r="AV238" t="str">
            <v>N.M.</v>
          </cell>
          <cell r="AW238">
            <v>1.1000000000000001</v>
          </cell>
          <cell r="AX238">
            <v>1.1000000000000001</v>
          </cell>
          <cell r="AY238">
            <v>1.1000000000000001</v>
          </cell>
          <cell r="AZ238">
            <v>1.1000000000000001</v>
          </cell>
          <cell r="BA238">
            <v>1.1000000000000001</v>
          </cell>
          <cell r="BK238">
            <v>0.95</v>
          </cell>
          <cell r="BL238" t="e">
            <v>#VALUE!</v>
          </cell>
        </row>
        <row r="239">
          <cell r="A239" t="str">
            <v>Cotai Site 3 - Far East (LVS)</v>
          </cell>
          <cell r="X239">
            <v>0</v>
          </cell>
          <cell r="Y239">
            <v>0</v>
          </cell>
          <cell r="Z239">
            <v>0</v>
          </cell>
          <cell r="AA239">
            <v>0</v>
          </cell>
          <cell r="AB239" t="str">
            <v>N.M.</v>
          </cell>
          <cell r="AC239">
            <v>0</v>
          </cell>
          <cell r="AD239">
            <v>0</v>
          </cell>
          <cell r="AE239">
            <v>0</v>
          </cell>
          <cell r="AF239">
            <v>0</v>
          </cell>
          <cell r="AG239" t="str">
            <v>N.M.</v>
          </cell>
          <cell r="AH239">
            <v>0</v>
          </cell>
          <cell r="AI239">
            <v>0</v>
          </cell>
          <cell r="AJ239">
            <v>0</v>
          </cell>
          <cell r="AK239">
            <v>0</v>
          </cell>
          <cell r="AL239" t="str">
            <v>N.M.</v>
          </cell>
          <cell r="AM239">
            <v>0</v>
          </cell>
          <cell r="AN239">
            <v>0</v>
          </cell>
          <cell r="AO239">
            <v>0</v>
          </cell>
          <cell r="AP239">
            <v>0</v>
          </cell>
          <cell r="AQ239" t="str">
            <v>N.M.</v>
          </cell>
          <cell r="AR239">
            <v>0</v>
          </cell>
          <cell r="AS239">
            <v>0</v>
          </cell>
          <cell r="AT239">
            <v>0</v>
          </cell>
          <cell r="AU239">
            <v>0</v>
          </cell>
          <cell r="AV239" t="str">
            <v>N.M.</v>
          </cell>
          <cell r="AW239">
            <v>0</v>
          </cell>
          <cell r="AX239">
            <v>0.85</v>
          </cell>
          <cell r="AY239">
            <v>0.85</v>
          </cell>
          <cell r="AZ239">
            <v>0.9</v>
          </cell>
          <cell r="BA239">
            <v>0.9</v>
          </cell>
          <cell r="BK239">
            <v>0</v>
          </cell>
          <cell r="BL239" t="e">
            <v>#VALUE!</v>
          </cell>
        </row>
        <row r="240">
          <cell r="A240" t="str">
            <v>Cotai Site 5 - Shangri-La/St.Regis/Traders (LVS)</v>
          </cell>
          <cell r="X240">
            <v>0</v>
          </cell>
          <cell r="Y240">
            <v>0</v>
          </cell>
          <cell r="Z240">
            <v>0</v>
          </cell>
          <cell r="AA240">
            <v>0</v>
          </cell>
          <cell r="AB240" t="str">
            <v>N.M.</v>
          </cell>
          <cell r="AC240">
            <v>0</v>
          </cell>
          <cell r="AD240">
            <v>0</v>
          </cell>
          <cell r="AE240">
            <v>0</v>
          </cell>
          <cell r="AF240">
            <v>0</v>
          </cell>
          <cell r="AG240" t="str">
            <v>N.M.</v>
          </cell>
          <cell r="AH240">
            <v>0</v>
          </cell>
          <cell r="AI240">
            <v>0</v>
          </cell>
          <cell r="AJ240">
            <v>0</v>
          </cell>
          <cell r="AK240">
            <v>0</v>
          </cell>
          <cell r="AL240" t="str">
            <v>N.M.</v>
          </cell>
          <cell r="AM240">
            <v>0</v>
          </cell>
          <cell r="AN240">
            <v>0</v>
          </cell>
          <cell r="AO240">
            <v>0</v>
          </cell>
          <cell r="AP240">
            <v>0</v>
          </cell>
          <cell r="AQ240" t="str">
            <v>N.M.</v>
          </cell>
          <cell r="AR240">
            <v>0</v>
          </cell>
          <cell r="AS240">
            <v>0</v>
          </cell>
          <cell r="AT240">
            <v>0</v>
          </cell>
          <cell r="AU240">
            <v>0</v>
          </cell>
          <cell r="AV240" t="str">
            <v>N.M.</v>
          </cell>
          <cell r="AW240">
            <v>0.9</v>
          </cell>
          <cell r="AX240">
            <v>1</v>
          </cell>
          <cell r="AY240">
            <v>1</v>
          </cell>
          <cell r="AZ240">
            <v>1</v>
          </cell>
          <cell r="BA240">
            <v>1</v>
          </cell>
          <cell r="BK240">
            <v>0</v>
          </cell>
          <cell r="BL240" t="e">
            <v>#VALUE!</v>
          </cell>
        </row>
        <row r="241">
          <cell r="A241" t="str">
            <v>Cotai Site 6 - Starwood (LVS)</v>
          </cell>
          <cell r="X241">
            <v>0</v>
          </cell>
          <cell r="Y241">
            <v>0</v>
          </cell>
          <cell r="Z241">
            <v>0</v>
          </cell>
          <cell r="AA241">
            <v>0</v>
          </cell>
          <cell r="AB241" t="str">
            <v>N.M.</v>
          </cell>
          <cell r="AC241">
            <v>0</v>
          </cell>
          <cell r="AD241">
            <v>0</v>
          </cell>
          <cell r="AE241">
            <v>0</v>
          </cell>
          <cell r="AF241">
            <v>0</v>
          </cell>
          <cell r="AG241" t="str">
            <v>N.M.</v>
          </cell>
          <cell r="AH241">
            <v>0</v>
          </cell>
          <cell r="AI241">
            <v>0</v>
          </cell>
          <cell r="AJ241">
            <v>0</v>
          </cell>
          <cell r="AK241">
            <v>0</v>
          </cell>
          <cell r="AL241" t="str">
            <v>N.M.</v>
          </cell>
          <cell r="AM241">
            <v>0</v>
          </cell>
          <cell r="AN241">
            <v>0</v>
          </cell>
          <cell r="AO241">
            <v>0</v>
          </cell>
          <cell r="AP241">
            <v>0</v>
          </cell>
          <cell r="AQ241" t="str">
            <v>N.M.</v>
          </cell>
          <cell r="AR241">
            <v>0</v>
          </cell>
          <cell r="AS241">
            <v>0</v>
          </cell>
          <cell r="AT241">
            <v>0</v>
          </cell>
          <cell r="AU241">
            <v>0</v>
          </cell>
          <cell r="AV241" t="str">
            <v>N.M.</v>
          </cell>
          <cell r="AW241">
            <v>0.9</v>
          </cell>
          <cell r="AX241">
            <v>1</v>
          </cell>
          <cell r="AY241">
            <v>1</v>
          </cell>
          <cell r="AZ241">
            <v>1</v>
          </cell>
          <cell r="BA241">
            <v>1</v>
          </cell>
          <cell r="BK241">
            <v>0</v>
          </cell>
          <cell r="BL241" t="e">
            <v>#VALUE!</v>
          </cell>
        </row>
        <row r="242">
          <cell r="A242" t="str">
            <v>Cotai Site 7 - Hilton (LVS)</v>
          </cell>
          <cell r="X242">
            <v>0</v>
          </cell>
          <cell r="Y242">
            <v>0</v>
          </cell>
          <cell r="Z242">
            <v>0</v>
          </cell>
          <cell r="AA242">
            <v>0</v>
          </cell>
          <cell r="AB242" t="str">
            <v>N.M.</v>
          </cell>
          <cell r="AC242">
            <v>0</v>
          </cell>
          <cell r="AD242">
            <v>0</v>
          </cell>
          <cell r="AE242">
            <v>0</v>
          </cell>
          <cell r="AF242">
            <v>0</v>
          </cell>
          <cell r="AG242" t="str">
            <v>N.M.</v>
          </cell>
          <cell r="AH242">
            <v>0</v>
          </cell>
          <cell r="AI242">
            <v>0</v>
          </cell>
          <cell r="AJ242">
            <v>0</v>
          </cell>
          <cell r="AK242">
            <v>0</v>
          </cell>
          <cell r="AL242" t="str">
            <v>N.M.</v>
          </cell>
          <cell r="AM242">
            <v>0</v>
          </cell>
          <cell r="AN242">
            <v>0</v>
          </cell>
          <cell r="AO242">
            <v>0</v>
          </cell>
          <cell r="AP242">
            <v>0</v>
          </cell>
          <cell r="AQ242" t="str">
            <v>N.M.</v>
          </cell>
          <cell r="AR242">
            <v>0</v>
          </cell>
          <cell r="AS242">
            <v>0</v>
          </cell>
          <cell r="AT242">
            <v>0</v>
          </cell>
          <cell r="AU242">
            <v>0</v>
          </cell>
          <cell r="AV242" t="str">
            <v>N.M.</v>
          </cell>
          <cell r="AW242">
            <v>0</v>
          </cell>
          <cell r="AX242">
            <v>0.9</v>
          </cell>
          <cell r="AY242">
            <v>1</v>
          </cell>
          <cell r="AZ242">
            <v>1</v>
          </cell>
          <cell r="BA242">
            <v>1</v>
          </cell>
          <cell r="BK242">
            <v>0</v>
          </cell>
          <cell r="BL242" t="e">
            <v>#VALUE!</v>
          </cell>
        </row>
        <row r="243">
          <cell r="A243" t="str">
            <v>Cotai Site 8 - FHR/Raffles (LVS)</v>
          </cell>
          <cell r="X243">
            <v>0</v>
          </cell>
          <cell r="Y243">
            <v>0</v>
          </cell>
          <cell r="Z243">
            <v>0</v>
          </cell>
          <cell r="AA243">
            <v>0</v>
          </cell>
          <cell r="AB243" t="str">
            <v>N.M.</v>
          </cell>
          <cell r="AC243">
            <v>0</v>
          </cell>
          <cell r="AD243">
            <v>0</v>
          </cell>
          <cell r="AE243">
            <v>0</v>
          </cell>
          <cell r="AF243">
            <v>0</v>
          </cell>
          <cell r="AG243" t="str">
            <v>N.M.</v>
          </cell>
          <cell r="AH243">
            <v>0</v>
          </cell>
          <cell r="AI243">
            <v>0</v>
          </cell>
          <cell r="AJ243">
            <v>0</v>
          </cell>
          <cell r="AK243">
            <v>0</v>
          </cell>
          <cell r="AL243" t="str">
            <v>N.M.</v>
          </cell>
          <cell r="AM243">
            <v>0</v>
          </cell>
          <cell r="AN243">
            <v>0</v>
          </cell>
          <cell r="AO243">
            <v>0</v>
          </cell>
          <cell r="AP243">
            <v>0</v>
          </cell>
          <cell r="AQ243" t="str">
            <v>N.M.</v>
          </cell>
          <cell r="AR243">
            <v>0</v>
          </cell>
          <cell r="AS243">
            <v>0</v>
          </cell>
          <cell r="AT243">
            <v>0</v>
          </cell>
          <cell r="AU243">
            <v>0</v>
          </cell>
          <cell r="AV243" t="str">
            <v>N.M.</v>
          </cell>
          <cell r="AW243">
            <v>0</v>
          </cell>
          <cell r="AX243">
            <v>0.9</v>
          </cell>
          <cell r="AY243">
            <v>1</v>
          </cell>
          <cell r="AZ243">
            <v>1</v>
          </cell>
          <cell r="BA243">
            <v>1</v>
          </cell>
          <cell r="BK243">
            <v>0</v>
          </cell>
          <cell r="BL243" t="e">
            <v>#VALUE!</v>
          </cell>
        </row>
        <row r="244">
          <cell r="A244" t="str">
            <v>Wynn Macau</v>
          </cell>
          <cell r="X244">
            <v>0</v>
          </cell>
          <cell r="Y244">
            <v>0</v>
          </cell>
          <cell r="Z244">
            <v>0</v>
          </cell>
          <cell r="AA244">
            <v>0</v>
          </cell>
          <cell r="AB244" t="str">
            <v>N.M.</v>
          </cell>
          <cell r="AC244">
            <v>0</v>
          </cell>
          <cell r="AD244">
            <v>0</v>
          </cell>
          <cell r="AE244">
            <v>0</v>
          </cell>
          <cell r="AF244">
            <v>0</v>
          </cell>
          <cell r="AG244" t="str">
            <v>N.M.</v>
          </cell>
          <cell r="AH244">
            <v>0</v>
          </cell>
          <cell r="AI244">
            <v>0</v>
          </cell>
          <cell r="AJ244">
            <v>0</v>
          </cell>
          <cell r="AK244">
            <v>0</v>
          </cell>
          <cell r="AL244" t="str">
            <v>N.M.</v>
          </cell>
          <cell r="AM244">
            <v>0</v>
          </cell>
          <cell r="AN244">
            <v>0</v>
          </cell>
          <cell r="AO244">
            <v>1.5085970108002904</v>
          </cell>
          <cell r="AP244">
            <v>1.7803911695704138</v>
          </cell>
          <cell r="AQ244">
            <v>1.5032113619893295</v>
          </cell>
          <cell r="AR244">
            <v>2.2000000000000002</v>
          </cell>
          <cell r="AS244">
            <v>1.8</v>
          </cell>
          <cell r="AT244">
            <v>1.8</v>
          </cell>
          <cell r="AU244">
            <v>1.75</v>
          </cell>
          <cell r="AV244">
            <v>1.8491700905658222</v>
          </cell>
          <cell r="AW244">
            <v>1.9</v>
          </cell>
          <cell r="AX244">
            <v>2.12</v>
          </cell>
          <cell r="AY244">
            <v>2.14</v>
          </cell>
          <cell r="AZ244">
            <v>2.2000000000000002</v>
          </cell>
          <cell r="BA244">
            <v>2.2000000000000002</v>
          </cell>
          <cell r="BK244">
            <v>1.75</v>
          </cell>
          <cell r="BL244">
            <v>9.9170090565822155E-2</v>
          </cell>
        </row>
        <row r="245">
          <cell r="A245" t="str">
            <v>Wynn Cotai</v>
          </cell>
          <cell r="X245">
            <v>0</v>
          </cell>
          <cell r="Y245">
            <v>0</v>
          </cell>
          <cell r="Z245">
            <v>0</v>
          </cell>
          <cell r="AA245">
            <v>0</v>
          </cell>
          <cell r="AB245" t="str">
            <v>N.M.</v>
          </cell>
          <cell r="AC245">
            <v>0</v>
          </cell>
          <cell r="AD245">
            <v>0</v>
          </cell>
          <cell r="AE245">
            <v>0</v>
          </cell>
          <cell r="AF245">
            <v>0</v>
          </cell>
          <cell r="AG245" t="str">
            <v>N.M.</v>
          </cell>
          <cell r="AH245">
            <v>0</v>
          </cell>
          <cell r="AI245">
            <v>0</v>
          </cell>
          <cell r="AJ245">
            <v>0</v>
          </cell>
          <cell r="AK245">
            <v>0</v>
          </cell>
          <cell r="AL245" t="str">
            <v>N.M.</v>
          </cell>
          <cell r="AM245">
            <v>0</v>
          </cell>
          <cell r="AN245">
            <v>0</v>
          </cell>
          <cell r="AO245">
            <v>0</v>
          </cell>
          <cell r="AP245">
            <v>0</v>
          </cell>
          <cell r="AQ245" t="str">
            <v>N.M.</v>
          </cell>
          <cell r="AR245">
            <v>0</v>
          </cell>
          <cell r="AS245">
            <v>0</v>
          </cell>
          <cell r="AT245">
            <v>0</v>
          </cell>
          <cell r="AU245">
            <v>0</v>
          </cell>
          <cell r="AV245" t="str">
            <v>N.M.</v>
          </cell>
          <cell r="AW245">
            <v>0</v>
          </cell>
          <cell r="AX245">
            <v>0</v>
          </cell>
          <cell r="AY245">
            <v>1</v>
          </cell>
          <cell r="AZ245">
            <v>1.05</v>
          </cell>
          <cell r="BA245">
            <v>1.05</v>
          </cell>
          <cell r="BK245">
            <v>0</v>
          </cell>
          <cell r="BL245" t="e">
            <v>#VALUE!</v>
          </cell>
        </row>
        <row r="246">
          <cell r="A246" t="str">
            <v>Wynn Cotai #2</v>
          </cell>
          <cell r="X246">
            <v>0</v>
          </cell>
          <cell r="Y246">
            <v>0</v>
          </cell>
          <cell r="Z246">
            <v>0</v>
          </cell>
          <cell r="AA246">
            <v>0</v>
          </cell>
          <cell r="AB246" t="str">
            <v>N.M.</v>
          </cell>
          <cell r="AC246">
            <v>0</v>
          </cell>
          <cell r="AD246">
            <v>0</v>
          </cell>
          <cell r="AE246">
            <v>0</v>
          </cell>
          <cell r="AF246">
            <v>0</v>
          </cell>
          <cell r="AG246" t="str">
            <v>N.M.</v>
          </cell>
          <cell r="AH246">
            <v>0</v>
          </cell>
          <cell r="AI246">
            <v>0</v>
          </cell>
          <cell r="AJ246">
            <v>0</v>
          </cell>
          <cell r="AK246">
            <v>0</v>
          </cell>
          <cell r="AL246" t="str">
            <v>N.M.</v>
          </cell>
          <cell r="AM246">
            <v>0</v>
          </cell>
          <cell r="AN246">
            <v>0</v>
          </cell>
          <cell r="AO246">
            <v>0</v>
          </cell>
          <cell r="AP246">
            <v>0</v>
          </cell>
          <cell r="AQ246" t="str">
            <v>N.M.</v>
          </cell>
          <cell r="AR246">
            <v>0</v>
          </cell>
          <cell r="AS246">
            <v>0</v>
          </cell>
          <cell r="AT246">
            <v>0</v>
          </cell>
          <cell r="AU246">
            <v>0</v>
          </cell>
          <cell r="AV246" t="str">
            <v>N.M.</v>
          </cell>
          <cell r="AW246">
            <v>0</v>
          </cell>
          <cell r="AX246">
            <v>0</v>
          </cell>
          <cell r="AY246">
            <v>1</v>
          </cell>
          <cell r="AZ246">
            <v>1.05</v>
          </cell>
          <cell r="BA246">
            <v>1.05</v>
          </cell>
        </row>
        <row r="247">
          <cell r="A247" t="str">
            <v>MGM Grand</v>
          </cell>
          <cell r="X247">
            <v>0</v>
          </cell>
          <cell r="Y247">
            <v>0</v>
          </cell>
          <cell r="Z247">
            <v>0</v>
          </cell>
          <cell r="AA247">
            <v>0</v>
          </cell>
          <cell r="AB247" t="str">
            <v>N.M.</v>
          </cell>
          <cell r="AC247">
            <v>0</v>
          </cell>
          <cell r="AD247">
            <v>0</v>
          </cell>
          <cell r="AE247">
            <v>0</v>
          </cell>
          <cell r="AF247">
            <v>0</v>
          </cell>
          <cell r="AG247" t="str">
            <v>N.M.</v>
          </cell>
          <cell r="AH247">
            <v>0</v>
          </cell>
          <cell r="AI247">
            <v>0</v>
          </cell>
          <cell r="AJ247">
            <v>0</v>
          </cell>
          <cell r="AK247">
            <v>0</v>
          </cell>
          <cell r="AL247" t="str">
            <v>N.M.</v>
          </cell>
          <cell r="AM247">
            <v>0</v>
          </cell>
          <cell r="AN247">
            <v>0</v>
          </cell>
          <cell r="AO247">
            <v>0</v>
          </cell>
          <cell r="AP247">
            <v>0</v>
          </cell>
          <cell r="AQ247" t="str">
            <v>N.M.</v>
          </cell>
          <cell r="AR247">
            <v>0</v>
          </cell>
          <cell r="AS247">
            <v>0</v>
          </cell>
          <cell r="AT247">
            <v>0</v>
          </cell>
          <cell r="AU247">
            <v>1.2</v>
          </cell>
          <cell r="AV247">
            <v>1.0768169205587728</v>
          </cell>
          <cell r="AW247">
            <v>1.8</v>
          </cell>
          <cell r="AX247">
            <v>2</v>
          </cell>
          <cell r="AY247">
            <v>2</v>
          </cell>
          <cell r="AZ247">
            <v>2</v>
          </cell>
          <cell r="BA247">
            <v>2</v>
          </cell>
          <cell r="BK247">
            <v>1.55</v>
          </cell>
          <cell r="BL247">
            <v>-0.47318307944122728</v>
          </cell>
        </row>
        <row r="248">
          <cell r="A248" t="str">
            <v>MGM Cotai #1</v>
          </cell>
          <cell r="X248">
            <v>0</v>
          </cell>
          <cell r="Y248">
            <v>0</v>
          </cell>
          <cell r="Z248">
            <v>0</v>
          </cell>
          <cell r="AA248">
            <v>0</v>
          </cell>
          <cell r="AB248" t="str">
            <v>N.M.</v>
          </cell>
          <cell r="AC248">
            <v>0</v>
          </cell>
          <cell r="AD248">
            <v>0</v>
          </cell>
          <cell r="AE248">
            <v>0</v>
          </cell>
          <cell r="AF248">
            <v>0</v>
          </cell>
          <cell r="AG248" t="str">
            <v>N.M.</v>
          </cell>
          <cell r="AH248">
            <v>0</v>
          </cell>
          <cell r="AI248">
            <v>0</v>
          </cell>
          <cell r="AJ248">
            <v>0</v>
          </cell>
          <cell r="AK248">
            <v>0</v>
          </cell>
          <cell r="AL248" t="str">
            <v>N.M.</v>
          </cell>
          <cell r="AM248">
            <v>0</v>
          </cell>
          <cell r="AN248">
            <v>0</v>
          </cell>
          <cell r="AO248">
            <v>0</v>
          </cell>
          <cell r="AP248">
            <v>0</v>
          </cell>
          <cell r="AQ248" t="str">
            <v>N.M.</v>
          </cell>
          <cell r="AR248">
            <v>0</v>
          </cell>
          <cell r="AS248">
            <v>0</v>
          </cell>
          <cell r="AT248">
            <v>0</v>
          </cell>
          <cell r="AU248">
            <v>0</v>
          </cell>
          <cell r="AV248" t="str">
            <v>N.M.</v>
          </cell>
          <cell r="AW248">
            <v>0</v>
          </cell>
          <cell r="AX248">
            <v>0</v>
          </cell>
          <cell r="AY248">
            <v>0</v>
          </cell>
          <cell r="AZ248">
            <v>1.05</v>
          </cell>
          <cell r="BA248">
            <v>1.05</v>
          </cell>
        </row>
        <row r="249">
          <cell r="A249" t="str">
            <v>Crown Macau - PBL/Melco</v>
          </cell>
          <cell r="X249">
            <v>0</v>
          </cell>
          <cell r="Y249">
            <v>0</v>
          </cell>
          <cell r="Z249">
            <v>0</v>
          </cell>
          <cell r="AA249">
            <v>0</v>
          </cell>
          <cell r="AB249" t="str">
            <v>N.M.</v>
          </cell>
          <cell r="AC249">
            <v>0</v>
          </cell>
          <cell r="AD249">
            <v>0</v>
          </cell>
          <cell r="AE249">
            <v>0</v>
          </cell>
          <cell r="AF249">
            <v>0</v>
          </cell>
          <cell r="AG249" t="str">
            <v>N.M.</v>
          </cell>
          <cell r="AH249">
            <v>0</v>
          </cell>
          <cell r="AI249">
            <v>0</v>
          </cell>
          <cell r="AJ249">
            <v>0</v>
          </cell>
          <cell r="AK249">
            <v>0</v>
          </cell>
          <cell r="AL249" t="str">
            <v>N.M.</v>
          </cell>
          <cell r="AM249">
            <v>0</v>
          </cell>
          <cell r="AN249">
            <v>0</v>
          </cell>
          <cell r="AO249">
            <v>0</v>
          </cell>
          <cell r="AP249">
            <v>0</v>
          </cell>
          <cell r="AQ249" t="str">
            <v>N.M.</v>
          </cell>
          <cell r="AR249">
            <v>0</v>
          </cell>
          <cell r="AS249">
            <v>0.5</v>
          </cell>
          <cell r="AT249">
            <v>0.5</v>
          </cell>
          <cell r="AU249">
            <v>0.5</v>
          </cell>
          <cell r="AV249">
            <v>0.46360935953232263</v>
          </cell>
          <cell r="AW249">
            <v>0.5</v>
          </cell>
          <cell r="AX249">
            <v>0.55000000000000004</v>
          </cell>
          <cell r="AY249">
            <v>0.55000000000000004</v>
          </cell>
          <cell r="AZ249">
            <v>0.6</v>
          </cell>
          <cell r="BA249">
            <v>0.6</v>
          </cell>
          <cell r="BK249">
            <v>0.75</v>
          </cell>
          <cell r="BL249">
            <v>-0.28639064046767737</v>
          </cell>
        </row>
        <row r="250">
          <cell r="A250" t="str">
            <v>Penninsula Project - PBL/Melco ("Trinity")</v>
          </cell>
          <cell r="X250">
            <v>0</v>
          </cell>
          <cell r="Y250">
            <v>0</v>
          </cell>
          <cell r="Z250">
            <v>0</v>
          </cell>
          <cell r="AA250">
            <v>0</v>
          </cell>
          <cell r="AB250" t="str">
            <v>N.M.</v>
          </cell>
          <cell r="AC250">
            <v>0</v>
          </cell>
          <cell r="AD250">
            <v>0</v>
          </cell>
          <cell r="AE250">
            <v>0</v>
          </cell>
          <cell r="AF250">
            <v>0</v>
          </cell>
          <cell r="AG250" t="str">
            <v>N.M.</v>
          </cell>
          <cell r="AH250">
            <v>0</v>
          </cell>
          <cell r="AI250">
            <v>0</v>
          </cell>
          <cell r="AJ250">
            <v>0</v>
          </cell>
          <cell r="AK250">
            <v>0</v>
          </cell>
          <cell r="AL250" t="str">
            <v>N.M.</v>
          </cell>
          <cell r="AM250">
            <v>0</v>
          </cell>
          <cell r="AN250">
            <v>0</v>
          </cell>
          <cell r="AO250">
            <v>0</v>
          </cell>
          <cell r="AP250">
            <v>0</v>
          </cell>
          <cell r="AQ250" t="str">
            <v>N.M.</v>
          </cell>
          <cell r="AR250">
            <v>0</v>
          </cell>
          <cell r="AS250">
            <v>0</v>
          </cell>
          <cell r="AT250">
            <v>0</v>
          </cell>
          <cell r="AU250">
            <v>0</v>
          </cell>
          <cell r="AV250" t="str">
            <v>N.M.</v>
          </cell>
          <cell r="AW250">
            <v>0</v>
          </cell>
          <cell r="AX250">
            <v>1.5</v>
          </cell>
          <cell r="AY250">
            <v>1.5</v>
          </cell>
          <cell r="AZ250">
            <v>1.5</v>
          </cell>
          <cell r="BA250">
            <v>1.5</v>
          </cell>
          <cell r="BK250">
            <v>0</v>
          </cell>
          <cell r="BL250" t="e">
            <v>#VALUE!</v>
          </cell>
        </row>
        <row r="251">
          <cell r="A251" t="str">
            <v>City of Dreams - PBL/Melco</v>
          </cell>
          <cell r="X251">
            <v>0</v>
          </cell>
          <cell r="Y251">
            <v>0</v>
          </cell>
          <cell r="Z251">
            <v>0</v>
          </cell>
          <cell r="AA251">
            <v>0</v>
          </cell>
          <cell r="AB251" t="str">
            <v>N.M.</v>
          </cell>
          <cell r="AC251">
            <v>0</v>
          </cell>
          <cell r="AD251">
            <v>0</v>
          </cell>
          <cell r="AE251">
            <v>0</v>
          </cell>
          <cell r="AF251">
            <v>0</v>
          </cell>
          <cell r="AG251" t="str">
            <v>N.M.</v>
          </cell>
          <cell r="AH251">
            <v>0</v>
          </cell>
          <cell r="AI251">
            <v>0</v>
          </cell>
          <cell r="AJ251">
            <v>0</v>
          </cell>
          <cell r="AK251">
            <v>0</v>
          </cell>
          <cell r="AL251" t="str">
            <v>N.M.</v>
          </cell>
          <cell r="AM251">
            <v>0</v>
          </cell>
          <cell r="AN251">
            <v>0</v>
          </cell>
          <cell r="AO251">
            <v>0</v>
          </cell>
          <cell r="AP251">
            <v>0</v>
          </cell>
          <cell r="AQ251" t="str">
            <v>N.M.</v>
          </cell>
          <cell r="AR251">
            <v>0</v>
          </cell>
          <cell r="AS251">
            <v>0</v>
          </cell>
          <cell r="AT251">
            <v>0</v>
          </cell>
          <cell r="AU251">
            <v>0</v>
          </cell>
          <cell r="AV251" t="str">
            <v>N.M.</v>
          </cell>
          <cell r="AW251">
            <v>0</v>
          </cell>
          <cell r="AX251">
            <v>1</v>
          </cell>
          <cell r="AY251">
            <v>1</v>
          </cell>
          <cell r="AZ251">
            <v>1</v>
          </cell>
          <cell r="BA251">
            <v>1</v>
          </cell>
          <cell r="BK251">
            <v>0</v>
          </cell>
          <cell r="BL251" t="e">
            <v>#VALUE!</v>
          </cell>
        </row>
        <row r="252">
          <cell r="A252" t="str">
            <v>Galaxy Cotai Mega Resort</v>
          </cell>
          <cell r="X252">
            <v>0</v>
          </cell>
          <cell r="Y252">
            <v>0</v>
          </cell>
          <cell r="Z252">
            <v>0</v>
          </cell>
          <cell r="AA252">
            <v>0</v>
          </cell>
          <cell r="AB252" t="str">
            <v>N.M.</v>
          </cell>
          <cell r="AC252">
            <v>0</v>
          </cell>
          <cell r="AD252">
            <v>0</v>
          </cell>
          <cell r="AE252">
            <v>0</v>
          </cell>
          <cell r="AF252">
            <v>0</v>
          </cell>
          <cell r="AG252" t="str">
            <v>N.M.</v>
          </cell>
          <cell r="AH252">
            <v>0</v>
          </cell>
          <cell r="AI252">
            <v>0</v>
          </cell>
          <cell r="AJ252">
            <v>0</v>
          </cell>
          <cell r="AK252">
            <v>0</v>
          </cell>
          <cell r="AL252" t="str">
            <v>N.M.</v>
          </cell>
          <cell r="AM252">
            <v>0</v>
          </cell>
          <cell r="AN252">
            <v>0</v>
          </cell>
          <cell r="AO252">
            <v>0</v>
          </cell>
          <cell r="AP252">
            <v>0</v>
          </cell>
          <cell r="AQ252" t="str">
            <v>N.M.</v>
          </cell>
          <cell r="AR252">
            <v>0</v>
          </cell>
          <cell r="AS252">
            <v>0</v>
          </cell>
          <cell r="AT252">
            <v>0</v>
          </cell>
          <cell r="AU252">
            <v>0</v>
          </cell>
          <cell r="AV252" t="str">
            <v>N.M.</v>
          </cell>
          <cell r="AW252">
            <v>0.85</v>
          </cell>
          <cell r="AX252">
            <v>0.85</v>
          </cell>
          <cell r="AY252">
            <v>0.85</v>
          </cell>
          <cell r="AZ252">
            <v>0.85</v>
          </cell>
          <cell r="BA252">
            <v>0.85</v>
          </cell>
          <cell r="BK252">
            <v>0.75</v>
          </cell>
          <cell r="BL252" t="e">
            <v>#VALUE!</v>
          </cell>
        </row>
        <row r="253">
          <cell r="A253" t="str">
            <v>Galaxy StarWorld</v>
          </cell>
          <cell r="X253">
            <v>0</v>
          </cell>
          <cell r="Y253">
            <v>0</v>
          </cell>
          <cell r="Z253">
            <v>0</v>
          </cell>
          <cell r="AA253">
            <v>0</v>
          </cell>
          <cell r="AB253" t="str">
            <v>N.M.</v>
          </cell>
          <cell r="AC253">
            <v>0</v>
          </cell>
          <cell r="AD253">
            <v>0</v>
          </cell>
          <cell r="AE253">
            <v>0</v>
          </cell>
          <cell r="AF253">
            <v>0</v>
          </cell>
          <cell r="AG253" t="str">
            <v>N.M.</v>
          </cell>
          <cell r="AH253">
            <v>0</v>
          </cell>
          <cell r="AI253">
            <v>0</v>
          </cell>
          <cell r="AJ253">
            <v>0</v>
          </cell>
          <cell r="AK253">
            <v>0</v>
          </cell>
          <cell r="AL253" t="str">
            <v>N.M.</v>
          </cell>
          <cell r="AM253">
            <v>0</v>
          </cell>
          <cell r="AN253">
            <v>0</v>
          </cell>
          <cell r="AO253">
            <v>0</v>
          </cell>
          <cell r="AP253">
            <v>1.1000000000000001</v>
          </cell>
          <cell r="AQ253">
            <v>0.94088975663695162</v>
          </cell>
          <cell r="AR253">
            <v>1.1000000000000001</v>
          </cell>
          <cell r="AS253">
            <v>1.1000000000000001</v>
          </cell>
          <cell r="AT253">
            <v>1.1499999999999999</v>
          </cell>
          <cell r="AU253">
            <v>1.1499999999999999</v>
          </cell>
          <cell r="AV253">
            <v>1.1569694570031994</v>
          </cell>
          <cell r="AW253">
            <v>1.4</v>
          </cell>
          <cell r="AX253">
            <v>1.5</v>
          </cell>
          <cell r="AY253">
            <v>1.5</v>
          </cell>
          <cell r="AZ253">
            <v>1.5</v>
          </cell>
          <cell r="BA253">
            <v>1.5</v>
          </cell>
          <cell r="BK253">
            <v>1.1499999999999999</v>
          </cell>
          <cell r="BL253">
            <v>6.9694570031995084E-3</v>
          </cell>
        </row>
        <row r="254">
          <cell r="A254" t="str">
            <v>Galaxy City Clubs</v>
          </cell>
          <cell r="X254">
            <v>0</v>
          </cell>
          <cell r="Y254">
            <v>0</v>
          </cell>
          <cell r="Z254">
            <v>0</v>
          </cell>
          <cell r="AA254">
            <v>0</v>
          </cell>
          <cell r="AB254" t="str">
            <v>N.M.</v>
          </cell>
          <cell r="AC254">
            <v>0</v>
          </cell>
          <cell r="AD254">
            <v>0</v>
          </cell>
          <cell r="AE254">
            <v>0</v>
          </cell>
          <cell r="AF254">
            <v>0</v>
          </cell>
          <cell r="AG254" t="str">
            <v>N.M.</v>
          </cell>
          <cell r="AH254">
            <v>0</v>
          </cell>
          <cell r="AI254">
            <v>0</v>
          </cell>
          <cell r="AJ254">
            <v>0</v>
          </cell>
          <cell r="AK254">
            <v>0</v>
          </cell>
          <cell r="AL254" t="str">
            <v>N.M.</v>
          </cell>
          <cell r="AM254">
            <v>0.57491558020767908</v>
          </cell>
          <cell r="AN254">
            <v>0.66857634651014053</v>
          </cell>
          <cell r="AO254">
            <v>0.55000000000000004</v>
          </cell>
          <cell r="AP254">
            <v>0.6</v>
          </cell>
          <cell r="AQ254">
            <v>0.58052837261357459</v>
          </cell>
          <cell r="AR254">
            <v>0.55000000000000004</v>
          </cell>
          <cell r="AS254">
            <v>0.55000000000000004</v>
          </cell>
          <cell r="AT254">
            <v>0.5</v>
          </cell>
          <cell r="AU254">
            <v>0.5</v>
          </cell>
          <cell r="AV254">
            <v>0.54473962502349715</v>
          </cell>
          <cell r="AW254">
            <v>0.5</v>
          </cell>
          <cell r="AX254">
            <v>0.5</v>
          </cell>
          <cell r="AY254">
            <v>0.5</v>
          </cell>
          <cell r="AZ254">
            <v>0.5</v>
          </cell>
          <cell r="BA254">
            <v>0.5</v>
          </cell>
          <cell r="BK254">
            <v>0.55000000000000004</v>
          </cell>
          <cell r="BL254">
            <v>-5.2603749765028907E-3</v>
          </cell>
        </row>
        <row r="255">
          <cell r="A255" t="str">
            <v>Macau Studio City</v>
          </cell>
          <cell r="X255">
            <v>0</v>
          </cell>
          <cell r="Y255">
            <v>0</v>
          </cell>
          <cell r="Z255">
            <v>0</v>
          </cell>
          <cell r="AA255">
            <v>0</v>
          </cell>
          <cell r="AB255" t="str">
            <v>N.M.</v>
          </cell>
          <cell r="AC255">
            <v>0</v>
          </cell>
          <cell r="AD255">
            <v>0</v>
          </cell>
          <cell r="AE255">
            <v>0</v>
          </cell>
          <cell r="AF255">
            <v>0</v>
          </cell>
          <cell r="AG255" t="str">
            <v>N.M.</v>
          </cell>
          <cell r="AH255">
            <v>0</v>
          </cell>
          <cell r="AI255">
            <v>0</v>
          </cell>
          <cell r="AJ255">
            <v>0</v>
          </cell>
          <cell r="AK255">
            <v>0</v>
          </cell>
          <cell r="AL255" t="str">
            <v>N.M.</v>
          </cell>
          <cell r="AM255">
            <v>0</v>
          </cell>
          <cell r="AN255">
            <v>0</v>
          </cell>
          <cell r="AO255">
            <v>0</v>
          </cell>
          <cell r="AP255">
            <v>0</v>
          </cell>
          <cell r="AQ255" t="str">
            <v>N.M.</v>
          </cell>
          <cell r="AR255">
            <v>0</v>
          </cell>
          <cell r="AS255">
            <v>0</v>
          </cell>
          <cell r="AT255">
            <v>0</v>
          </cell>
          <cell r="AU255">
            <v>0</v>
          </cell>
          <cell r="AV255" t="str">
            <v>N.M.</v>
          </cell>
          <cell r="AW255">
            <v>0</v>
          </cell>
          <cell r="AX255">
            <v>1.05</v>
          </cell>
          <cell r="AY255">
            <v>1.05</v>
          </cell>
          <cell r="AZ255">
            <v>1.05</v>
          </cell>
          <cell r="BA255">
            <v>1.05</v>
          </cell>
          <cell r="BK255">
            <v>0</v>
          </cell>
          <cell r="BL255" t="e">
            <v>#VALUE!</v>
          </cell>
        </row>
        <row r="256">
          <cell r="A256" t="str">
            <v>New SJM</v>
          </cell>
          <cell r="X256">
            <v>0</v>
          </cell>
          <cell r="Y256">
            <v>0</v>
          </cell>
          <cell r="Z256">
            <v>0</v>
          </cell>
          <cell r="AA256">
            <v>0</v>
          </cell>
          <cell r="AB256" t="str">
            <v>N.M.</v>
          </cell>
          <cell r="AC256">
            <v>0</v>
          </cell>
          <cell r="AD256">
            <v>0</v>
          </cell>
          <cell r="AE256">
            <v>0</v>
          </cell>
          <cell r="AF256">
            <v>0</v>
          </cell>
          <cell r="AG256" t="str">
            <v>N.M.</v>
          </cell>
          <cell r="AH256">
            <v>0</v>
          </cell>
          <cell r="AI256">
            <v>0</v>
          </cell>
          <cell r="AJ256">
            <v>0</v>
          </cell>
          <cell r="AK256">
            <v>0</v>
          </cell>
          <cell r="AL256" t="str">
            <v>N.M.</v>
          </cell>
          <cell r="AM256">
            <v>0</v>
          </cell>
          <cell r="AN256">
            <v>0</v>
          </cell>
          <cell r="AO256">
            <v>0</v>
          </cell>
          <cell r="AP256">
            <v>1.1000000000000001</v>
          </cell>
          <cell r="AQ256">
            <v>0.94088975663695151</v>
          </cell>
          <cell r="AR256">
            <v>1</v>
          </cell>
          <cell r="AS256">
            <v>0.75</v>
          </cell>
          <cell r="AT256">
            <v>0.75</v>
          </cell>
          <cell r="AU256">
            <v>0.95</v>
          </cell>
          <cell r="AV256">
            <v>0.8394303830947113</v>
          </cell>
          <cell r="AW256">
            <v>0.9</v>
          </cell>
          <cell r="AX256">
            <v>0.9</v>
          </cell>
          <cell r="AY256">
            <v>0.9</v>
          </cell>
          <cell r="AZ256">
            <v>0.9</v>
          </cell>
          <cell r="BA256">
            <v>0.95</v>
          </cell>
          <cell r="BK256">
            <v>0.95</v>
          </cell>
          <cell r="BL256">
            <v>-0.11056961690528866</v>
          </cell>
        </row>
        <row r="257">
          <cell r="A257" t="str">
            <v>Old SJM</v>
          </cell>
          <cell r="X257">
            <v>0</v>
          </cell>
          <cell r="Y257">
            <v>0</v>
          </cell>
          <cell r="Z257">
            <v>0</v>
          </cell>
          <cell r="AA257">
            <v>0</v>
          </cell>
          <cell r="AB257" t="str">
            <v>N.M.</v>
          </cell>
          <cell r="AC257">
            <v>0</v>
          </cell>
          <cell r="AD257">
            <v>0</v>
          </cell>
          <cell r="AE257">
            <v>0</v>
          </cell>
          <cell r="AF257">
            <v>0</v>
          </cell>
          <cell r="AG257" t="str">
            <v>N.M.</v>
          </cell>
          <cell r="AH257">
            <v>0</v>
          </cell>
          <cell r="AI257">
            <v>0</v>
          </cell>
          <cell r="AJ257">
            <v>0</v>
          </cell>
          <cell r="AK257">
            <v>0</v>
          </cell>
          <cell r="AL257" t="str">
            <v>N.M.</v>
          </cell>
          <cell r="AM257">
            <v>0.92550160041463581</v>
          </cell>
          <cell r="AN257">
            <v>0.90293257621499312</v>
          </cell>
          <cell r="AO257">
            <v>0.98118890118406865</v>
          </cell>
          <cell r="AP257">
            <v>0.96625854343459661</v>
          </cell>
          <cell r="AQ257">
            <v>0.96347501509491673</v>
          </cell>
          <cell r="AR257">
            <v>0.81740541993076521</v>
          </cell>
          <cell r="AS257">
            <v>0.93692859271367102</v>
          </cell>
          <cell r="AT257">
            <v>0.96976371491309177</v>
          </cell>
          <cell r="AU257">
            <v>0.89261230175899886</v>
          </cell>
          <cell r="AV257">
            <v>0.92382837350893987</v>
          </cell>
          <cell r="AW257">
            <v>0.43950267881362903</v>
          </cell>
          <cell r="AX257">
            <v>0.27521889636202584</v>
          </cell>
          <cell r="AY257">
            <v>0.2411129758307253</v>
          </cell>
          <cell r="AZ257">
            <v>0.29025571235026953</v>
          </cell>
          <cell r="BA257">
            <v>0.22785176628572573</v>
          </cell>
          <cell r="BK257">
            <v>0.8886022228998155</v>
          </cell>
          <cell r="BL257">
            <v>3.5226150609124374E-2</v>
          </cell>
        </row>
        <row r="258">
          <cell r="A258" t="str">
            <v>Other Mass Market</v>
          </cell>
          <cell r="X258">
            <v>1</v>
          </cell>
          <cell r="Y258">
            <v>1</v>
          </cell>
          <cell r="Z258">
            <v>1</v>
          </cell>
          <cell r="AA258">
            <v>1</v>
          </cell>
          <cell r="AB258">
            <v>1</v>
          </cell>
          <cell r="AC258">
            <v>1</v>
          </cell>
          <cell r="AD258">
            <v>1.1341975378346341</v>
          </cell>
          <cell r="AE258">
            <v>1.172702200893613</v>
          </cell>
          <cell r="AF258">
            <v>0.91152300447488022</v>
          </cell>
          <cell r="AG258">
            <v>1.0830071562426964</v>
          </cell>
          <cell r="AH258">
            <v>0.95119910866555779</v>
          </cell>
          <cell r="AI258">
            <v>0.95707964180435601</v>
          </cell>
          <cell r="AJ258">
            <v>0.95631633320714948</v>
          </cell>
          <cell r="AK258">
            <v>0.95561747383260465</v>
          </cell>
          <cell r="AL258">
            <v>0.95549877503650993</v>
          </cell>
          <cell r="BL258">
            <v>0</v>
          </cell>
        </row>
        <row r="259">
          <cell r="BL259">
            <v>0</v>
          </cell>
        </row>
        <row r="260">
          <cell r="A260" t="str">
            <v>Mass Market Casino Revenue Growth</v>
          </cell>
          <cell r="BL260">
            <v>0</v>
          </cell>
        </row>
        <row r="261">
          <cell r="A261" t="str">
            <v>Sands Macao</v>
          </cell>
          <cell r="D261" t="str">
            <v>N.M.</v>
          </cell>
          <cell r="E261" t="str">
            <v>N.M.</v>
          </cell>
          <cell r="F261" t="str">
            <v>N.M.</v>
          </cell>
          <cell r="G261" t="str">
            <v>N.M.</v>
          </cell>
          <cell r="H261" t="str">
            <v>N.M.</v>
          </cell>
          <cell r="I261" t="str">
            <v>N.M.</v>
          </cell>
          <cell r="J261" t="str">
            <v>N.M.</v>
          </cell>
          <cell r="K261" t="str">
            <v>N.M.</v>
          </cell>
          <cell r="L261" t="str">
            <v>N.M.</v>
          </cell>
          <cell r="M261" t="str">
            <v>N.M.</v>
          </cell>
          <cell r="N261" t="str">
            <v>N.M.</v>
          </cell>
          <cell r="O261" t="str">
            <v>N.M.</v>
          </cell>
          <cell r="P261" t="str">
            <v>N.M.</v>
          </cell>
          <cell r="Q261" t="str">
            <v>N.M.</v>
          </cell>
          <cell r="R261" t="str">
            <v>N.M.</v>
          </cell>
          <cell r="S261" t="str">
            <v>N.M.</v>
          </cell>
          <cell r="T261" t="str">
            <v>N.M.</v>
          </cell>
          <cell r="U261" t="str">
            <v>N.M.</v>
          </cell>
          <cell r="V261" t="str">
            <v>N.M.</v>
          </cell>
          <cell r="W261" t="str">
            <v>N.M.</v>
          </cell>
          <cell r="X261" t="str">
            <v>N.M.</v>
          </cell>
          <cell r="Y261" t="str">
            <v>N.M.</v>
          </cell>
          <cell r="Z261" t="str">
            <v>N.M.</v>
          </cell>
          <cell r="AA261" t="str">
            <v>N.M.</v>
          </cell>
          <cell r="AB261" t="str">
            <v>N.M.</v>
          </cell>
          <cell r="AC261" t="str">
            <v>N.M.</v>
          </cell>
          <cell r="AD261" t="str">
            <v>N.M.</v>
          </cell>
          <cell r="AE261" t="str">
            <v>N.M.</v>
          </cell>
          <cell r="AF261" t="str">
            <v>N.M.</v>
          </cell>
          <cell r="AG261" t="str">
            <v>N.M.</v>
          </cell>
          <cell r="AH261" t="str">
            <v>N.M.</v>
          </cell>
          <cell r="AI261">
            <v>1.9288189930555562</v>
          </cell>
          <cell r="AJ261">
            <v>0.16201882418760705</v>
          </cell>
          <cell r="AK261">
            <v>0.28885456257296283</v>
          </cell>
          <cell r="AL261">
            <v>0.90557358060345949</v>
          </cell>
          <cell r="AM261">
            <v>0.35743207153378109</v>
          </cell>
          <cell r="AN261">
            <v>0.26589773511168402</v>
          </cell>
          <cell r="AO261">
            <v>0.14327077871911054</v>
          </cell>
          <cell r="AP261">
            <v>2.7229550647894341E-2</v>
          </cell>
          <cell r="AQ261">
            <v>0.18623512248067087</v>
          </cell>
          <cell r="AR261">
            <v>5.8825882040764554E-2</v>
          </cell>
          <cell r="AS261">
            <v>-0.11459617424241197</v>
          </cell>
          <cell r="AT261">
            <v>-0.23273302965998288</v>
          </cell>
          <cell r="AU261">
            <v>-0.33041781280620242</v>
          </cell>
          <cell r="AV261">
            <v>-0.1535915058141234</v>
          </cell>
          <cell r="AW261">
            <v>-9.6478808532325155E-2</v>
          </cell>
          <cell r="AX261">
            <v>-0.13486608281863344</v>
          </cell>
          <cell r="AY261">
            <v>-7.0602532032567611E-3</v>
          </cell>
          <cell r="AZ261">
            <v>-6.2096928775425608E-2</v>
          </cell>
          <cell r="BA261">
            <v>0.12391149511417221</v>
          </cell>
          <cell r="BK261">
            <v>-8.2019875567194367E-2</v>
          </cell>
          <cell r="BL261">
            <v>-7.157163024692903E-2</v>
          </cell>
        </row>
        <row r="262">
          <cell r="A262" t="str">
            <v>Venetian Macao</v>
          </cell>
          <cell r="D262" t="str">
            <v>N.M.</v>
          </cell>
          <cell r="E262" t="str">
            <v>N.M.</v>
          </cell>
          <cell r="F262" t="str">
            <v>N.M.</v>
          </cell>
          <cell r="G262" t="str">
            <v>N.M.</v>
          </cell>
          <cell r="H262" t="str">
            <v>N.M.</v>
          </cell>
          <cell r="I262" t="str">
            <v>N.M.</v>
          </cell>
          <cell r="J262" t="str">
            <v>N.M.</v>
          </cell>
          <cell r="K262" t="str">
            <v>N.M.</v>
          </cell>
          <cell r="L262" t="str">
            <v>N.M.</v>
          </cell>
          <cell r="M262" t="str">
            <v>N.M.</v>
          </cell>
          <cell r="N262" t="str">
            <v>N.M.</v>
          </cell>
          <cell r="O262" t="str">
            <v>N.M.</v>
          </cell>
          <cell r="P262" t="str">
            <v>N.M.</v>
          </cell>
          <cell r="Q262" t="str">
            <v>N.M.</v>
          </cell>
          <cell r="R262" t="str">
            <v>N.M.</v>
          </cell>
          <cell r="S262" t="str">
            <v>N.M.</v>
          </cell>
          <cell r="T262" t="str">
            <v>N.M.</v>
          </cell>
          <cell r="U262" t="str">
            <v>N.M.</v>
          </cell>
          <cell r="V262" t="str">
            <v>N.M.</v>
          </cell>
          <cell r="W262" t="str">
            <v>N.M.</v>
          </cell>
          <cell r="X262" t="str">
            <v>N.M.</v>
          </cell>
          <cell r="Y262" t="str">
            <v>N.M.</v>
          </cell>
          <cell r="Z262" t="str">
            <v>N.M.</v>
          </cell>
          <cell r="AA262" t="str">
            <v>N.M.</v>
          </cell>
          <cell r="AB262" t="str">
            <v>N.M.</v>
          </cell>
          <cell r="AC262" t="str">
            <v>N.M.</v>
          </cell>
          <cell r="AD262" t="str">
            <v>N.M.</v>
          </cell>
          <cell r="AE262" t="str">
            <v>N.M.</v>
          </cell>
          <cell r="AF262" t="str">
            <v>N.M.</v>
          </cell>
          <cell r="AG262" t="str">
            <v>N.M.</v>
          </cell>
          <cell r="AH262" t="str">
            <v>N.M.</v>
          </cell>
          <cell r="AI262" t="str">
            <v>N.M.</v>
          </cell>
          <cell r="AJ262" t="str">
            <v>N.M.</v>
          </cell>
          <cell r="AK262" t="str">
            <v>N.M.</v>
          </cell>
          <cell r="AL262" t="str">
            <v>N.M.</v>
          </cell>
          <cell r="AM262" t="str">
            <v>N.M.</v>
          </cell>
          <cell r="AN262" t="str">
            <v>N.M.</v>
          </cell>
          <cell r="AO262" t="str">
            <v>N.M.</v>
          </cell>
          <cell r="AP262" t="str">
            <v>N.M.</v>
          </cell>
          <cell r="AQ262" t="str">
            <v>N.M.</v>
          </cell>
          <cell r="AR262" t="str">
            <v>N.M.</v>
          </cell>
          <cell r="AS262" t="str">
            <v>N.M.</v>
          </cell>
          <cell r="AT262" t="str">
            <v>N.M.</v>
          </cell>
          <cell r="AU262" t="str">
            <v>N.M.</v>
          </cell>
          <cell r="AV262" t="str">
            <v>N.M.</v>
          </cell>
          <cell r="AW262">
            <v>1.2819743685358502</v>
          </cell>
          <cell r="AX262">
            <v>-9.3669229619520844E-2</v>
          </cell>
          <cell r="AY262">
            <v>-7.0602532032568721E-3</v>
          </cell>
          <cell r="AZ262">
            <v>0.29151513059102463</v>
          </cell>
          <cell r="BA262">
            <v>0.12391149511417199</v>
          </cell>
          <cell r="BK262" t="str">
            <v>N.M.</v>
          </cell>
          <cell r="BL262" t="e">
            <v>#VALUE!</v>
          </cell>
        </row>
        <row r="263">
          <cell r="A263" t="str">
            <v>Cotai Site 2 - Four Seasons (LVS)</v>
          </cell>
          <cell r="D263" t="str">
            <v>N.M.</v>
          </cell>
          <cell r="E263" t="str">
            <v>N.M.</v>
          </cell>
          <cell r="F263" t="str">
            <v>N.M.</v>
          </cell>
          <cell r="G263" t="str">
            <v>N.M.</v>
          </cell>
          <cell r="H263" t="str">
            <v>N.M.</v>
          </cell>
          <cell r="I263" t="str">
            <v>N.M.</v>
          </cell>
          <cell r="J263" t="str">
            <v>N.M.</v>
          </cell>
          <cell r="K263" t="str">
            <v>N.M.</v>
          </cell>
          <cell r="L263" t="str">
            <v>N.M.</v>
          </cell>
          <cell r="M263" t="str">
            <v>N.M.</v>
          </cell>
          <cell r="N263" t="str">
            <v>N.M.</v>
          </cell>
          <cell r="O263" t="str">
            <v>N.M.</v>
          </cell>
          <cell r="P263" t="str">
            <v>N.M.</v>
          </cell>
          <cell r="Q263" t="str">
            <v>N.M.</v>
          </cell>
          <cell r="R263" t="str">
            <v>N.M.</v>
          </cell>
          <cell r="S263" t="str">
            <v>N.M.</v>
          </cell>
          <cell r="T263" t="str">
            <v>N.M.</v>
          </cell>
          <cell r="U263" t="str">
            <v>N.M.</v>
          </cell>
          <cell r="V263" t="str">
            <v>N.M.</v>
          </cell>
          <cell r="W263" t="str">
            <v>N.M.</v>
          </cell>
          <cell r="X263" t="str">
            <v>N.M.</v>
          </cell>
          <cell r="Y263" t="str">
            <v>N.M.</v>
          </cell>
          <cell r="Z263" t="str">
            <v>N.M.</v>
          </cell>
          <cell r="AA263" t="str">
            <v>N.M.</v>
          </cell>
          <cell r="AB263" t="str">
            <v>N.M.</v>
          </cell>
          <cell r="AC263" t="str">
            <v>N.M.</v>
          </cell>
          <cell r="AD263" t="str">
            <v>N.M.</v>
          </cell>
          <cell r="AE263" t="str">
            <v>N.M.</v>
          </cell>
          <cell r="AF263" t="str">
            <v>N.M.</v>
          </cell>
          <cell r="AG263" t="str">
            <v>N.M.</v>
          </cell>
          <cell r="AH263" t="str">
            <v>N.M.</v>
          </cell>
          <cell r="AI263" t="str">
            <v>N.M.</v>
          </cell>
          <cell r="AJ263" t="str">
            <v>N.M.</v>
          </cell>
          <cell r="AK263" t="str">
            <v>N.M.</v>
          </cell>
          <cell r="AL263" t="str">
            <v>N.M.</v>
          </cell>
          <cell r="AM263" t="str">
            <v>N.M.</v>
          </cell>
          <cell r="AN263" t="str">
            <v>N.M.</v>
          </cell>
          <cell r="AO263" t="str">
            <v>N.M.</v>
          </cell>
          <cell r="AP263" t="str">
            <v>N.M.</v>
          </cell>
          <cell r="AQ263" t="str">
            <v>N.M.</v>
          </cell>
          <cell r="AR263" t="str">
            <v>N.M.</v>
          </cell>
          <cell r="AS263" t="str">
            <v>N.M.</v>
          </cell>
          <cell r="AT263" t="str">
            <v>N.M.</v>
          </cell>
          <cell r="AU263" t="str">
            <v>N.M.</v>
          </cell>
          <cell r="AV263" t="str">
            <v>N.M.</v>
          </cell>
          <cell r="AW263" t="str">
            <v>N.M.</v>
          </cell>
          <cell r="AX263">
            <v>-0.13486608281863366</v>
          </cell>
          <cell r="AY263">
            <v>-7.0602532032566501E-3</v>
          </cell>
          <cell r="AZ263">
            <v>-2.1318534374357156E-2</v>
          </cell>
          <cell r="BA263">
            <v>0.12391149511417221</v>
          </cell>
          <cell r="BK263" t="str">
            <v>N.M.</v>
          </cell>
          <cell r="BL263" t="e">
            <v>#VALUE!</v>
          </cell>
        </row>
        <row r="264">
          <cell r="A264" t="str">
            <v>Cotai Site 3 - Far East (LVS)</v>
          </cell>
          <cell r="D264" t="str">
            <v>N.M.</v>
          </cell>
          <cell r="E264" t="str">
            <v>N.M.</v>
          </cell>
          <cell r="F264" t="str">
            <v>N.M.</v>
          </cell>
          <cell r="G264" t="str">
            <v>N.M.</v>
          </cell>
          <cell r="H264" t="str">
            <v>N.M.</v>
          </cell>
          <cell r="I264" t="str">
            <v>N.M.</v>
          </cell>
          <cell r="J264" t="str">
            <v>N.M.</v>
          </cell>
          <cell r="K264" t="str">
            <v>N.M.</v>
          </cell>
          <cell r="L264" t="str">
            <v>N.M.</v>
          </cell>
          <cell r="M264" t="str">
            <v>N.M.</v>
          </cell>
          <cell r="N264" t="str">
            <v>N.M.</v>
          </cell>
          <cell r="O264" t="str">
            <v>N.M.</v>
          </cell>
          <cell r="P264" t="str">
            <v>N.M.</v>
          </cell>
          <cell r="Q264" t="str">
            <v>N.M.</v>
          </cell>
          <cell r="R264" t="str">
            <v>N.M.</v>
          </cell>
          <cell r="S264" t="str">
            <v>N.M.</v>
          </cell>
          <cell r="T264" t="str">
            <v>N.M.</v>
          </cell>
          <cell r="U264" t="str">
            <v>N.M.</v>
          </cell>
          <cell r="V264" t="str">
            <v>N.M.</v>
          </cell>
          <cell r="W264" t="str">
            <v>N.M.</v>
          </cell>
          <cell r="X264" t="str">
            <v>N.M.</v>
          </cell>
          <cell r="Y264" t="str">
            <v>N.M.</v>
          </cell>
          <cell r="Z264" t="str">
            <v>N.M.</v>
          </cell>
          <cell r="AA264" t="str">
            <v>N.M.</v>
          </cell>
          <cell r="AB264" t="str">
            <v>N.M.</v>
          </cell>
          <cell r="AC264" t="str">
            <v>N.M.</v>
          </cell>
          <cell r="AD264" t="str">
            <v>N.M.</v>
          </cell>
          <cell r="AE264" t="str">
            <v>N.M.</v>
          </cell>
          <cell r="AF264" t="str">
            <v>N.M.</v>
          </cell>
          <cell r="AG264" t="str">
            <v>N.M.</v>
          </cell>
          <cell r="AH264" t="str">
            <v>N.M.</v>
          </cell>
          <cell r="AI264" t="str">
            <v>N.M.</v>
          </cell>
          <cell r="AJ264" t="str">
            <v>N.M.</v>
          </cell>
          <cell r="AK264" t="str">
            <v>N.M.</v>
          </cell>
          <cell r="AL264" t="str">
            <v>N.M.</v>
          </cell>
          <cell r="AM264" t="str">
            <v>N.M.</v>
          </cell>
          <cell r="AN264" t="str">
            <v>N.M.</v>
          </cell>
          <cell r="AO264" t="str">
            <v>N.M.</v>
          </cell>
          <cell r="AP264" t="str">
            <v>N.M.</v>
          </cell>
          <cell r="AQ264" t="str">
            <v>N.M.</v>
          </cell>
          <cell r="AR264" t="str">
            <v>N.M.</v>
          </cell>
          <cell r="AS264" t="str">
            <v>N.M.</v>
          </cell>
          <cell r="AT264" t="str">
            <v>N.M.</v>
          </cell>
          <cell r="AU264" t="str">
            <v>N.M.</v>
          </cell>
          <cell r="AV264" t="str">
            <v>N.M.</v>
          </cell>
          <cell r="AW264" t="str">
            <v>N.M.</v>
          </cell>
          <cell r="AX264" t="str">
            <v>N.M.</v>
          </cell>
          <cell r="AY264">
            <v>0.9858794935934867</v>
          </cell>
          <cell r="AZ264">
            <v>3.62509636036219E-2</v>
          </cell>
          <cell r="BA264">
            <v>0.12391149511417221</v>
          </cell>
          <cell r="BK264" t="str">
            <v>N.M.</v>
          </cell>
          <cell r="BL264" t="e">
            <v>#VALUE!</v>
          </cell>
        </row>
        <row r="265">
          <cell r="A265" t="str">
            <v>Cotai Site 5 - Shangri-La/St.Regis/Traders (LVS)</v>
          </cell>
          <cell r="D265" t="str">
            <v>N.M.</v>
          </cell>
          <cell r="E265" t="str">
            <v>N.M.</v>
          </cell>
          <cell r="F265" t="str">
            <v>N.M.</v>
          </cell>
          <cell r="G265" t="str">
            <v>N.M.</v>
          </cell>
          <cell r="H265" t="str">
            <v>N.M.</v>
          </cell>
          <cell r="I265" t="str">
            <v>N.M.</v>
          </cell>
          <cell r="J265" t="str">
            <v>N.M.</v>
          </cell>
          <cell r="K265" t="str">
            <v>N.M.</v>
          </cell>
          <cell r="L265" t="str">
            <v>N.M.</v>
          </cell>
          <cell r="M265" t="str">
            <v>N.M.</v>
          </cell>
          <cell r="N265" t="str">
            <v>N.M.</v>
          </cell>
          <cell r="O265" t="str">
            <v>N.M.</v>
          </cell>
          <cell r="P265" t="str">
            <v>N.M.</v>
          </cell>
          <cell r="Q265" t="str">
            <v>N.M.</v>
          </cell>
          <cell r="R265" t="str">
            <v>N.M.</v>
          </cell>
          <cell r="S265" t="str">
            <v>N.M.</v>
          </cell>
          <cell r="T265" t="str">
            <v>N.M.</v>
          </cell>
          <cell r="U265" t="str">
            <v>N.M.</v>
          </cell>
          <cell r="V265" t="str">
            <v>N.M.</v>
          </cell>
          <cell r="W265" t="str">
            <v>N.M.</v>
          </cell>
          <cell r="X265" t="str">
            <v>N.M.</v>
          </cell>
          <cell r="Y265" t="str">
            <v>N.M.</v>
          </cell>
          <cell r="Z265" t="str">
            <v>N.M.</v>
          </cell>
          <cell r="AA265" t="str">
            <v>N.M.</v>
          </cell>
          <cell r="AB265" t="str">
            <v>N.M.</v>
          </cell>
          <cell r="AC265" t="str">
            <v>N.M.</v>
          </cell>
          <cell r="AD265" t="str">
            <v>N.M.</v>
          </cell>
          <cell r="AE265" t="str">
            <v>N.M.</v>
          </cell>
          <cell r="AF265" t="str">
            <v>N.M.</v>
          </cell>
          <cell r="AG265" t="str">
            <v>N.M.</v>
          </cell>
          <cell r="AH265" t="str">
            <v>N.M.</v>
          </cell>
          <cell r="AI265" t="str">
            <v>N.M.</v>
          </cell>
          <cell r="AJ265" t="str">
            <v>N.M.</v>
          </cell>
          <cell r="AK265" t="str">
            <v>N.M.</v>
          </cell>
          <cell r="AL265" t="str">
            <v>N.M.</v>
          </cell>
          <cell r="AM265" t="str">
            <v>N.M.</v>
          </cell>
          <cell r="AN265" t="str">
            <v>N.M.</v>
          </cell>
          <cell r="AO265" t="str">
            <v>N.M.</v>
          </cell>
          <cell r="AP265" t="str">
            <v>N.M.</v>
          </cell>
          <cell r="AQ265" t="str">
            <v>N.M.</v>
          </cell>
          <cell r="AR265" t="str">
            <v>N.M.</v>
          </cell>
          <cell r="AS265" t="str">
            <v>N.M.</v>
          </cell>
          <cell r="AT265" t="str">
            <v>N.M.</v>
          </cell>
          <cell r="AU265" t="str">
            <v>N.M.</v>
          </cell>
          <cell r="AV265" t="str">
            <v>N.M.</v>
          </cell>
          <cell r="AW265" t="str">
            <v>N.M.</v>
          </cell>
          <cell r="AX265">
            <v>0.92251981595859189</v>
          </cell>
          <cell r="AY265">
            <v>-0.10635422788293114</v>
          </cell>
          <cell r="AZ265">
            <v>-2.1318534374356934E-2</v>
          </cell>
          <cell r="BA265">
            <v>0.12391149511417199</v>
          </cell>
          <cell r="BK265" t="str">
            <v>N.M.</v>
          </cell>
          <cell r="BL265" t="e">
            <v>#VALUE!</v>
          </cell>
        </row>
        <row r="266">
          <cell r="A266" t="str">
            <v>Cotai Site 6 - Starwood (LVS)</v>
          </cell>
          <cell r="D266" t="str">
            <v>N.M.</v>
          </cell>
          <cell r="E266" t="str">
            <v>N.M.</v>
          </cell>
          <cell r="F266" t="str">
            <v>N.M.</v>
          </cell>
          <cell r="G266" t="str">
            <v>N.M.</v>
          </cell>
          <cell r="H266" t="str">
            <v>N.M.</v>
          </cell>
          <cell r="I266" t="str">
            <v>N.M.</v>
          </cell>
          <cell r="J266" t="str">
            <v>N.M.</v>
          </cell>
          <cell r="K266" t="str">
            <v>N.M.</v>
          </cell>
          <cell r="L266" t="str">
            <v>N.M.</v>
          </cell>
          <cell r="M266" t="str">
            <v>N.M.</v>
          </cell>
          <cell r="N266" t="str">
            <v>N.M.</v>
          </cell>
          <cell r="O266" t="str">
            <v>N.M.</v>
          </cell>
          <cell r="P266" t="str">
            <v>N.M.</v>
          </cell>
          <cell r="Q266" t="str">
            <v>N.M.</v>
          </cell>
          <cell r="R266" t="str">
            <v>N.M.</v>
          </cell>
          <cell r="S266" t="str">
            <v>N.M.</v>
          </cell>
          <cell r="T266" t="str">
            <v>N.M.</v>
          </cell>
          <cell r="U266" t="str">
            <v>N.M.</v>
          </cell>
          <cell r="V266" t="str">
            <v>N.M.</v>
          </cell>
          <cell r="W266" t="str">
            <v>N.M.</v>
          </cell>
          <cell r="X266" t="str">
            <v>N.M.</v>
          </cell>
          <cell r="Y266" t="str">
            <v>N.M.</v>
          </cell>
          <cell r="Z266" t="str">
            <v>N.M.</v>
          </cell>
          <cell r="AA266" t="str">
            <v>N.M.</v>
          </cell>
          <cell r="AB266" t="str">
            <v>N.M.</v>
          </cell>
          <cell r="AC266" t="str">
            <v>N.M.</v>
          </cell>
          <cell r="AD266" t="str">
            <v>N.M.</v>
          </cell>
          <cell r="AE266" t="str">
            <v>N.M.</v>
          </cell>
          <cell r="AF266" t="str">
            <v>N.M.</v>
          </cell>
          <cell r="AG266" t="str">
            <v>N.M.</v>
          </cell>
          <cell r="AH266" t="str">
            <v>N.M.</v>
          </cell>
          <cell r="AI266" t="str">
            <v>N.M.</v>
          </cell>
          <cell r="AJ266" t="str">
            <v>N.M.</v>
          </cell>
          <cell r="AK266" t="str">
            <v>N.M.</v>
          </cell>
          <cell r="AL266" t="str">
            <v>N.M.</v>
          </cell>
          <cell r="AM266" t="str">
            <v>N.M.</v>
          </cell>
          <cell r="AN266" t="str">
            <v>N.M.</v>
          </cell>
          <cell r="AO266" t="str">
            <v>N.M.</v>
          </cell>
          <cell r="AP266" t="str">
            <v>N.M.</v>
          </cell>
          <cell r="AQ266" t="str">
            <v>N.M.</v>
          </cell>
          <cell r="AR266" t="str">
            <v>N.M.</v>
          </cell>
          <cell r="AS266" t="str">
            <v>N.M.</v>
          </cell>
          <cell r="AT266" t="str">
            <v>N.M.</v>
          </cell>
          <cell r="AU266" t="str">
            <v>N.M.</v>
          </cell>
          <cell r="AV266" t="str">
            <v>N.M.</v>
          </cell>
          <cell r="AW266" t="str">
            <v>N.M.</v>
          </cell>
          <cell r="AX266">
            <v>0.92251981595859189</v>
          </cell>
          <cell r="AY266">
            <v>-0.10635422788293114</v>
          </cell>
          <cell r="AZ266">
            <v>-2.1318534374356934E-2</v>
          </cell>
          <cell r="BA266">
            <v>0.12391149511417199</v>
          </cell>
          <cell r="BK266" t="str">
            <v>N.M.</v>
          </cell>
          <cell r="BL266" t="e">
            <v>#VALUE!</v>
          </cell>
        </row>
        <row r="267">
          <cell r="A267" t="str">
            <v>Cotai Site 7 - Hilton (LVS)</v>
          </cell>
          <cell r="D267" t="str">
            <v>N.M.</v>
          </cell>
          <cell r="E267" t="str">
            <v>N.M.</v>
          </cell>
          <cell r="F267" t="str">
            <v>N.M.</v>
          </cell>
          <cell r="G267" t="str">
            <v>N.M.</v>
          </cell>
          <cell r="H267" t="str">
            <v>N.M.</v>
          </cell>
          <cell r="I267" t="str">
            <v>N.M.</v>
          </cell>
          <cell r="J267" t="str">
            <v>N.M.</v>
          </cell>
          <cell r="K267" t="str">
            <v>N.M.</v>
          </cell>
          <cell r="L267" t="str">
            <v>N.M.</v>
          </cell>
          <cell r="M267" t="str">
            <v>N.M.</v>
          </cell>
          <cell r="N267" t="str">
            <v>N.M.</v>
          </cell>
          <cell r="O267" t="str">
            <v>N.M.</v>
          </cell>
          <cell r="P267" t="str">
            <v>N.M.</v>
          </cell>
          <cell r="Q267" t="str">
            <v>N.M.</v>
          </cell>
          <cell r="R267" t="str">
            <v>N.M.</v>
          </cell>
          <cell r="S267" t="str">
            <v>N.M.</v>
          </cell>
          <cell r="T267" t="str">
            <v>N.M.</v>
          </cell>
          <cell r="U267" t="str">
            <v>N.M.</v>
          </cell>
          <cell r="V267" t="str">
            <v>N.M.</v>
          </cell>
          <cell r="W267" t="str">
            <v>N.M.</v>
          </cell>
          <cell r="X267" t="str">
            <v>N.M.</v>
          </cell>
          <cell r="Y267" t="str">
            <v>N.M.</v>
          </cell>
          <cell r="Z267" t="str">
            <v>N.M.</v>
          </cell>
          <cell r="AA267" t="str">
            <v>N.M.</v>
          </cell>
          <cell r="AB267" t="str">
            <v>N.M.</v>
          </cell>
          <cell r="AC267" t="str">
            <v>N.M.</v>
          </cell>
          <cell r="AD267" t="str">
            <v>N.M.</v>
          </cell>
          <cell r="AE267" t="str">
            <v>N.M.</v>
          </cell>
          <cell r="AF267" t="str">
            <v>N.M.</v>
          </cell>
          <cell r="AG267" t="str">
            <v>N.M.</v>
          </cell>
          <cell r="AH267" t="str">
            <v>N.M.</v>
          </cell>
          <cell r="AI267" t="str">
            <v>N.M.</v>
          </cell>
          <cell r="AJ267" t="str">
            <v>N.M.</v>
          </cell>
          <cell r="AK267" t="str">
            <v>N.M.</v>
          </cell>
          <cell r="AL267" t="str">
            <v>N.M.</v>
          </cell>
          <cell r="AM267" t="str">
            <v>N.M.</v>
          </cell>
          <cell r="AN267" t="str">
            <v>N.M.</v>
          </cell>
          <cell r="AO267" t="str">
            <v>N.M.</v>
          </cell>
          <cell r="AP267" t="str">
            <v>N.M.</v>
          </cell>
          <cell r="AQ267" t="str">
            <v>N.M.</v>
          </cell>
          <cell r="AR267" t="str">
            <v>N.M.</v>
          </cell>
          <cell r="AS267" t="str">
            <v>N.M.</v>
          </cell>
          <cell r="AT267" t="str">
            <v>N.M.</v>
          </cell>
          <cell r="AU267" t="str">
            <v>N.M.</v>
          </cell>
          <cell r="AV267" t="str">
            <v>N.M.</v>
          </cell>
          <cell r="AW267" t="str">
            <v>N.M.</v>
          </cell>
          <cell r="AX267" t="str">
            <v>N.M.</v>
          </cell>
          <cell r="AY267">
            <v>1.2065327706594293</v>
          </cell>
          <cell r="AZ267">
            <v>-0.1191866809369212</v>
          </cell>
          <cell r="BA267">
            <v>0.12391149511417199</v>
          </cell>
          <cell r="BK267" t="str">
            <v>N.M.</v>
          </cell>
          <cell r="BL267" t="e">
            <v>#VALUE!</v>
          </cell>
        </row>
        <row r="268">
          <cell r="A268" t="str">
            <v>Cotai Site 8 - FHR/Raffles (LVS)</v>
          </cell>
          <cell r="D268" t="str">
            <v>N.M.</v>
          </cell>
          <cell r="E268" t="str">
            <v>N.M.</v>
          </cell>
          <cell r="F268" t="str">
            <v>N.M.</v>
          </cell>
          <cell r="G268" t="str">
            <v>N.M.</v>
          </cell>
          <cell r="H268" t="str">
            <v>N.M.</v>
          </cell>
          <cell r="I268" t="str">
            <v>N.M.</v>
          </cell>
          <cell r="J268" t="str">
            <v>N.M.</v>
          </cell>
          <cell r="K268" t="str">
            <v>N.M.</v>
          </cell>
          <cell r="L268" t="str">
            <v>N.M.</v>
          </cell>
          <cell r="M268" t="str">
            <v>N.M.</v>
          </cell>
          <cell r="N268" t="str">
            <v>N.M.</v>
          </cell>
          <cell r="O268" t="str">
            <v>N.M.</v>
          </cell>
          <cell r="P268" t="str">
            <v>N.M.</v>
          </cell>
          <cell r="Q268" t="str">
            <v>N.M.</v>
          </cell>
          <cell r="R268" t="str">
            <v>N.M.</v>
          </cell>
          <cell r="S268" t="str">
            <v>N.M.</v>
          </cell>
          <cell r="T268" t="str">
            <v>N.M.</v>
          </cell>
          <cell r="U268" t="str">
            <v>N.M.</v>
          </cell>
          <cell r="V268" t="str">
            <v>N.M.</v>
          </cell>
          <cell r="W268" t="str">
            <v>N.M.</v>
          </cell>
          <cell r="X268" t="str">
            <v>N.M.</v>
          </cell>
          <cell r="Y268" t="str">
            <v>N.M.</v>
          </cell>
          <cell r="Z268" t="str">
            <v>N.M.</v>
          </cell>
          <cell r="AA268" t="str">
            <v>N.M.</v>
          </cell>
          <cell r="AB268" t="str">
            <v>N.M.</v>
          </cell>
          <cell r="AC268" t="str">
            <v>N.M.</v>
          </cell>
          <cell r="AD268" t="str">
            <v>N.M.</v>
          </cell>
          <cell r="AE268" t="str">
            <v>N.M.</v>
          </cell>
          <cell r="AF268" t="str">
            <v>N.M.</v>
          </cell>
          <cell r="AG268" t="str">
            <v>N.M.</v>
          </cell>
          <cell r="AH268" t="str">
            <v>N.M.</v>
          </cell>
          <cell r="AI268" t="str">
            <v>N.M.</v>
          </cell>
          <cell r="AJ268" t="str">
            <v>N.M.</v>
          </cell>
          <cell r="AK268" t="str">
            <v>N.M.</v>
          </cell>
          <cell r="AL268" t="str">
            <v>N.M.</v>
          </cell>
          <cell r="AM268" t="str">
            <v>N.M.</v>
          </cell>
          <cell r="AN268" t="str">
            <v>N.M.</v>
          </cell>
          <cell r="AO268" t="str">
            <v>N.M.</v>
          </cell>
          <cell r="AP268" t="str">
            <v>N.M.</v>
          </cell>
          <cell r="AQ268" t="str">
            <v>N.M.</v>
          </cell>
          <cell r="AR268" t="str">
            <v>N.M.</v>
          </cell>
          <cell r="AS268" t="str">
            <v>N.M.</v>
          </cell>
          <cell r="AT268" t="str">
            <v>N.M.</v>
          </cell>
          <cell r="AU268" t="str">
            <v>N.M.</v>
          </cell>
          <cell r="AV268" t="str">
            <v>N.M.</v>
          </cell>
          <cell r="AW268" t="str">
            <v>N.M.</v>
          </cell>
          <cell r="AX268" t="str">
            <v>N.M.</v>
          </cell>
          <cell r="AY268">
            <v>1.2065327706594293</v>
          </cell>
          <cell r="AZ268">
            <v>-0.1191866809369212</v>
          </cell>
          <cell r="BA268">
            <v>0.12391149511417199</v>
          </cell>
          <cell r="BK268" t="str">
            <v>N.M.</v>
          </cell>
          <cell r="BL268" t="e">
            <v>#VALUE!</v>
          </cell>
        </row>
        <row r="269">
          <cell r="A269" t="str">
            <v>Wynn Macau</v>
          </cell>
          <cell r="D269" t="str">
            <v>N.M.</v>
          </cell>
          <cell r="E269" t="str">
            <v>N.M.</v>
          </cell>
          <cell r="F269" t="str">
            <v>N.M.</v>
          </cell>
          <cell r="G269" t="str">
            <v>N.M.</v>
          </cell>
          <cell r="H269" t="str">
            <v>N.M.</v>
          </cell>
          <cell r="I269" t="str">
            <v>N.M.</v>
          </cell>
          <cell r="J269" t="str">
            <v>N.M.</v>
          </cell>
          <cell r="K269" t="str">
            <v>N.M.</v>
          </cell>
          <cell r="L269" t="str">
            <v>N.M.</v>
          </cell>
          <cell r="M269" t="str">
            <v>N.M.</v>
          </cell>
          <cell r="N269" t="str">
            <v>N.M.</v>
          </cell>
          <cell r="O269" t="str">
            <v>N.M.</v>
          </cell>
          <cell r="P269" t="str">
            <v>N.M.</v>
          </cell>
          <cell r="Q269" t="str">
            <v>N.M.</v>
          </cell>
          <cell r="R269" t="str">
            <v>N.M.</v>
          </cell>
          <cell r="S269" t="str">
            <v>N.M.</v>
          </cell>
          <cell r="T269" t="str">
            <v>N.M.</v>
          </cell>
          <cell r="U269" t="str">
            <v>N.M.</v>
          </cell>
          <cell r="V269" t="str">
            <v>N.M.</v>
          </cell>
          <cell r="W269" t="str">
            <v>N.M.</v>
          </cell>
          <cell r="X269" t="str">
            <v>N.M.</v>
          </cell>
          <cell r="Y269" t="str">
            <v>N.M.</v>
          </cell>
          <cell r="Z269" t="str">
            <v>N.M.</v>
          </cell>
          <cell r="AA269" t="str">
            <v>N.M.</v>
          </cell>
          <cell r="AB269" t="str">
            <v>N.M.</v>
          </cell>
          <cell r="AC269" t="str">
            <v>N.M.</v>
          </cell>
          <cell r="AD269" t="str">
            <v>N.M.</v>
          </cell>
          <cell r="AE269" t="str">
            <v>N.M.</v>
          </cell>
          <cell r="AF269" t="str">
            <v>N.M.</v>
          </cell>
          <cell r="AG269" t="str">
            <v>N.M.</v>
          </cell>
          <cell r="AH269" t="str">
            <v>N.M.</v>
          </cell>
          <cell r="AI269" t="str">
            <v>N.M.</v>
          </cell>
          <cell r="AJ269" t="str">
            <v>N.M.</v>
          </cell>
          <cell r="AK269" t="str">
            <v>N.M.</v>
          </cell>
          <cell r="AL269" t="str">
            <v>N.M.</v>
          </cell>
          <cell r="AM269" t="str">
            <v>N.M.</v>
          </cell>
          <cell r="AN269" t="str">
            <v>N.M.</v>
          </cell>
          <cell r="AO269" t="str">
            <v>N.M.</v>
          </cell>
          <cell r="AP269" t="str">
            <v>N.M.</v>
          </cell>
          <cell r="AQ269" t="str">
            <v>N.M.</v>
          </cell>
          <cell r="AR269" t="str">
            <v>N.M.</v>
          </cell>
          <cell r="AS269" t="str">
            <v>N.M.</v>
          </cell>
          <cell r="AT269" t="str">
            <v>N.M.</v>
          </cell>
          <cell r="AU269" t="str">
            <v>N.M.</v>
          </cell>
          <cell r="AV269" t="str">
            <v>N.M.</v>
          </cell>
          <cell r="AW269">
            <v>7.9155573046075789E-2</v>
          </cell>
          <cell r="AX269">
            <v>-3.4692681881843823E-2</v>
          </cell>
          <cell r="AY269">
            <v>2.3071028985992559E-3</v>
          </cell>
          <cell r="AZ269">
            <v>6.1211328861749958E-3</v>
          </cell>
          <cell r="BA269">
            <v>0.12391149511417199</v>
          </cell>
          <cell r="BK269">
            <v>2.8998221033914597</v>
          </cell>
          <cell r="BL269" t="e">
            <v>#VALUE!</v>
          </cell>
        </row>
        <row r="270">
          <cell r="A270" t="str">
            <v>Wynn Cotai</v>
          </cell>
          <cell r="D270" t="str">
            <v>N.M.</v>
          </cell>
          <cell r="E270" t="str">
            <v>N.M.</v>
          </cell>
          <cell r="F270" t="str">
            <v>N.M.</v>
          </cell>
          <cell r="G270" t="str">
            <v>N.M.</v>
          </cell>
          <cell r="H270" t="str">
            <v>N.M.</v>
          </cell>
          <cell r="I270" t="str">
            <v>N.M.</v>
          </cell>
          <cell r="J270" t="str">
            <v>N.M.</v>
          </cell>
          <cell r="K270" t="str">
            <v>N.M.</v>
          </cell>
          <cell r="L270" t="str">
            <v>N.M.</v>
          </cell>
          <cell r="M270" t="str">
            <v>N.M.</v>
          </cell>
          <cell r="N270" t="str">
            <v>N.M.</v>
          </cell>
          <cell r="O270" t="str">
            <v>N.M.</v>
          </cell>
          <cell r="P270" t="str">
            <v>N.M.</v>
          </cell>
          <cell r="Q270" t="str">
            <v>N.M.</v>
          </cell>
          <cell r="R270" t="str">
            <v>N.M.</v>
          </cell>
          <cell r="S270" t="str">
            <v>N.M.</v>
          </cell>
          <cell r="T270" t="str">
            <v>N.M.</v>
          </cell>
          <cell r="U270" t="str">
            <v>N.M.</v>
          </cell>
          <cell r="V270" t="str">
            <v>N.M.</v>
          </cell>
          <cell r="W270" t="str">
            <v>N.M.</v>
          </cell>
          <cell r="X270" t="str">
            <v>N.M.</v>
          </cell>
          <cell r="Y270" t="str">
            <v>N.M.</v>
          </cell>
          <cell r="Z270" t="str">
            <v>N.M.</v>
          </cell>
          <cell r="AA270" t="str">
            <v>N.M.</v>
          </cell>
          <cell r="AB270" t="str">
            <v>N.M.</v>
          </cell>
          <cell r="AC270" t="str">
            <v>N.M.</v>
          </cell>
          <cell r="AD270" t="str">
            <v>N.M.</v>
          </cell>
          <cell r="AE270" t="str">
            <v>N.M.</v>
          </cell>
          <cell r="AF270" t="str">
            <v>N.M.</v>
          </cell>
          <cell r="AG270" t="str">
            <v>N.M.</v>
          </cell>
          <cell r="AH270" t="str">
            <v>N.M.</v>
          </cell>
          <cell r="AI270" t="str">
            <v>N.M.</v>
          </cell>
          <cell r="AJ270" t="str">
            <v>N.M.</v>
          </cell>
          <cell r="AK270" t="str">
            <v>N.M.</v>
          </cell>
          <cell r="AL270" t="str">
            <v>N.M.</v>
          </cell>
          <cell r="AM270" t="str">
            <v>N.M.</v>
          </cell>
          <cell r="AN270" t="str">
            <v>N.M.</v>
          </cell>
          <cell r="AO270" t="str">
            <v>N.M.</v>
          </cell>
          <cell r="AP270" t="str">
            <v>N.M.</v>
          </cell>
          <cell r="AQ270" t="str">
            <v>N.M.</v>
          </cell>
          <cell r="AR270" t="str">
            <v>N.M.</v>
          </cell>
          <cell r="AS270" t="str">
            <v>N.M.</v>
          </cell>
          <cell r="AT270" t="str">
            <v>N.M.</v>
          </cell>
          <cell r="AU270" t="str">
            <v>N.M.</v>
          </cell>
          <cell r="AV270" t="str">
            <v>N.M.</v>
          </cell>
          <cell r="AW270" t="str">
            <v>N.M.</v>
          </cell>
          <cell r="AX270" t="str">
            <v>N.M.</v>
          </cell>
          <cell r="AY270" t="str">
            <v>N.M.</v>
          </cell>
          <cell r="AZ270">
            <v>2.761553890692503E-2</v>
          </cell>
          <cell r="BA270">
            <v>0.12391149511417199</v>
          </cell>
          <cell r="BK270" t="str">
            <v>N.M.</v>
          </cell>
          <cell r="BL270" t="e">
            <v>#VALUE!</v>
          </cell>
        </row>
        <row r="271">
          <cell r="A271" t="str">
            <v>Wynn Cotai #2</v>
          </cell>
          <cell r="D271" t="str">
            <v>N.M.</v>
          </cell>
          <cell r="E271" t="str">
            <v>N.M.</v>
          </cell>
          <cell r="F271" t="str">
            <v>N.M.</v>
          </cell>
          <cell r="G271" t="str">
            <v>N.M.</v>
          </cell>
          <cell r="H271" t="str">
            <v>N.M.</v>
          </cell>
          <cell r="I271" t="str">
            <v>N.M.</v>
          </cell>
          <cell r="J271" t="str">
            <v>N.M.</v>
          </cell>
          <cell r="K271" t="str">
            <v>N.M.</v>
          </cell>
          <cell r="L271" t="str">
            <v>N.M.</v>
          </cell>
          <cell r="M271" t="str">
            <v>N.M.</v>
          </cell>
          <cell r="N271" t="str">
            <v>N.M.</v>
          </cell>
          <cell r="O271" t="str">
            <v>N.M.</v>
          </cell>
          <cell r="P271" t="str">
            <v>N.M.</v>
          </cell>
          <cell r="Q271" t="str">
            <v>N.M.</v>
          </cell>
          <cell r="R271" t="str">
            <v>N.M.</v>
          </cell>
          <cell r="S271" t="str">
            <v>N.M.</v>
          </cell>
          <cell r="T271" t="str">
            <v>N.M.</v>
          </cell>
          <cell r="U271" t="str">
            <v>N.M.</v>
          </cell>
          <cell r="V271" t="str">
            <v>N.M.</v>
          </cell>
          <cell r="W271" t="str">
            <v>N.M.</v>
          </cell>
          <cell r="X271" t="str">
            <v>N.M.</v>
          </cell>
          <cell r="Y271" t="str">
            <v>N.M.</v>
          </cell>
          <cell r="Z271" t="str">
            <v>N.M.</v>
          </cell>
          <cell r="AA271" t="str">
            <v>N.M.</v>
          </cell>
          <cell r="AB271" t="str">
            <v>N.M.</v>
          </cell>
          <cell r="AC271" t="str">
            <v>N.M.</v>
          </cell>
          <cell r="AD271" t="str">
            <v>N.M.</v>
          </cell>
          <cell r="AE271" t="str">
            <v>N.M.</v>
          </cell>
          <cell r="AF271" t="str">
            <v>N.M.</v>
          </cell>
          <cell r="AG271" t="str">
            <v>N.M.</v>
          </cell>
          <cell r="AH271" t="str">
            <v>N.M.</v>
          </cell>
          <cell r="AI271" t="str">
            <v>N.M.</v>
          </cell>
          <cell r="AJ271" t="str">
            <v>N.M.</v>
          </cell>
          <cell r="AK271" t="str">
            <v>N.M.</v>
          </cell>
          <cell r="AL271" t="str">
            <v>N.M.</v>
          </cell>
          <cell r="AM271" t="str">
            <v>N.M.</v>
          </cell>
          <cell r="AN271" t="str">
            <v>N.M.</v>
          </cell>
          <cell r="AO271" t="str">
            <v>N.M.</v>
          </cell>
          <cell r="AP271" t="str">
            <v>N.M.</v>
          </cell>
          <cell r="AQ271" t="str">
            <v>N.M.</v>
          </cell>
          <cell r="AR271" t="str">
            <v>N.M.</v>
          </cell>
          <cell r="AS271" t="str">
            <v>N.M.</v>
          </cell>
          <cell r="AT271" t="str">
            <v>N.M.</v>
          </cell>
          <cell r="AU271" t="str">
            <v>N.M.</v>
          </cell>
          <cell r="AV271" t="str">
            <v>N.M.</v>
          </cell>
          <cell r="AW271" t="str">
            <v>N.M.</v>
          </cell>
          <cell r="AX271" t="str">
            <v>N.M.</v>
          </cell>
          <cell r="AY271" t="str">
            <v>N.M.</v>
          </cell>
          <cell r="AZ271" t="str">
            <v>N.M.</v>
          </cell>
          <cell r="BA271">
            <v>0.12391149511417199</v>
          </cell>
        </row>
        <row r="272">
          <cell r="A272" t="str">
            <v>MGM Grand</v>
          </cell>
          <cell r="D272" t="str">
            <v>N.M.</v>
          </cell>
          <cell r="E272" t="str">
            <v>N.M.</v>
          </cell>
          <cell r="F272" t="str">
            <v>N.M.</v>
          </cell>
          <cell r="G272" t="str">
            <v>N.M.</v>
          </cell>
          <cell r="H272" t="str">
            <v>N.M.</v>
          </cell>
          <cell r="I272" t="str">
            <v>N.M.</v>
          </cell>
          <cell r="J272" t="str">
            <v>N.M.</v>
          </cell>
          <cell r="K272" t="str">
            <v>N.M.</v>
          </cell>
          <cell r="L272" t="str">
            <v>N.M.</v>
          </cell>
          <cell r="M272" t="str">
            <v>N.M.</v>
          </cell>
          <cell r="N272" t="str">
            <v>N.M.</v>
          </cell>
          <cell r="O272" t="str">
            <v>N.M.</v>
          </cell>
          <cell r="P272" t="str">
            <v>N.M.</v>
          </cell>
          <cell r="Q272" t="str">
            <v>N.M.</v>
          </cell>
          <cell r="R272" t="str">
            <v>N.M.</v>
          </cell>
          <cell r="S272" t="str">
            <v>N.M.</v>
          </cell>
          <cell r="T272" t="str">
            <v>N.M.</v>
          </cell>
          <cell r="U272" t="str">
            <v>N.M.</v>
          </cell>
          <cell r="V272" t="str">
            <v>N.M.</v>
          </cell>
          <cell r="W272" t="str">
            <v>N.M.</v>
          </cell>
          <cell r="X272" t="str">
            <v>N.M.</v>
          </cell>
          <cell r="Y272" t="str">
            <v>N.M.</v>
          </cell>
          <cell r="Z272" t="str">
            <v>N.M.</v>
          </cell>
          <cell r="AA272" t="str">
            <v>N.M.</v>
          </cell>
          <cell r="AB272" t="str">
            <v>N.M.</v>
          </cell>
          <cell r="AC272" t="str">
            <v>N.M.</v>
          </cell>
          <cell r="AD272" t="str">
            <v>N.M.</v>
          </cell>
          <cell r="AE272" t="str">
            <v>N.M.</v>
          </cell>
          <cell r="AF272" t="str">
            <v>N.M.</v>
          </cell>
          <cell r="AG272" t="str">
            <v>N.M.</v>
          </cell>
          <cell r="AH272" t="str">
            <v>N.M.</v>
          </cell>
          <cell r="AI272" t="str">
            <v>N.M.</v>
          </cell>
          <cell r="AJ272" t="str">
            <v>N.M.</v>
          </cell>
          <cell r="AK272" t="str">
            <v>N.M.</v>
          </cell>
          <cell r="AL272" t="str">
            <v>N.M.</v>
          </cell>
          <cell r="AM272" t="str">
            <v>N.M.</v>
          </cell>
          <cell r="AN272" t="str">
            <v>N.M.</v>
          </cell>
          <cell r="AO272" t="str">
            <v>N.M.</v>
          </cell>
          <cell r="AP272" t="str">
            <v>N.M.</v>
          </cell>
          <cell r="AQ272" t="str">
            <v>N.M.</v>
          </cell>
          <cell r="AR272" t="str">
            <v>N.M.</v>
          </cell>
          <cell r="AS272" t="str">
            <v>N.M.</v>
          </cell>
          <cell r="AT272" t="str">
            <v>N.M.</v>
          </cell>
          <cell r="AU272" t="str">
            <v>N.M.</v>
          </cell>
          <cell r="AV272" t="str">
            <v>N.M.</v>
          </cell>
          <cell r="AW272">
            <v>4.5711749241413875</v>
          </cell>
          <cell r="AX272">
            <v>-3.8740092020704164E-2</v>
          </cell>
          <cell r="AY272">
            <v>-7.0602532032566501E-3</v>
          </cell>
          <cell r="AZ272">
            <v>-2.1318534374357045E-2</v>
          </cell>
          <cell r="BA272">
            <v>0.12391149511417199</v>
          </cell>
          <cell r="BK272" t="str">
            <v>N.M.</v>
          </cell>
          <cell r="BL272" t="e">
            <v>#VALUE!</v>
          </cell>
        </row>
        <row r="273">
          <cell r="A273" t="str">
            <v>MGM Cotai #1</v>
          </cell>
          <cell r="D273" t="str">
            <v>N.M.</v>
          </cell>
          <cell r="E273" t="str">
            <v>N.M.</v>
          </cell>
          <cell r="F273" t="str">
            <v>N.M.</v>
          </cell>
          <cell r="G273" t="str">
            <v>N.M.</v>
          </cell>
          <cell r="H273" t="str">
            <v>N.M.</v>
          </cell>
          <cell r="I273" t="str">
            <v>N.M.</v>
          </cell>
          <cell r="J273" t="str">
            <v>N.M.</v>
          </cell>
          <cell r="K273" t="str">
            <v>N.M.</v>
          </cell>
          <cell r="L273" t="str">
            <v>N.M.</v>
          </cell>
          <cell r="M273" t="str">
            <v>N.M.</v>
          </cell>
          <cell r="N273" t="str">
            <v>N.M.</v>
          </cell>
          <cell r="O273" t="str">
            <v>N.M.</v>
          </cell>
          <cell r="P273" t="str">
            <v>N.M.</v>
          </cell>
          <cell r="Q273" t="str">
            <v>N.M.</v>
          </cell>
          <cell r="R273" t="str">
            <v>N.M.</v>
          </cell>
          <cell r="S273" t="str">
            <v>N.M.</v>
          </cell>
          <cell r="T273" t="str">
            <v>N.M.</v>
          </cell>
          <cell r="U273" t="str">
            <v>N.M.</v>
          </cell>
          <cell r="V273" t="str">
            <v>N.M.</v>
          </cell>
          <cell r="W273" t="str">
            <v>N.M.</v>
          </cell>
          <cell r="X273" t="str">
            <v>N.M.</v>
          </cell>
          <cell r="Y273" t="str">
            <v>N.M.</v>
          </cell>
          <cell r="Z273" t="str">
            <v>N.M.</v>
          </cell>
          <cell r="AA273" t="str">
            <v>N.M.</v>
          </cell>
          <cell r="AB273" t="str">
            <v>N.M.</v>
          </cell>
          <cell r="AC273" t="str">
            <v>N.M.</v>
          </cell>
          <cell r="AD273" t="str">
            <v>N.M.</v>
          </cell>
          <cell r="AE273" t="str">
            <v>N.M.</v>
          </cell>
          <cell r="AF273" t="str">
            <v>N.M.</v>
          </cell>
          <cell r="AG273" t="str">
            <v>N.M.</v>
          </cell>
          <cell r="AH273" t="str">
            <v>N.M.</v>
          </cell>
          <cell r="AI273" t="str">
            <v>N.M.</v>
          </cell>
          <cell r="AJ273" t="str">
            <v>N.M.</v>
          </cell>
          <cell r="AK273" t="str">
            <v>N.M.</v>
          </cell>
          <cell r="AL273" t="str">
            <v>N.M.</v>
          </cell>
          <cell r="AM273" t="str">
            <v>N.M.</v>
          </cell>
          <cell r="AN273" t="str">
            <v>N.M.</v>
          </cell>
          <cell r="AO273" t="str">
            <v>N.M.</v>
          </cell>
          <cell r="AP273" t="str">
            <v>N.M.</v>
          </cell>
          <cell r="AQ273" t="str">
            <v>N.M.</v>
          </cell>
          <cell r="AR273" t="str">
            <v>N.M.</v>
          </cell>
          <cell r="AS273" t="str">
            <v>N.M.</v>
          </cell>
          <cell r="AT273" t="str">
            <v>N.M.</v>
          </cell>
          <cell r="AU273" t="str">
            <v>N.M.</v>
          </cell>
          <cell r="AV273" t="str">
            <v>N.M.</v>
          </cell>
          <cell r="AW273" t="str">
            <v>N.M.</v>
          </cell>
          <cell r="AX273" t="str">
            <v>N.M.</v>
          </cell>
          <cell r="AY273" t="str">
            <v>N.M.</v>
          </cell>
          <cell r="AZ273" t="str">
            <v>N.M.</v>
          </cell>
          <cell r="BA273">
            <v>0.12391149511417199</v>
          </cell>
        </row>
        <row r="274">
          <cell r="A274" t="str">
            <v>Crown Macau - PBL/Melco</v>
          </cell>
          <cell r="D274" t="str">
            <v>N.M.</v>
          </cell>
          <cell r="E274" t="str">
            <v>N.M.</v>
          </cell>
          <cell r="F274" t="str">
            <v>N.M.</v>
          </cell>
          <cell r="G274" t="str">
            <v>N.M.</v>
          </cell>
          <cell r="H274" t="str">
            <v>N.M.</v>
          </cell>
          <cell r="I274" t="str">
            <v>N.M.</v>
          </cell>
          <cell r="J274" t="str">
            <v>N.M.</v>
          </cell>
          <cell r="K274" t="str">
            <v>N.M.</v>
          </cell>
          <cell r="L274" t="str">
            <v>N.M.</v>
          </cell>
          <cell r="M274" t="str">
            <v>N.M.</v>
          </cell>
          <cell r="N274" t="str">
            <v>N.M.</v>
          </cell>
          <cell r="O274" t="str">
            <v>N.M.</v>
          </cell>
          <cell r="P274" t="str">
            <v>N.M.</v>
          </cell>
          <cell r="Q274" t="str">
            <v>N.M.</v>
          </cell>
          <cell r="R274" t="str">
            <v>N.M.</v>
          </cell>
          <cell r="S274" t="str">
            <v>N.M.</v>
          </cell>
          <cell r="T274" t="str">
            <v>N.M.</v>
          </cell>
          <cell r="U274" t="str">
            <v>N.M.</v>
          </cell>
          <cell r="V274" t="str">
            <v>N.M.</v>
          </cell>
          <cell r="W274" t="str">
            <v>N.M.</v>
          </cell>
          <cell r="X274" t="str">
            <v>N.M.</v>
          </cell>
          <cell r="Y274" t="str">
            <v>N.M.</v>
          </cell>
          <cell r="Z274" t="str">
            <v>N.M.</v>
          </cell>
          <cell r="AA274" t="str">
            <v>N.M.</v>
          </cell>
          <cell r="AB274" t="str">
            <v>N.M.</v>
          </cell>
          <cell r="AC274" t="str">
            <v>N.M.</v>
          </cell>
          <cell r="AD274" t="str">
            <v>N.M.</v>
          </cell>
          <cell r="AE274" t="str">
            <v>N.M.</v>
          </cell>
          <cell r="AF274" t="str">
            <v>N.M.</v>
          </cell>
          <cell r="AG274" t="str">
            <v>N.M.</v>
          </cell>
          <cell r="AH274" t="str">
            <v>N.M.</v>
          </cell>
          <cell r="AI274" t="str">
            <v>N.M.</v>
          </cell>
          <cell r="AJ274" t="str">
            <v>N.M.</v>
          </cell>
          <cell r="AK274" t="str">
            <v>N.M.</v>
          </cell>
          <cell r="AL274" t="str">
            <v>N.M.</v>
          </cell>
          <cell r="AM274" t="str">
            <v>N.M.</v>
          </cell>
          <cell r="AN274" t="str">
            <v>N.M.</v>
          </cell>
          <cell r="AO274" t="str">
            <v>N.M.</v>
          </cell>
          <cell r="AP274" t="str">
            <v>N.M.</v>
          </cell>
          <cell r="AQ274" t="str">
            <v>N.M.</v>
          </cell>
          <cell r="AR274" t="str">
            <v>N.M.</v>
          </cell>
          <cell r="AS274" t="str">
            <v>N.M.</v>
          </cell>
          <cell r="AT274" t="str">
            <v>N.M.</v>
          </cell>
          <cell r="AU274" t="str">
            <v>N.M.</v>
          </cell>
          <cell r="AV274" t="str">
            <v>N.M.</v>
          </cell>
          <cell r="AW274">
            <v>0.24132244765344901</v>
          </cell>
          <cell r="AX274">
            <v>-4.8352691100496892E-2</v>
          </cell>
          <cell r="AY274">
            <v>-7.0602532032566501E-3</v>
          </cell>
          <cell r="AZ274">
            <v>6.7652507955246799E-2</v>
          </cell>
          <cell r="BA274">
            <v>0.12391149511417199</v>
          </cell>
          <cell r="BK274" t="str">
            <v>N.M.</v>
          </cell>
          <cell r="BL274" t="e">
            <v>#VALUE!</v>
          </cell>
        </row>
        <row r="275">
          <cell r="A275" t="str">
            <v>Penninsula Project - PBL/Melco ("Trinity")</v>
          </cell>
          <cell r="D275" t="str">
            <v>N.M.</v>
          </cell>
          <cell r="E275" t="str">
            <v>N.M.</v>
          </cell>
          <cell r="F275" t="str">
            <v>N.M.</v>
          </cell>
          <cell r="G275" t="str">
            <v>N.M.</v>
          </cell>
          <cell r="H275" t="str">
            <v>N.M.</v>
          </cell>
          <cell r="I275" t="str">
            <v>N.M.</v>
          </cell>
          <cell r="J275" t="str">
            <v>N.M.</v>
          </cell>
          <cell r="K275" t="str">
            <v>N.M.</v>
          </cell>
          <cell r="L275" t="str">
            <v>N.M.</v>
          </cell>
          <cell r="M275" t="str">
            <v>N.M.</v>
          </cell>
          <cell r="N275" t="str">
            <v>N.M.</v>
          </cell>
          <cell r="O275" t="str">
            <v>N.M.</v>
          </cell>
          <cell r="P275" t="str">
            <v>N.M.</v>
          </cell>
          <cell r="Q275" t="str">
            <v>N.M.</v>
          </cell>
          <cell r="R275" t="str">
            <v>N.M.</v>
          </cell>
          <cell r="S275" t="str">
            <v>N.M.</v>
          </cell>
          <cell r="T275" t="str">
            <v>N.M.</v>
          </cell>
          <cell r="U275" t="str">
            <v>N.M.</v>
          </cell>
          <cell r="V275" t="str">
            <v>N.M.</v>
          </cell>
          <cell r="W275" t="str">
            <v>N.M.</v>
          </cell>
          <cell r="X275" t="str">
            <v>N.M.</v>
          </cell>
          <cell r="Y275" t="str">
            <v>N.M.</v>
          </cell>
          <cell r="Z275" t="str">
            <v>N.M.</v>
          </cell>
          <cell r="AA275" t="str">
            <v>N.M.</v>
          </cell>
          <cell r="AB275" t="str">
            <v>N.M.</v>
          </cell>
          <cell r="AC275" t="str">
            <v>N.M.</v>
          </cell>
          <cell r="AD275" t="str">
            <v>N.M.</v>
          </cell>
          <cell r="AE275" t="str">
            <v>N.M.</v>
          </cell>
          <cell r="AF275" t="str">
            <v>N.M.</v>
          </cell>
          <cell r="AG275" t="str">
            <v>N.M.</v>
          </cell>
          <cell r="AH275" t="str">
            <v>N.M.</v>
          </cell>
          <cell r="AI275" t="str">
            <v>N.M.</v>
          </cell>
          <cell r="AJ275" t="str">
            <v>N.M.</v>
          </cell>
          <cell r="AK275" t="str">
            <v>N.M.</v>
          </cell>
          <cell r="AL275" t="str">
            <v>N.M.</v>
          </cell>
          <cell r="AM275" t="str">
            <v>N.M.</v>
          </cell>
          <cell r="AN275" t="str">
            <v>N.M.</v>
          </cell>
          <cell r="AO275" t="str">
            <v>N.M.</v>
          </cell>
          <cell r="AP275" t="str">
            <v>N.M.</v>
          </cell>
          <cell r="AQ275" t="str">
            <v>N.M.</v>
          </cell>
          <cell r="AR275" t="str">
            <v>N.M.</v>
          </cell>
          <cell r="AS275" t="str">
            <v>N.M.</v>
          </cell>
          <cell r="AT275" t="str">
            <v>N.M.</v>
          </cell>
          <cell r="AU275" t="str">
            <v>N.M.</v>
          </cell>
          <cell r="AV275" t="str">
            <v>N.M.</v>
          </cell>
          <cell r="AW275" t="str">
            <v>N.M.</v>
          </cell>
          <cell r="AX275" t="str">
            <v>N.M.</v>
          </cell>
          <cell r="AY275">
            <v>1.53370831941238</v>
          </cell>
          <cell r="AZ275">
            <v>-2.1318534374357045E-2</v>
          </cell>
          <cell r="BA275">
            <v>0.12391149511417199</v>
          </cell>
          <cell r="BK275" t="str">
            <v>N.M.</v>
          </cell>
          <cell r="BL275" t="e">
            <v>#VALUE!</v>
          </cell>
        </row>
        <row r="276">
          <cell r="A276" t="str">
            <v>City of Dreams - PBL/Melco</v>
          </cell>
          <cell r="D276" t="str">
            <v>N.M.</v>
          </cell>
          <cell r="E276" t="str">
            <v>N.M.</v>
          </cell>
          <cell r="F276" t="str">
            <v>N.M.</v>
          </cell>
          <cell r="G276" t="str">
            <v>N.M.</v>
          </cell>
          <cell r="H276" t="str">
            <v>N.M.</v>
          </cell>
          <cell r="I276" t="str">
            <v>N.M.</v>
          </cell>
          <cell r="J276" t="str">
            <v>N.M.</v>
          </cell>
          <cell r="K276" t="str">
            <v>N.M.</v>
          </cell>
          <cell r="L276" t="str">
            <v>N.M.</v>
          </cell>
          <cell r="M276" t="str">
            <v>N.M.</v>
          </cell>
          <cell r="N276" t="str">
            <v>N.M.</v>
          </cell>
          <cell r="O276" t="str">
            <v>N.M.</v>
          </cell>
          <cell r="P276" t="str">
            <v>N.M.</v>
          </cell>
          <cell r="Q276" t="str">
            <v>N.M.</v>
          </cell>
          <cell r="R276" t="str">
            <v>N.M.</v>
          </cell>
          <cell r="S276" t="str">
            <v>N.M.</v>
          </cell>
          <cell r="T276" t="str">
            <v>N.M.</v>
          </cell>
          <cell r="U276" t="str">
            <v>N.M.</v>
          </cell>
          <cell r="V276" t="str">
            <v>N.M.</v>
          </cell>
          <cell r="W276" t="str">
            <v>N.M.</v>
          </cell>
          <cell r="X276" t="str">
            <v>N.M.</v>
          </cell>
          <cell r="Y276" t="str">
            <v>N.M.</v>
          </cell>
          <cell r="Z276" t="str">
            <v>N.M.</v>
          </cell>
          <cell r="AA276" t="str">
            <v>N.M.</v>
          </cell>
          <cell r="AB276" t="str">
            <v>N.M.</v>
          </cell>
          <cell r="AC276" t="str">
            <v>N.M.</v>
          </cell>
          <cell r="AD276" t="str">
            <v>N.M.</v>
          </cell>
          <cell r="AE276" t="str">
            <v>N.M.</v>
          </cell>
          <cell r="AF276" t="str">
            <v>N.M.</v>
          </cell>
          <cell r="AG276" t="str">
            <v>N.M.</v>
          </cell>
          <cell r="AH276" t="str">
            <v>N.M.</v>
          </cell>
          <cell r="AI276" t="str">
            <v>N.M.</v>
          </cell>
          <cell r="AJ276" t="str">
            <v>N.M.</v>
          </cell>
          <cell r="AK276" t="str">
            <v>N.M.</v>
          </cell>
          <cell r="AL276" t="str">
            <v>N.M.</v>
          </cell>
          <cell r="AM276" t="str">
            <v>N.M.</v>
          </cell>
          <cell r="AN276" t="str">
            <v>N.M.</v>
          </cell>
          <cell r="AO276" t="str">
            <v>N.M.</v>
          </cell>
          <cell r="AP276" t="str">
            <v>N.M.</v>
          </cell>
          <cell r="AQ276" t="str">
            <v>N.M.</v>
          </cell>
          <cell r="AR276" t="str">
            <v>N.M.</v>
          </cell>
          <cell r="AS276" t="str">
            <v>N.M.</v>
          </cell>
          <cell r="AT276" t="str">
            <v>N.M.</v>
          </cell>
          <cell r="AU276" t="str">
            <v>N.M.</v>
          </cell>
          <cell r="AV276" t="str">
            <v>N.M.</v>
          </cell>
          <cell r="AW276" t="str">
            <v>N.M.</v>
          </cell>
          <cell r="AX276" t="str">
            <v>N.M.</v>
          </cell>
          <cell r="AY276">
            <v>-7.0602532032567611E-3</v>
          </cell>
          <cell r="AZ276">
            <v>-2.1318534374357045E-2</v>
          </cell>
          <cell r="BA276">
            <v>0.12391149511417221</v>
          </cell>
          <cell r="BK276" t="str">
            <v>N.M.</v>
          </cell>
          <cell r="BL276" t="e">
            <v>#VALUE!</v>
          </cell>
        </row>
        <row r="277">
          <cell r="A277" t="str">
            <v>Galaxy Cotai Mega Resort</v>
          </cell>
          <cell r="D277" t="str">
            <v>N.M.</v>
          </cell>
          <cell r="E277" t="str">
            <v>N.M.</v>
          </cell>
          <cell r="F277" t="str">
            <v>N.M.</v>
          </cell>
          <cell r="G277" t="str">
            <v>N.M.</v>
          </cell>
          <cell r="H277" t="str">
            <v>N.M.</v>
          </cell>
          <cell r="I277" t="str">
            <v>N.M.</v>
          </cell>
          <cell r="J277" t="str">
            <v>N.M.</v>
          </cell>
          <cell r="K277" t="str">
            <v>N.M.</v>
          </cell>
          <cell r="L277" t="str">
            <v>N.M.</v>
          </cell>
          <cell r="M277" t="str">
            <v>N.M.</v>
          </cell>
          <cell r="N277" t="str">
            <v>N.M.</v>
          </cell>
          <cell r="O277" t="str">
            <v>N.M.</v>
          </cell>
          <cell r="P277" t="str">
            <v>N.M.</v>
          </cell>
          <cell r="Q277" t="str">
            <v>N.M.</v>
          </cell>
          <cell r="R277" t="str">
            <v>N.M.</v>
          </cell>
          <cell r="S277" t="str">
            <v>N.M.</v>
          </cell>
          <cell r="T277" t="str">
            <v>N.M.</v>
          </cell>
          <cell r="U277" t="str">
            <v>N.M.</v>
          </cell>
          <cell r="V277" t="str">
            <v>N.M.</v>
          </cell>
          <cell r="W277" t="str">
            <v>N.M.</v>
          </cell>
          <cell r="X277" t="str">
            <v>N.M.</v>
          </cell>
          <cell r="Y277" t="str">
            <v>N.M.</v>
          </cell>
          <cell r="Z277" t="str">
            <v>N.M.</v>
          </cell>
          <cell r="AA277" t="str">
            <v>N.M.</v>
          </cell>
          <cell r="AB277" t="str">
            <v>N.M.</v>
          </cell>
          <cell r="AC277" t="str">
            <v>N.M.</v>
          </cell>
          <cell r="AD277" t="str">
            <v>N.M.</v>
          </cell>
          <cell r="AE277" t="str">
            <v>N.M.</v>
          </cell>
          <cell r="AF277" t="str">
            <v>N.M.</v>
          </cell>
          <cell r="AG277" t="str">
            <v>N.M.</v>
          </cell>
          <cell r="AH277" t="str">
            <v>N.M.</v>
          </cell>
          <cell r="AI277" t="str">
            <v>N.M.</v>
          </cell>
          <cell r="AJ277" t="str">
            <v>N.M.</v>
          </cell>
          <cell r="AK277" t="str">
            <v>N.M.</v>
          </cell>
          <cell r="AL277" t="str">
            <v>N.M.</v>
          </cell>
          <cell r="AM277" t="str">
            <v>N.M.</v>
          </cell>
          <cell r="AN277" t="str">
            <v>N.M.</v>
          </cell>
          <cell r="AO277" t="str">
            <v>N.M.</v>
          </cell>
          <cell r="AP277" t="str">
            <v>N.M.</v>
          </cell>
          <cell r="AQ277" t="str">
            <v>N.M.</v>
          </cell>
          <cell r="AR277" t="str">
            <v>N.M.</v>
          </cell>
          <cell r="AS277" t="str">
            <v>N.M.</v>
          </cell>
          <cell r="AT277" t="str">
            <v>N.M.</v>
          </cell>
          <cell r="AU277" t="str">
            <v>N.M.</v>
          </cell>
          <cell r="AV277" t="str">
            <v>N.M.</v>
          </cell>
          <cell r="AW277" t="str">
            <v>N.M.</v>
          </cell>
          <cell r="AX277">
            <v>0.73026783436273268</v>
          </cell>
          <cell r="AY277">
            <v>-2.8645899872751235E-2</v>
          </cell>
          <cell r="AZ277">
            <v>-2.1318534374357045E-2</v>
          </cell>
          <cell r="BA277">
            <v>0.12391149511417243</v>
          </cell>
          <cell r="BK277" t="str">
            <v>N.M.</v>
          </cell>
          <cell r="BL277" t="e">
            <v>#VALUE!</v>
          </cell>
        </row>
        <row r="278">
          <cell r="A278" t="str">
            <v>Galaxy StarWorld</v>
          </cell>
          <cell r="D278" t="str">
            <v>N.M.</v>
          </cell>
          <cell r="E278" t="str">
            <v>N.M.</v>
          </cell>
          <cell r="F278" t="str">
            <v>N.M.</v>
          </cell>
          <cell r="G278" t="str">
            <v>N.M.</v>
          </cell>
          <cell r="H278" t="str">
            <v>N.M.</v>
          </cell>
          <cell r="I278" t="str">
            <v>N.M.</v>
          </cell>
          <cell r="J278" t="str">
            <v>N.M.</v>
          </cell>
          <cell r="K278" t="str">
            <v>N.M.</v>
          </cell>
          <cell r="L278" t="str">
            <v>N.M.</v>
          </cell>
          <cell r="M278" t="str">
            <v>N.M.</v>
          </cell>
          <cell r="N278" t="str">
            <v>N.M.</v>
          </cell>
          <cell r="O278" t="str">
            <v>N.M.</v>
          </cell>
          <cell r="P278" t="str">
            <v>N.M.</v>
          </cell>
          <cell r="Q278" t="str">
            <v>N.M.</v>
          </cell>
          <cell r="R278" t="str">
            <v>N.M.</v>
          </cell>
          <cell r="S278" t="str">
            <v>N.M.</v>
          </cell>
          <cell r="T278" t="str">
            <v>N.M.</v>
          </cell>
          <cell r="U278" t="str">
            <v>N.M.</v>
          </cell>
          <cell r="V278" t="str">
            <v>N.M.</v>
          </cell>
          <cell r="W278" t="str">
            <v>N.M.</v>
          </cell>
          <cell r="X278" t="str">
            <v>N.M.</v>
          </cell>
          <cell r="Y278" t="str">
            <v>N.M.</v>
          </cell>
          <cell r="Z278" t="str">
            <v>N.M.</v>
          </cell>
          <cell r="AA278" t="str">
            <v>N.M.</v>
          </cell>
          <cell r="AB278" t="str">
            <v>N.M.</v>
          </cell>
          <cell r="AC278" t="str">
            <v>N.M.</v>
          </cell>
          <cell r="AD278" t="str">
            <v>N.M.</v>
          </cell>
          <cell r="AE278" t="str">
            <v>N.M.</v>
          </cell>
          <cell r="AF278" t="str">
            <v>N.M.</v>
          </cell>
          <cell r="AG278" t="str">
            <v>N.M.</v>
          </cell>
          <cell r="AH278" t="str">
            <v>N.M.</v>
          </cell>
          <cell r="AI278" t="str">
            <v>N.M.</v>
          </cell>
          <cell r="AJ278" t="str">
            <v>N.M.</v>
          </cell>
          <cell r="AK278" t="str">
            <v>N.M.</v>
          </cell>
          <cell r="AL278" t="str">
            <v>N.M.</v>
          </cell>
          <cell r="AM278" t="str">
            <v>N.M.</v>
          </cell>
          <cell r="AN278" t="str">
            <v>N.M.</v>
          </cell>
          <cell r="AO278" t="str">
            <v>N.M.</v>
          </cell>
          <cell r="AP278" t="str">
            <v>N.M.</v>
          </cell>
          <cell r="AQ278" t="str">
            <v>N.M.</v>
          </cell>
          <cell r="AR278" t="str">
            <v>N.M.</v>
          </cell>
          <cell r="AS278" t="str">
            <v>N.M.</v>
          </cell>
          <cell r="AT278" t="str">
            <v>N.M.</v>
          </cell>
          <cell r="AU278" t="str">
            <v>N.M.</v>
          </cell>
          <cell r="AV278" t="str">
            <v>N.M.</v>
          </cell>
          <cell r="AW278">
            <v>-5.2295805588948863E-3</v>
          </cell>
          <cell r="AX278">
            <v>-7.3070803019964603E-2</v>
          </cell>
          <cell r="AY278">
            <v>-7.0602532032567611E-3</v>
          </cell>
          <cell r="AZ278">
            <v>-2.1318534374357156E-2</v>
          </cell>
          <cell r="BA278">
            <v>0.12391149511417199</v>
          </cell>
          <cell r="BK278">
            <v>3.1177633087213277</v>
          </cell>
          <cell r="BL278" t="e">
            <v>#VALUE!</v>
          </cell>
        </row>
        <row r="279">
          <cell r="A279" t="str">
            <v>Galaxy City Clubs</v>
          </cell>
          <cell r="D279" t="str">
            <v>N.M.</v>
          </cell>
          <cell r="E279" t="str">
            <v>N.M.</v>
          </cell>
          <cell r="F279" t="str">
            <v>N.M.</v>
          </cell>
          <cell r="G279" t="str">
            <v>N.M.</v>
          </cell>
          <cell r="H279" t="str">
            <v>N.M.</v>
          </cell>
          <cell r="I279" t="str">
            <v>N.M.</v>
          </cell>
          <cell r="J279" t="str">
            <v>N.M.</v>
          </cell>
          <cell r="K279" t="str">
            <v>N.M.</v>
          </cell>
          <cell r="L279" t="str">
            <v>N.M.</v>
          </cell>
          <cell r="M279" t="str">
            <v>N.M.</v>
          </cell>
          <cell r="N279" t="str">
            <v>N.M.</v>
          </cell>
          <cell r="O279" t="str">
            <v>N.M.</v>
          </cell>
          <cell r="P279" t="str">
            <v>N.M.</v>
          </cell>
          <cell r="Q279" t="str">
            <v>N.M.</v>
          </cell>
          <cell r="R279" t="str">
            <v>N.M.</v>
          </cell>
          <cell r="S279" t="str">
            <v>N.M.</v>
          </cell>
          <cell r="T279" t="str">
            <v>N.M.</v>
          </cell>
          <cell r="U279" t="str">
            <v>N.M.</v>
          </cell>
          <cell r="V279" t="str">
            <v>N.M.</v>
          </cell>
          <cell r="W279" t="str">
            <v>N.M.</v>
          </cell>
          <cell r="X279" t="str">
            <v>N.M.</v>
          </cell>
          <cell r="Y279" t="str">
            <v>N.M.</v>
          </cell>
          <cell r="Z279" t="str">
            <v>N.M.</v>
          </cell>
          <cell r="AA279" t="str">
            <v>N.M.</v>
          </cell>
          <cell r="AB279" t="str">
            <v>N.M.</v>
          </cell>
          <cell r="AC279" t="str">
            <v>N.M.</v>
          </cell>
          <cell r="AD279" t="str">
            <v>N.M.</v>
          </cell>
          <cell r="AE279" t="str">
            <v>N.M.</v>
          </cell>
          <cell r="AF279" t="str">
            <v>N.M.</v>
          </cell>
          <cell r="AG279" t="str">
            <v>N.M.</v>
          </cell>
          <cell r="AH279" t="str">
            <v>N.M.</v>
          </cell>
          <cell r="AI279" t="str">
            <v>N.M.</v>
          </cell>
          <cell r="AJ279" t="str">
            <v>N.M.</v>
          </cell>
          <cell r="AK279" t="str">
            <v>N.M.</v>
          </cell>
          <cell r="AL279" t="str">
            <v>N.M.</v>
          </cell>
          <cell r="AM279" t="str">
            <v>N.M.</v>
          </cell>
          <cell r="AN279" t="str">
            <v>N.M.</v>
          </cell>
          <cell r="AO279" t="str">
            <v>N.M.</v>
          </cell>
          <cell r="AP279" t="str">
            <v>N.M.</v>
          </cell>
          <cell r="AQ279" t="str">
            <v>N.M.</v>
          </cell>
          <cell r="AR279">
            <v>1.8107717468912279</v>
          </cell>
          <cell r="AS279">
            <v>-0.30565578590559139</v>
          </cell>
          <cell r="AT279">
            <v>-0.43815019587598825</v>
          </cell>
          <cell r="AU279">
            <v>-0.43424069810710741</v>
          </cell>
          <cell r="AV279">
            <v>-0.17872257087004007</v>
          </cell>
          <cell r="AW279">
            <v>-0.24239503281355324</v>
          </cell>
          <cell r="AX279">
            <v>-0.13486608281863388</v>
          </cell>
          <cell r="AY279">
            <v>-7.0602532032567611E-3</v>
          </cell>
          <cell r="AZ279">
            <v>-2.1318534374356934E-2</v>
          </cell>
          <cell r="BA279">
            <v>0.12391149511417199</v>
          </cell>
          <cell r="BK279">
            <v>-6.3819661019634544E-2</v>
          </cell>
          <cell r="BL279">
            <v>-0.11490290985040552</v>
          </cell>
        </row>
        <row r="280">
          <cell r="A280" t="str">
            <v>Macau Studio City</v>
          </cell>
          <cell r="D280" t="str">
            <v>N.M.</v>
          </cell>
          <cell r="E280" t="str">
            <v>N.M.</v>
          </cell>
          <cell r="F280" t="str">
            <v>N.M.</v>
          </cell>
          <cell r="G280" t="str">
            <v>N.M.</v>
          </cell>
          <cell r="H280" t="str">
            <v>N.M.</v>
          </cell>
          <cell r="I280" t="str">
            <v>N.M.</v>
          </cell>
          <cell r="J280" t="str">
            <v>N.M.</v>
          </cell>
          <cell r="K280" t="str">
            <v>N.M.</v>
          </cell>
          <cell r="L280" t="str">
            <v>N.M.</v>
          </cell>
          <cell r="M280" t="str">
            <v>N.M.</v>
          </cell>
          <cell r="N280" t="str">
            <v>N.M.</v>
          </cell>
          <cell r="O280" t="str">
            <v>N.M.</v>
          </cell>
          <cell r="P280" t="str">
            <v>N.M.</v>
          </cell>
          <cell r="Q280" t="str">
            <v>N.M.</v>
          </cell>
          <cell r="R280" t="str">
            <v>N.M.</v>
          </cell>
          <cell r="S280" t="str">
            <v>N.M.</v>
          </cell>
          <cell r="T280" t="str">
            <v>N.M.</v>
          </cell>
          <cell r="U280" t="str">
            <v>N.M.</v>
          </cell>
          <cell r="V280" t="str">
            <v>N.M.</v>
          </cell>
          <cell r="W280" t="str">
            <v>N.M.</v>
          </cell>
          <cell r="X280" t="str">
            <v>N.M.</v>
          </cell>
          <cell r="Y280" t="str">
            <v>N.M.</v>
          </cell>
          <cell r="Z280" t="str">
            <v>N.M.</v>
          </cell>
          <cell r="AA280" t="str">
            <v>N.M.</v>
          </cell>
          <cell r="AB280" t="str">
            <v>N.M.</v>
          </cell>
          <cell r="AC280" t="str">
            <v>N.M.</v>
          </cell>
          <cell r="AD280" t="str">
            <v>N.M.</v>
          </cell>
          <cell r="AE280" t="str">
            <v>N.M.</v>
          </cell>
          <cell r="AF280" t="str">
            <v>N.M.</v>
          </cell>
          <cell r="AG280" t="str">
            <v>N.M.</v>
          </cell>
          <cell r="AH280" t="str">
            <v>N.M.</v>
          </cell>
          <cell r="AI280" t="str">
            <v>N.M.</v>
          </cell>
          <cell r="AJ280" t="str">
            <v>N.M.</v>
          </cell>
          <cell r="AK280" t="str">
            <v>N.M.</v>
          </cell>
          <cell r="AL280" t="str">
            <v>N.M.</v>
          </cell>
          <cell r="AM280" t="str">
            <v>N.M.</v>
          </cell>
          <cell r="AN280" t="str">
            <v>N.M.</v>
          </cell>
          <cell r="AO280" t="str">
            <v>N.M.</v>
          </cell>
          <cell r="AP280" t="str">
            <v>N.M.</v>
          </cell>
          <cell r="AQ280" t="str">
            <v>N.M.</v>
          </cell>
          <cell r="AR280" t="str">
            <v>N.M.</v>
          </cell>
          <cell r="AS280" t="str">
            <v>N.M.</v>
          </cell>
          <cell r="AT280" t="str">
            <v>N.M.</v>
          </cell>
          <cell r="AU280" t="str">
            <v>N.M.</v>
          </cell>
          <cell r="AV280" t="str">
            <v>N.M.</v>
          </cell>
          <cell r="AW280" t="str">
            <v>N.M.</v>
          </cell>
          <cell r="AX280" t="str">
            <v>N.M.</v>
          </cell>
          <cell r="AY280">
            <v>-7.0602532032567611E-3</v>
          </cell>
          <cell r="AZ280">
            <v>0.58737359668549405</v>
          </cell>
          <cell r="BA280">
            <v>0.12391149511417199</v>
          </cell>
          <cell r="BK280">
            <v>-6.3819661019634544E-2</v>
          </cell>
          <cell r="BL280" t="e">
            <v>#VALUE!</v>
          </cell>
        </row>
        <row r="281">
          <cell r="A281" t="str">
            <v>New SJM</v>
          </cell>
          <cell r="D281" t="str">
            <v>N.M.</v>
          </cell>
          <cell r="E281" t="str">
            <v>N.M.</v>
          </cell>
          <cell r="F281" t="str">
            <v>N.M.</v>
          </cell>
          <cell r="G281" t="str">
            <v>N.M.</v>
          </cell>
          <cell r="H281" t="str">
            <v>N.M.</v>
          </cell>
          <cell r="I281" t="str">
            <v>N.M.</v>
          </cell>
          <cell r="J281" t="str">
            <v>N.M.</v>
          </cell>
          <cell r="K281" t="str">
            <v>N.M.</v>
          </cell>
          <cell r="L281" t="str">
            <v>N.M.</v>
          </cell>
          <cell r="M281" t="str">
            <v>N.M.</v>
          </cell>
          <cell r="N281" t="str">
            <v>N.M.</v>
          </cell>
          <cell r="O281" t="str">
            <v>N.M.</v>
          </cell>
          <cell r="P281" t="str">
            <v>N.M.</v>
          </cell>
          <cell r="Q281" t="str">
            <v>N.M.</v>
          </cell>
          <cell r="R281" t="str">
            <v>N.M.</v>
          </cell>
          <cell r="S281" t="str">
            <v>N.M.</v>
          </cell>
          <cell r="T281" t="str">
            <v>N.M.</v>
          </cell>
          <cell r="U281" t="str">
            <v>N.M.</v>
          </cell>
          <cell r="V281" t="str">
            <v>N.M.</v>
          </cell>
          <cell r="W281" t="str">
            <v>N.M.</v>
          </cell>
          <cell r="X281" t="str">
            <v>N.M.</v>
          </cell>
          <cell r="Y281" t="str">
            <v>N.M.</v>
          </cell>
          <cell r="Z281" t="str">
            <v>N.M.</v>
          </cell>
          <cell r="AA281" t="str">
            <v>N.M.</v>
          </cell>
          <cell r="AB281" t="str">
            <v>N.M.</v>
          </cell>
          <cell r="AC281" t="str">
            <v>N.M.</v>
          </cell>
          <cell r="AD281" t="str">
            <v>N.M.</v>
          </cell>
          <cell r="AE281" t="str">
            <v>N.M.</v>
          </cell>
          <cell r="AF281" t="str">
            <v>N.M.</v>
          </cell>
          <cell r="AG281" t="str">
            <v>N.M.</v>
          </cell>
          <cell r="AH281" t="str">
            <v>N.M.</v>
          </cell>
          <cell r="AI281" t="str">
            <v>N.M.</v>
          </cell>
          <cell r="AJ281" t="str">
            <v>N.M.</v>
          </cell>
          <cell r="AK281" t="str">
            <v>N.M.</v>
          </cell>
          <cell r="AL281" t="str">
            <v>N.M.</v>
          </cell>
          <cell r="AM281" t="str">
            <v>N.M.</v>
          </cell>
          <cell r="AN281" t="str">
            <v>N.M.</v>
          </cell>
          <cell r="AO281" t="str">
            <v>N.M.</v>
          </cell>
          <cell r="AP281" t="str">
            <v>N.M.</v>
          </cell>
          <cell r="AQ281" t="str">
            <v>N.M.</v>
          </cell>
          <cell r="AR281" t="str">
            <v>N.M.</v>
          </cell>
          <cell r="AS281" t="str">
            <v>N.M.</v>
          </cell>
          <cell r="AT281" t="str">
            <v>N.M.</v>
          </cell>
          <cell r="AU281" t="str">
            <v>N.M.</v>
          </cell>
          <cell r="AV281" t="str">
            <v>N.M.</v>
          </cell>
          <cell r="AW281">
            <v>0.30590165895739441</v>
          </cell>
          <cell r="AX281">
            <v>0.65012716052006403</v>
          </cell>
          <cell r="AY281">
            <v>0.13464718806427989</v>
          </cell>
          <cell r="AZ281">
            <v>0.38611045256437371</v>
          </cell>
          <cell r="BA281">
            <v>0.18635102262051473</v>
          </cell>
          <cell r="BK281">
            <v>6.6765812661224047</v>
          </cell>
          <cell r="BL281" t="e">
            <v>#VALUE!</v>
          </cell>
        </row>
        <row r="282">
          <cell r="A282" t="str">
            <v>Old SJM</v>
          </cell>
          <cell r="D282" t="str">
            <v>N.M.</v>
          </cell>
          <cell r="E282" t="str">
            <v>N.M.</v>
          </cell>
          <cell r="F282" t="str">
            <v>N.M.</v>
          </cell>
          <cell r="G282" t="str">
            <v>N.M.</v>
          </cell>
          <cell r="H282" t="str">
            <v>N.M.</v>
          </cell>
          <cell r="I282" t="str">
            <v>N.M.</v>
          </cell>
          <cell r="J282" t="str">
            <v>N.M.</v>
          </cell>
          <cell r="K282" t="str">
            <v>N.M.</v>
          </cell>
          <cell r="L282" t="str">
            <v>N.M.</v>
          </cell>
          <cell r="M282" t="str">
            <v>N.M.</v>
          </cell>
          <cell r="N282" t="str">
            <v>N.M.</v>
          </cell>
          <cell r="O282" t="str">
            <v>N.M.</v>
          </cell>
          <cell r="P282" t="str">
            <v>N.M.</v>
          </cell>
          <cell r="Q282" t="str">
            <v>N.M.</v>
          </cell>
          <cell r="R282" t="str">
            <v>N.M.</v>
          </cell>
          <cell r="S282" t="str">
            <v>N.M.</v>
          </cell>
          <cell r="T282" t="str">
            <v>N.M.</v>
          </cell>
          <cell r="U282" t="str">
            <v>N.M.</v>
          </cell>
          <cell r="V282" t="str">
            <v>N.M.</v>
          </cell>
          <cell r="W282" t="str">
            <v>N.M.</v>
          </cell>
          <cell r="X282" t="str">
            <v>N.M.</v>
          </cell>
          <cell r="Y282" t="str">
            <v>N.M.</v>
          </cell>
          <cell r="Z282" t="str">
            <v>N.M.</v>
          </cell>
          <cell r="AA282" t="str">
            <v>N.M.</v>
          </cell>
          <cell r="AB282" t="str">
            <v>N.M.</v>
          </cell>
          <cell r="AC282" t="str">
            <v>N.M.</v>
          </cell>
          <cell r="AD282" t="str">
            <v>N.M.</v>
          </cell>
          <cell r="AE282" t="str">
            <v>N.M.</v>
          </cell>
          <cell r="AF282" t="str">
            <v>N.M.</v>
          </cell>
          <cell r="AG282" t="str">
            <v>N.M.</v>
          </cell>
          <cell r="AH282" t="str">
            <v>N.M.</v>
          </cell>
          <cell r="AI282" t="str">
            <v>N.M.</v>
          </cell>
          <cell r="AJ282" t="str">
            <v>N.M.</v>
          </cell>
          <cell r="AK282" t="str">
            <v>N.M.</v>
          </cell>
          <cell r="AL282" t="str">
            <v>N.M.</v>
          </cell>
          <cell r="AM282" t="str">
            <v>N.M.</v>
          </cell>
          <cell r="AN282" t="str">
            <v>N.M.</v>
          </cell>
          <cell r="AO282" t="str">
            <v>N.M.</v>
          </cell>
          <cell r="AP282" t="str">
            <v>N.M.</v>
          </cell>
          <cell r="AQ282" t="str">
            <v>N.M.</v>
          </cell>
          <cell r="AR282">
            <v>-0.30484419570942689</v>
          </cell>
          <cell r="AS282">
            <v>-0.32701754488662971</v>
          </cell>
          <cell r="AT282">
            <v>-0.35110440202352433</v>
          </cell>
          <cell r="AU282">
            <v>-0.33239816115027365</v>
          </cell>
          <cell r="AV282">
            <v>-0.32791877621430943</v>
          </cell>
          <cell r="AW282">
            <v>-0.59038111926489412</v>
          </cell>
          <cell r="AX282">
            <v>-0.45441731799691243</v>
          </cell>
          <cell r="AY282">
            <v>-0.10567356589056653</v>
          </cell>
          <cell r="AZ282">
            <v>0.21034193131689816</v>
          </cell>
          <cell r="BA282">
            <v>-9.4261199342509094E-2</v>
          </cell>
          <cell r="BK282">
            <v>-0.405802609940355</v>
          </cell>
          <cell r="BL282">
            <v>7.788383372604557E-2</v>
          </cell>
        </row>
        <row r="283">
          <cell r="A283" t="str">
            <v>Other Mass Market</v>
          </cell>
          <cell r="D283">
            <v>4.9656657911086644E-2</v>
          </cell>
          <cell r="E283">
            <v>-8.5061861588807242E-2</v>
          </cell>
          <cell r="F283">
            <v>-8.446295437400575E-2</v>
          </cell>
          <cell r="G283">
            <v>-2.6274725835415125E-2</v>
          </cell>
          <cell r="H283">
            <v>-0.16787585389042037</v>
          </cell>
          <cell r="I283" t="str">
            <v>N.M.</v>
          </cell>
          <cell r="J283" t="str">
            <v>N.M.</v>
          </cell>
          <cell r="K283" t="str">
            <v>N.M.</v>
          </cell>
          <cell r="L283" t="str">
            <v>N.M.</v>
          </cell>
          <cell r="M283">
            <v>0.15427894312811197</v>
          </cell>
          <cell r="N283">
            <v>-3.6284284956789037E-2</v>
          </cell>
          <cell r="O283">
            <v>8.8131752679579956E-2</v>
          </cell>
          <cell r="P283">
            <v>1.9617142594859249E-2</v>
          </cell>
          <cell r="Q283">
            <v>0.12963339379537331</v>
          </cell>
          <cell r="R283">
            <v>4.7515816853742177E-2</v>
          </cell>
          <cell r="S283">
            <v>-8.3791201752341227E-3</v>
          </cell>
          <cell r="T283">
            <v>6.4680092309518988E-2</v>
          </cell>
          <cell r="U283">
            <v>5.2785605978953987E-2</v>
          </cell>
          <cell r="V283">
            <v>0.14895037438963543</v>
          </cell>
          <cell r="W283">
            <v>6.5638265911447391E-2</v>
          </cell>
          <cell r="X283">
            <v>0.17961350655231589</v>
          </cell>
          <cell r="Y283">
            <v>-0.16653363672271004</v>
          </cell>
          <cell r="Z283">
            <v>0.22419881485991899</v>
          </cell>
          <cell r="AA283">
            <v>0.20072561908201503</v>
          </cell>
          <cell r="AB283">
            <v>0.11054127036749239</v>
          </cell>
          <cell r="AC283">
            <v>0.4813841646179613</v>
          </cell>
          <cell r="AD283">
            <v>0.90159557655879441</v>
          </cell>
          <cell r="AE283">
            <v>0.12306125027376758</v>
          </cell>
          <cell r="AF283">
            <v>-5.3244344923872311E-2</v>
          </cell>
          <cell r="AG283">
            <v>0.30136889991799753</v>
          </cell>
          <cell r="AH283">
            <v>2.8765113712549528E-2</v>
          </cell>
          <cell r="AI283">
            <v>0.13776422222697704</v>
          </cell>
          <cell r="AJ283">
            <v>0.49842775059904465</v>
          </cell>
          <cell r="AK283">
            <v>0.75629481489603911</v>
          </cell>
          <cell r="AL283">
            <v>0.32803108055802754</v>
          </cell>
          <cell r="BL283">
            <v>0</v>
          </cell>
        </row>
        <row r="284">
          <cell r="B284" t="str">
            <v>______</v>
          </cell>
          <cell r="C284" t="str">
            <v>______</v>
          </cell>
          <cell r="D284" t="str">
            <v>______</v>
          </cell>
          <cell r="E284" t="str">
            <v>______</v>
          </cell>
          <cell r="F284" t="str">
            <v>______</v>
          </cell>
          <cell r="G284" t="str">
            <v>______</v>
          </cell>
          <cell r="H284" t="str">
            <v>______</v>
          </cell>
          <cell r="I284" t="str">
            <v>______</v>
          </cell>
          <cell r="J284" t="str">
            <v>______</v>
          </cell>
          <cell r="K284" t="str">
            <v>______</v>
          </cell>
          <cell r="L284" t="str">
            <v>______</v>
          </cell>
          <cell r="M284" t="str">
            <v>______</v>
          </cell>
          <cell r="N284" t="str">
            <v>______</v>
          </cell>
          <cell r="O284" t="str">
            <v>______</v>
          </cell>
          <cell r="P284" t="str">
            <v>______</v>
          </cell>
          <cell r="Q284" t="str">
            <v>______</v>
          </cell>
          <cell r="R284" t="str">
            <v>______</v>
          </cell>
          <cell r="S284" t="str">
            <v>______</v>
          </cell>
          <cell r="T284" t="str">
            <v>______</v>
          </cell>
          <cell r="U284" t="str">
            <v>______</v>
          </cell>
          <cell r="V284" t="str">
            <v>______</v>
          </cell>
          <cell r="W284" t="str">
            <v>______</v>
          </cell>
          <cell r="X284" t="str">
            <v>______</v>
          </cell>
          <cell r="Y284" t="str">
            <v>______</v>
          </cell>
          <cell r="Z284" t="str">
            <v>______</v>
          </cell>
          <cell r="AA284" t="str">
            <v>______</v>
          </cell>
          <cell r="AB284" t="str">
            <v>______</v>
          </cell>
          <cell r="AC284" t="str">
            <v>______</v>
          </cell>
          <cell r="AD284" t="str">
            <v>______</v>
          </cell>
          <cell r="AE284" t="str">
            <v>______</v>
          </cell>
          <cell r="AF284" t="str">
            <v>______</v>
          </cell>
          <cell r="AG284" t="str">
            <v>______</v>
          </cell>
          <cell r="AH284" t="str">
            <v>______</v>
          </cell>
          <cell r="AI284" t="str">
            <v>______</v>
          </cell>
          <cell r="AJ284" t="str">
            <v>______</v>
          </cell>
          <cell r="AK284" t="str">
            <v>______</v>
          </cell>
          <cell r="AL284" t="str">
            <v>______</v>
          </cell>
          <cell r="AM284" t="str">
            <v>______</v>
          </cell>
          <cell r="AN284" t="str">
            <v>______</v>
          </cell>
          <cell r="AO284" t="str">
            <v>______</v>
          </cell>
          <cell r="AP284" t="str">
            <v>______</v>
          </cell>
          <cell r="AQ284" t="str">
            <v>______</v>
          </cell>
          <cell r="AR284" t="str">
            <v>______</v>
          </cell>
          <cell r="AS284" t="str">
            <v>______</v>
          </cell>
          <cell r="AT284" t="str">
            <v>______</v>
          </cell>
          <cell r="AU284" t="str">
            <v>______</v>
          </cell>
          <cell r="AV284" t="str">
            <v>______</v>
          </cell>
          <cell r="AW284" t="str">
            <v>______</v>
          </cell>
          <cell r="AX284" t="str">
            <v>______</v>
          </cell>
          <cell r="AY284" t="str">
            <v>______</v>
          </cell>
          <cell r="AZ284" t="str">
            <v>______</v>
          </cell>
          <cell r="BA284" t="str">
            <v>______</v>
          </cell>
          <cell r="BK284" t="str">
            <v>______</v>
          </cell>
          <cell r="BL284" t="e">
            <v>#VALUE!</v>
          </cell>
        </row>
        <row r="285">
          <cell r="A285" t="str">
            <v>Total Mass Market</v>
          </cell>
          <cell r="D285">
            <v>4.9656657911086644E-2</v>
          </cell>
          <cell r="E285">
            <v>-8.5061861588807242E-2</v>
          </cell>
          <cell r="F285">
            <v>-8.446295437400575E-2</v>
          </cell>
          <cell r="G285">
            <v>-2.6274725835415125E-2</v>
          </cell>
          <cell r="H285">
            <v>-0.16787585389042037</v>
          </cell>
          <cell r="I285" t="str">
            <v>N.M.</v>
          </cell>
          <cell r="J285" t="str">
            <v>N.M.</v>
          </cell>
          <cell r="K285" t="str">
            <v>N.M.</v>
          </cell>
          <cell r="L285" t="str">
            <v>N.M.</v>
          </cell>
          <cell r="M285">
            <v>0.15427894312811197</v>
          </cell>
          <cell r="N285">
            <v>-3.6284284956789037E-2</v>
          </cell>
          <cell r="O285">
            <v>8.8131752679579956E-2</v>
          </cell>
          <cell r="P285">
            <v>1.9617142594859249E-2</v>
          </cell>
          <cell r="Q285">
            <v>0.12963339379537331</v>
          </cell>
          <cell r="R285">
            <v>4.7515816853742177E-2</v>
          </cell>
          <cell r="S285">
            <v>-8.3791201752341227E-3</v>
          </cell>
          <cell r="T285">
            <v>6.4680092309518988E-2</v>
          </cell>
          <cell r="U285">
            <v>5.2785605978953987E-2</v>
          </cell>
          <cell r="V285">
            <v>0.14895037438963543</v>
          </cell>
          <cell r="W285">
            <v>6.5638265911447391E-2</v>
          </cell>
          <cell r="X285">
            <v>0.17961350655231589</v>
          </cell>
          <cell r="Y285">
            <v>-0.16653363672271004</v>
          </cell>
          <cell r="Z285">
            <v>0.22419881485991899</v>
          </cell>
          <cell r="AA285">
            <v>0.20072561908201503</v>
          </cell>
          <cell r="AB285">
            <v>0.11054127036749239</v>
          </cell>
          <cell r="AC285">
            <v>0.4813841646179613</v>
          </cell>
          <cell r="AD285">
            <v>1.2931036892078374</v>
          </cell>
          <cell r="AE285">
            <v>0.87226179059238773</v>
          </cell>
          <cell r="AF285">
            <v>0.61963728927632111</v>
          </cell>
          <cell r="AG285">
            <v>0.78093957094616173</v>
          </cell>
          <cell r="AH285">
            <v>0.59625230108695404</v>
          </cell>
          <cell r="AI285">
            <v>0.44355609560728526</v>
          </cell>
          <cell r="AJ285">
            <v>0.36381102621686812</v>
          </cell>
          <cell r="AK285">
            <v>0.56209580320581076</v>
          </cell>
          <cell r="AL285">
            <v>0.48355148608583787</v>
          </cell>
          <cell r="AM285">
            <v>0.27654644354034463</v>
          </cell>
          <cell r="AN285">
            <v>0.17248515228973837</v>
          </cell>
          <cell r="AO285">
            <v>6.6284713865562894E-2</v>
          </cell>
          <cell r="AP285">
            <v>0.13413819194537213</v>
          </cell>
          <cell r="AQ285">
            <v>0.15581648221155531</v>
          </cell>
          <cell r="AR285">
            <v>0.35211617223146474</v>
          </cell>
          <cell r="AS285">
            <v>0.16895088321352492</v>
          </cell>
          <cell r="AT285">
            <v>0.41208559979785919</v>
          </cell>
          <cell r="AU285">
            <v>0.31839942372462504</v>
          </cell>
          <cell r="AV285">
            <v>0.31380832906717648</v>
          </cell>
          <cell r="AW285">
            <v>0.25915432679073525</v>
          </cell>
          <cell r="AX285">
            <v>0.29106358826728473</v>
          </cell>
          <cell r="AY285">
            <v>0.23086396067109427</v>
          </cell>
          <cell r="AZ285">
            <v>0.14366063557073927</v>
          </cell>
          <cell r="BA285">
            <v>0.12672300235166678</v>
          </cell>
          <cell r="BK285">
            <v>0.34732741003516732</v>
          </cell>
          <cell r="BL285">
            <v>-3.3519080967990833E-2</v>
          </cell>
        </row>
        <row r="286">
          <cell r="BL286">
            <v>0</v>
          </cell>
        </row>
        <row r="287">
          <cell r="A287" t="str">
            <v>Key Revenue Components</v>
          </cell>
          <cell r="BL287">
            <v>0</v>
          </cell>
        </row>
        <row r="288">
          <cell r="A288" t="str">
            <v>Total Table Revenue</v>
          </cell>
          <cell r="C288">
            <v>1895.8932845995764</v>
          </cell>
          <cell r="D288">
            <v>2144.2134168124958</v>
          </cell>
          <cell r="E288">
            <v>2018.1792057423277</v>
          </cell>
          <cell r="F288">
            <v>2194.2883417659837</v>
          </cell>
          <cell r="G288">
            <v>1788.0614110235351</v>
          </cell>
          <cell r="H288">
            <v>1600.2127752616966</v>
          </cell>
          <cell r="I288">
            <v>517.73439125212087</v>
          </cell>
          <cell r="J288">
            <v>468.88836717837728</v>
          </cell>
          <cell r="K288">
            <v>504.66001046392228</v>
          </cell>
          <cell r="L288">
            <v>467.88034354288664</v>
          </cell>
          <cell r="M288">
            <v>1959.1631124373068</v>
          </cell>
          <cell r="N288">
            <v>541.80882802576639</v>
          </cell>
          <cell r="O288">
            <v>554.0399269594194</v>
          </cell>
          <cell r="P288">
            <v>558.76107261557149</v>
          </cell>
          <cell r="Q288">
            <v>573.93464845442213</v>
          </cell>
          <cell r="R288">
            <v>2228.5444760551795</v>
          </cell>
          <cell r="S288">
            <v>603.17374632115923</v>
          </cell>
          <cell r="T288">
            <v>662.23310504929054</v>
          </cell>
          <cell r="U288">
            <v>660.414760431079</v>
          </cell>
          <cell r="V288">
            <v>740.31134583452376</v>
          </cell>
          <cell r="W288">
            <v>2666.1329576360527</v>
          </cell>
          <cell r="X288">
            <v>828.66257279070874</v>
          </cell>
          <cell r="Y288">
            <v>642.82761029735127</v>
          </cell>
          <cell r="Z288">
            <v>941.59530261341718</v>
          </cell>
          <cell r="AA288">
            <v>1035.2702629825894</v>
          </cell>
          <cell r="AB288">
            <v>3448.3557486840668</v>
          </cell>
          <cell r="AC288">
            <v>1121.3474474926816</v>
          </cell>
          <cell r="AD288">
            <v>1145.40730823325</v>
          </cell>
          <cell r="AE288">
            <v>1334.2003657555961</v>
          </cell>
          <cell r="AF288">
            <v>1334.5290571145167</v>
          </cell>
          <cell r="AG288">
            <v>4935.4841785960443</v>
          </cell>
          <cell r="AH288">
            <v>1289.4886404087426</v>
          </cell>
          <cell r="AI288">
            <v>1376.7339070187459</v>
          </cell>
          <cell r="AJ288">
            <v>1383.1984615854853</v>
          </cell>
          <cell r="AK288">
            <v>1382.0502356661298</v>
          </cell>
          <cell r="AL288">
            <v>5431.4712446791036</v>
          </cell>
          <cell r="AM288">
            <v>1492.5772531741247</v>
          </cell>
          <cell r="AN288">
            <v>1528.7395783512056</v>
          </cell>
          <cell r="AO288">
            <v>1626.642037125717</v>
          </cell>
          <cell r="AP288">
            <v>1975.0538680916068</v>
          </cell>
          <cell r="AQ288">
            <v>6623.0127367426549</v>
          </cell>
          <cell r="AR288">
            <v>2120.857316290118</v>
          </cell>
          <cell r="AS288">
            <v>1878.2599983684229</v>
          </cell>
          <cell r="AT288">
            <v>1913.0006504801811</v>
          </cell>
          <cell r="AU288">
            <v>2207.8702014593828</v>
          </cell>
          <cell r="AV288">
            <v>8119.9881665981047</v>
          </cell>
          <cell r="AW288">
            <v>9001.2384207385985</v>
          </cell>
          <cell r="AX288">
            <v>9958.1353886705128</v>
          </cell>
          <cell r="AY288">
            <v>10758.701284174629</v>
          </cell>
          <cell r="AZ288">
            <v>11354.910003211991</v>
          </cell>
          <cell r="BA288">
            <v>12380.320149448944</v>
          </cell>
          <cell r="BK288">
            <v>7433.1848391300427</v>
          </cell>
          <cell r="BL288">
            <v>686.80332746806198</v>
          </cell>
        </row>
        <row r="289">
          <cell r="A289" t="str">
            <v>VIP Table Revenue</v>
          </cell>
          <cell r="C289">
            <v>1158.4249182304775</v>
          </cell>
          <cell r="D289">
            <v>1373.1958703116916</v>
          </cell>
          <cell r="E289">
            <v>1311.6412933882118</v>
          </cell>
          <cell r="F289">
            <v>1543.9553513896376</v>
          </cell>
          <cell r="G289">
            <v>1152.1755032529654</v>
          </cell>
          <cell r="H289">
            <v>1070.2080149186154</v>
          </cell>
          <cell r="I289">
            <v>356.7836313191666</v>
          </cell>
          <cell r="J289">
            <v>323.12262262629986</v>
          </cell>
          <cell r="K289">
            <v>347.77375070532207</v>
          </cell>
          <cell r="L289">
            <v>322.42796849630065</v>
          </cell>
          <cell r="M289">
            <v>1350.1079731470891</v>
          </cell>
          <cell r="N289">
            <v>386.33383027944319</v>
          </cell>
          <cell r="O289">
            <v>395.05514867652977</v>
          </cell>
          <cell r="P289">
            <v>398.421535841712</v>
          </cell>
          <cell r="Q289">
            <v>409.2409713503929</v>
          </cell>
          <cell r="R289">
            <v>1589.0514861480779</v>
          </cell>
          <cell r="S289">
            <v>448.8076265927283</v>
          </cell>
          <cell r="T289">
            <v>492.75232872959464</v>
          </cell>
          <cell r="U289">
            <v>491.39934057749974</v>
          </cell>
          <cell r="V289">
            <v>550.84854088916359</v>
          </cell>
          <cell r="W289">
            <v>1983.8078367889864</v>
          </cell>
          <cell r="X289">
            <v>646.14830969658385</v>
          </cell>
          <cell r="Y289">
            <v>501.2437962789877</v>
          </cell>
          <cell r="Z289">
            <v>734.20742432344173</v>
          </cell>
          <cell r="AA289">
            <v>807.25032416093984</v>
          </cell>
          <cell r="AB289">
            <v>2688.8498544599533</v>
          </cell>
          <cell r="AC289">
            <v>851.76682704702944</v>
          </cell>
          <cell r="AD289">
            <v>827.74883397630197</v>
          </cell>
          <cell r="AE289">
            <v>954.29704649257633</v>
          </cell>
          <cell r="AF289">
            <v>973.19097327333657</v>
          </cell>
          <cell r="AG289">
            <v>3607.0036807892443</v>
          </cell>
          <cell r="AH289">
            <v>871.38028739791866</v>
          </cell>
          <cell r="AI289">
            <v>926.51373647604282</v>
          </cell>
          <cell r="AJ289">
            <v>873.66750231017863</v>
          </cell>
          <cell r="AK289">
            <v>826.27410821960814</v>
          </cell>
          <cell r="AL289">
            <v>3497.8356344037484</v>
          </cell>
          <cell r="AM289">
            <v>973.27110396866146</v>
          </cell>
          <cell r="AN289">
            <v>1013.2898875543249</v>
          </cell>
          <cell r="AO289">
            <v>1104.6934295107803</v>
          </cell>
          <cell r="AP289">
            <v>1371.0374881365419</v>
          </cell>
          <cell r="AQ289">
            <v>4462.2919091703079</v>
          </cell>
          <cell r="AR289">
            <v>1449.0493350188763</v>
          </cell>
          <cell r="AS289">
            <v>1317.2768538206224</v>
          </cell>
          <cell r="AT289">
            <v>1270.3974439373974</v>
          </cell>
          <cell r="AU289">
            <v>1508.1412369501963</v>
          </cell>
          <cell r="AV289">
            <v>5544.8648697270928</v>
          </cell>
          <cell r="AW289">
            <v>5988.4540593052607</v>
          </cell>
          <cell r="AX289">
            <v>6347.7613028635769</v>
          </cell>
          <cell r="AY289">
            <v>6601.6717549781206</v>
          </cell>
          <cell r="AZ289">
            <v>6799.7219076274641</v>
          </cell>
          <cell r="BA289">
            <v>7003.713564856288</v>
          </cell>
          <cell r="BK289">
            <v>4009.0761184965568</v>
          </cell>
          <cell r="BL289">
            <v>1535.788751230536</v>
          </cell>
        </row>
        <row r="290">
          <cell r="A290" t="str">
            <v>Mass Market Table Revenue</v>
          </cell>
          <cell r="C290">
            <v>737.46836636909893</v>
          </cell>
          <cell r="D290">
            <v>771.0175465008042</v>
          </cell>
          <cell r="E290">
            <v>706.53791235411586</v>
          </cell>
          <cell r="F290">
            <v>650.33299037634606</v>
          </cell>
          <cell r="G290">
            <v>635.8859077705697</v>
          </cell>
          <cell r="H290">
            <v>530.00476034308122</v>
          </cell>
          <cell r="I290">
            <v>160.95075993295427</v>
          </cell>
          <cell r="J290">
            <v>145.76574455207739</v>
          </cell>
          <cell r="K290">
            <v>156.8862597586002</v>
          </cell>
          <cell r="L290">
            <v>145.45237504658596</v>
          </cell>
          <cell r="M290">
            <v>609.05513929021777</v>
          </cell>
          <cell r="N290">
            <v>155.47499774632325</v>
          </cell>
          <cell r="O290">
            <v>158.98477828288966</v>
          </cell>
          <cell r="P290">
            <v>160.33953677385955</v>
          </cell>
          <cell r="Q290">
            <v>164.69367710402926</v>
          </cell>
          <cell r="R290">
            <v>639.49298990710167</v>
          </cell>
          <cell r="S290">
            <v>154.3661197284309</v>
          </cell>
          <cell r="T290">
            <v>169.48077631969596</v>
          </cell>
          <cell r="U290">
            <v>169.0154198535792</v>
          </cell>
          <cell r="V290">
            <v>189.46280494536018</v>
          </cell>
          <cell r="W290">
            <v>682.32512084706627</v>
          </cell>
          <cell r="X290">
            <v>182.51426309412486</v>
          </cell>
          <cell r="Y290">
            <v>141.5838140183636</v>
          </cell>
          <cell r="Z290">
            <v>207.38787828997545</v>
          </cell>
          <cell r="AA290">
            <v>228.0199388216497</v>
          </cell>
          <cell r="AB290">
            <v>759.50589422411349</v>
          </cell>
          <cell r="AC290">
            <v>269.58062044565219</v>
          </cell>
          <cell r="AD290">
            <v>317.65847425694795</v>
          </cell>
          <cell r="AE290">
            <v>379.9033192630198</v>
          </cell>
          <cell r="AF290">
            <v>361.33808384118015</v>
          </cell>
          <cell r="AG290">
            <v>1328.4804978068</v>
          </cell>
          <cell r="AH290">
            <v>418.10835301082398</v>
          </cell>
          <cell r="AI290">
            <v>450.22017054270304</v>
          </cell>
          <cell r="AJ290">
            <v>509.53095927530671</v>
          </cell>
          <cell r="AK290">
            <v>555.77612744652163</v>
          </cell>
          <cell r="AL290">
            <v>1933.6356102753552</v>
          </cell>
          <cell r="AM290">
            <v>519.30614920546327</v>
          </cell>
          <cell r="AN290">
            <v>515.44969079688076</v>
          </cell>
          <cell r="AO290">
            <v>521.94860761493669</v>
          </cell>
          <cell r="AP290">
            <v>604.01637995506485</v>
          </cell>
          <cell r="AQ290">
            <v>2160.7208275723456</v>
          </cell>
          <cell r="AR290">
            <v>671.80798127124172</v>
          </cell>
          <cell r="AS290">
            <v>560.98314454780052</v>
          </cell>
          <cell r="AT290">
            <v>642.60320654278371</v>
          </cell>
          <cell r="AU290">
            <v>699.72896450918643</v>
          </cell>
          <cell r="AV290">
            <v>2575.1232968710124</v>
          </cell>
          <cell r="AW290">
            <v>3012.7843614333378</v>
          </cell>
          <cell r="AX290">
            <v>3610.3740858069359</v>
          </cell>
          <cell r="AY290">
            <v>4157.0295291965085</v>
          </cell>
          <cell r="AZ290">
            <v>4555.1880955845272</v>
          </cell>
          <cell r="BA290">
            <v>5376.606584592656</v>
          </cell>
          <cell r="BK290">
            <v>3424.108720633486</v>
          </cell>
          <cell r="BL290">
            <v>-848.9854237624736</v>
          </cell>
        </row>
        <row r="291">
          <cell r="A291" t="str">
            <v>Total Slot Revenue</v>
          </cell>
          <cell r="C291">
            <v>36.715117150683447</v>
          </cell>
          <cell r="D291">
            <v>41.609301420533271</v>
          </cell>
          <cell r="E291">
            <v>36.965383105988082</v>
          </cell>
          <cell r="F291">
            <v>30.371820162388602</v>
          </cell>
          <cell r="G291">
            <v>26.933570496411342</v>
          </cell>
          <cell r="H291">
            <v>21.543332034627358</v>
          </cell>
          <cell r="I291">
            <v>7.2897512952124828</v>
          </cell>
          <cell r="J291">
            <v>6.6019944583595134</v>
          </cell>
          <cell r="K291">
            <v>7.1056627241318893</v>
          </cell>
          <cell r="L291">
            <v>6.5878013861460829</v>
          </cell>
          <cell r="M291">
            <v>27.146312202215412</v>
          </cell>
          <cell r="N291">
            <v>6.6610268311648326</v>
          </cell>
          <cell r="O291">
            <v>6.8113966183618402</v>
          </cell>
          <cell r="P291">
            <v>6.8694386366213962</v>
          </cell>
          <cell r="Q291">
            <v>7.0559833929251567</v>
          </cell>
          <cell r="R291">
            <v>27.408306391555204</v>
          </cell>
          <cell r="S291">
            <v>6.4113476143876937</v>
          </cell>
          <cell r="T291">
            <v>7.0391104787336474</v>
          </cell>
          <cell r="U291">
            <v>7.0197826490640125</v>
          </cell>
          <cell r="V291">
            <v>7.8690317839083832</v>
          </cell>
          <cell r="W291">
            <v>28.134317393683137</v>
          </cell>
          <cell r="X291">
            <v>7.141008932737833</v>
          </cell>
          <cell r="Y291">
            <v>5.5395740776424418</v>
          </cell>
          <cell r="Z291">
            <v>8.1142079873862372</v>
          </cell>
          <cell r="AA291">
            <v>8.9214529996924057</v>
          </cell>
          <cell r="AB291">
            <v>28.71341040465337</v>
          </cell>
          <cell r="AC291">
            <v>11.371696271254004</v>
          </cell>
          <cell r="AD291">
            <v>19.710709754759932</v>
          </cell>
          <cell r="AE291">
            <v>23.573002667028618</v>
          </cell>
          <cell r="AF291">
            <v>22.421029725697053</v>
          </cell>
          <cell r="AG291">
            <v>77.592537637416328</v>
          </cell>
          <cell r="AH291">
            <v>30.362429044248191</v>
          </cell>
          <cell r="AI291">
            <v>36.791171507453747</v>
          </cell>
          <cell r="AJ291">
            <v>40.734497390320115</v>
          </cell>
          <cell r="AK291">
            <v>43.692373298279279</v>
          </cell>
          <cell r="AL291">
            <v>151.58047124030134</v>
          </cell>
          <cell r="AM291">
            <v>53.187632658696295</v>
          </cell>
          <cell r="AN291">
            <v>55.563876753627298</v>
          </cell>
          <cell r="AO291">
            <v>64.791037395874682</v>
          </cell>
          <cell r="AP291">
            <v>75.863741607846507</v>
          </cell>
          <cell r="AQ291">
            <v>249.40628841604479</v>
          </cell>
          <cell r="AR291">
            <v>102.27011968924069</v>
          </cell>
          <cell r="AS291">
            <v>106.5036695672716</v>
          </cell>
          <cell r="AT291">
            <v>185.92339700749039</v>
          </cell>
          <cell r="AU291">
            <v>196.62459596118438</v>
          </cell>
          <cell r="AV291">
            <v>591.32178222518701</v>
          </cell>
          <cell r="AW291">
            <v>974.25866045587532</v>
          </cell>
          <cell r="AX291">
            <v>1537.1519846093893</v>
          </cell>
          <cell r="AY291">
            <v>2178.8747974938415</v>
          </cell>
          <cell r="AZ291">
            <v>2690.9362735935561</v>
          </cell>
          <cell r="BA291">
            <v>2787.7684200612503</v>
          </cell>
          <cell r="BK291">
            <v>509.64522229542894</v>
          </cell>
          <cell r="BL291">
            <v>81.676559929758071</v>
          </cell>
        </row>
        <row r="292">
          <cell r="BL292">
            <v>0</v>
          </cell>
        </row>
        <row r="293">
          <cell r="A293" t="str">
            <v>Key Revenue Component Growth</v>
          </cell>
          <cell r="BL293">
            <v>0</v>
          </cell>
        </row>
        <row r="294">
          <cell r="A294" t="str">
            <v>Total Table Revenue</v>
          </cell>
          <cell r="D294">
            <v>0.13097790589271807</v>
          </cell>
          <cell r="E294">
            <v>-5.8778762450580002E-2</v>
          </cell>
          <cell r="F294">
            <v>8.7261396571014282E-2</v>
          </cell>
          <cell r="G294">
            <v>-0.1851292389474728</v>
          </cell>
          <cell r="H294">
            <v>-0.10505714994112469</v>
          </cell>
          <cell r="I294" t="str">
            <v>N.M.</v>
          </cell>
          <cell r="J294" t="str">
            <v>N.M.</v>
          </cell>
          <cell r="K294" t="str">
            <v>N.M.</v>
          </cell>
          <cell r="L294" t="str">
            <v>N.M.</v>
          </cell>
          <cell r="M294">
            <v>0.22431413042362935</v>
          </cell>
          <cell r="N294">
            <v>4.6499589713216549E-2</v>
          </cell>
          <cell r="O294">
            <v>0.18160305467473514</v>
          </cell>
          <cell r="P294">
            <v>0.10720299019118906</v>
          </cell>
          <cell r="Q294">
            <v>0.22666971668112912</v>
          </cell>
          <cell r="R294">
            <v>0.13749818068121322</v>
          </cell>
          <cell r="S294">
            <v>0.11325935481522742</v>
          </cell>
          <cell r="T294">
            <v>0.19528047136176108</v>
          </cell>
          <cell r="U294">
            <v>0.18192693227476386</v>
          </cell>
          <cell r="V294">
            <v>0.28988787805048166</v>
          </cell>
          <cell r="W294">
            <v>0.19635618058449666</v>
          </cell>
          <cell r="X294">
            <v>0.3738372696836314</v>
          </cell>
          <cell r="Y294">
            <v>-2.9303117896069097E-2</v>
          </cell>
          <cell r="Z294">
            <v>0.42576356409538829</v>
          </cell>
          <cell r="AA294">
            <v>0.39842549868740718</v>
          </cell>
          <cell r="AB294">
            <v>0.29339226643129535</v>
          </cell>
          <cell r="AC294">
            <v>0.3532015132725137</v>
          </cell>
          <cell r="AD294">
            <v>0.78182655798406286</v>
          </cell>
          <cell r="AE294">
            <v>0.41695732981302625</v>
          </cell>
          <cell r="AF294">
            <v>0.28906345022387647</v>
          </cell>
          <cell r="AG294">
            <v>0.43125725368662526</v>
          </cell>
          <cell r="AH294">
            <v>0.14994566875059334</v>
          </cell>
          <cell r="AI294">
            <v>0.201960121192442</v>
          </cell>
          <cell r="AJ294">
            <v>3.6724690749234012E-2</v>
          </cell>
          <cell r="AK294">
            <v>3.5608950062400391E-2</v>
          </cell>
          <cell r="AL294">
            <v>0.1004941051648045</v>
          </cell>
          <cell r="AM294">
            <v>0.15749546479215737</v>
          </cell>
          <cell r="AN294">
            <v>0.11041034912957226</v>
          </cell>
          <cell r="AO294">
            <v>0.17600046725123275</v>
          </cell>
          <cell r="AP294">
            <v>0.4290753093643207</v>
          </cell>
          <cell r="AQ294">
            <v>0.21937729914907211</v>
          </cell>
          <cell r="AR294">
            <v>0.42093637818738605</v>
          </cell>
          <cell r="AS294">
            <v>0.22863306802992978</v>
          </cell>
          <cell r="AT294">
            <v>0.17604279664409805</v>
          </cell>
          <cell r="AU294">
            <v>0.11787847264780393</v>
          </cell>
          <cell r="AV294">
            <v>0.2260263552794699</v>
          </cell>
          <cell r="AW294">
            <v>0.10852851458153001</v>
          </cell>
          <cell r="AX294">
            <v>0.10630725720221457</v>
          </cell>
          <cell r="AY294">
            <v>8.0393152358114062E-2</v>
          </cell>
          <cell r="AZ294">
            <v>5.5416420931246435E-2</v>
          </cell>
          <cell r="BA294">
            <v>9.0305440196962516E-2</v>
          </cell>
          <cell r="BK294">
            <v>0.17742275055351331</v>
          </cell>
          <cell r="BL294">
            <v>4.8603604725956595E-2</v>
          </cell>
        </row>
        <row r="295">
          <cell r="A295" t="str">
            <v>VIP Table Revenue</v>
          </cell>
          <cell r="D295">
            <v>0.18539911279643562</v>
          </cell>
          <cell r="E295">
            <v>-4.4825780687432371E-2</v>
          </cell>
          <cell r="F295">
            <v>0.17711706635990065</v>
          </cell>
          <cell r="G295">
            <v>-0.2537507627950838</v>
          </cell>
          <cell r="H295">
            <v>-7.114149546048254E-2</v>
          </cell>
          <cell r="I295" t="str">
            <v>N.M.</v>
          </cell>
          <cell r="J295" t="str">
            <v>N.M.</v>
          </cell>
          <cell r="K295" t="str">
            <v>N.M.</v>
          </cell>
          <cell r="L295" t="str">
            <v>N.M.</v>
          </cell>
          <cell r="M295">
            <v>0.26153790134879418</v>
          </cell>
          <cell r="N295">
            <v>8.2823864006928094E-2</v>
          </cell>
          <cell r="O295">
            <v>0.22261680555069607</v>
          </cell>
          <cell r="P295">
            <v>0.14563429538218697</v>
          </cell>
          <cell r="Q295">
            <v>0.26924774317488609</v>
          </cell>
          <cell r="R295">
            <v>0.17698103985269698</v>
          </cell>
          <cell r="S295">
            <v>0.16170935966983913</v>
          </cell>
          <cell r="T295">
            <v>0.24730010577095163</v>
          </cell>
          <cell r="U295">
            <v>0.23336540917488624</v>
          </cell>
          <cell r="V295">
            <v>0.34602490818918041</v>
          </cell>
          <cell r="W295">
            <v>0.24842263078448967</v>
          </cell>
          <cell r="X295">
            <v>0.43969993246779859</v>
          </cell>
          <cell r="Y295">
            <v>1.723272941456333E-2</v>
          </cell>
          <cell r="Z295">
            <v>0.49411560760458162</v>
          </cell>
          <cell r="AA295">
            <v>0.46546693735069167</v>
          </cell>
          <cell r="AB295">
            <v>0.35539834282142757</v>
          </cell>
          <cell r="AC295">
            <v>0.31822186062360713</v>
          </cell>
          <cell r="AD295">
            <v>0.65138968326619362</v>
          </cell>
          <cell r="AE295">
            <v>0.29976490958524837</v>
          </cell>
          <cell r="AF295">
            <v>0.20556281508449858</v>
          </cell>
          <cell r="AG295">
            <v>0.34146712387319189</v>
          </cell>
          <cell r="AH295">
            <v>2.3026795277865775E-2</v>
          </cell>
          <cell r="AI295">
            <v>0.11931747704831985</v>
          </cell>
          <cell r="AJ295">
            <v>-8.4491033980188424E-2</v>
          </cell>
          <cell r="AK295">
            <v>-0.15096406469900991</v>
          </cell>
          <cell r="AL295">
            <v>-3.0265576652145021E-2</v>
          </cell>
          <cell r="AM295">
            <v>0.11693036673460355</v>
          </cell>
          <cell r="AN295">
            <v>9.3658785252695331E-2</v>
          </cell>
          <cell r="AO295">
            <v>0.2644323230401906</v>
          </cell>
          <cell r="AP295">
            <v>0.65930104126189804</v>
          </cell>
          <cell r="AQ295">
            <v>0.27572944402545185</v>
          </cell>
          <cell r="AR295">
            <v>0.48884450499984688</v>
          </cell>
          <cell r="AS295">
            <v>0.30000000000000004</v>
          </cell>
          <cell r="AT295">
            <v>0.14999999999999991</v>
          </cell>
          <cell r="AU295">
            <v>0.10000000000000009</v>
          </cell>
          <cell r="AV295">
            <v>0.24260469341596069</v>
          </cell>
          <cell r="AW295">
            <v>8.0000000000000071E-2</v>
          </cell>
          <cell r="AX295">
            <v>6.0000000000000053E-2</v>
          </cell>
          <cell r="AY295">
            <v>4.0000000000000036E-2</v>
          </cell>
          <cell r="AZ295">
            <v>3.0000000000000027E-2</v>
          </cell>
          <cell r="BA295">
            <v>3.0000000000000027E-2</v>
          </cell>
          <cell r="BK295">
            <v>0.1</v>
          </cell>
          <cell r="BL295">
            <v>0.14260469341596069</v>
          </cell>
        </row>
        <row r="296">
          <cell r="A296" t="str">
            <v>Mass Market Table Revenue</v>
          </cell>
          <cell r="D296">
            <v>4.5492365044596417E-2</v>
          </cell>
          <cell r="E296">
            <v>-8.3629269449604027E-2</v>
          </cell>
          <cell r="F296">
            <v>-7.9549760876242881E-2</v>
          </cell>
          <cell r="G296">
            <v>-2.2214900396512083E-2</v>
          </cell>
          <cell r="H296">
            <v>-0.1665096617704741</v>
          </cell>
          <cell r="I296" t="str">
            <v>N.M.</v>
          </cell>
          <cell r="J296" t="str">
            <v>N.M.</v>
          </cell>
          <cell r="K296" t="str">
            <v>N.M.</v>
          </cell>
          <cell r="L296" t="str">
            <v>N.M.</v>
          </cell>
          <cell r="M296">
            <v>0.14915031875556339</v>
          </cell>
          <cell r="N296">
            <v>-3.4021350311809639E-2</v>
          </cell>
          <cell r="O296">
            <v>9.06868329828312E-2</v>
          </cell>
          <cell r="P296">
            <v>2.2011341341000135E-2</v>
          </cell>
          <cell r="Q296">
            <v>0.13228592555659979</v>
          </cell>
          <cell r="R296">
            <v>4.9975525454650338E-2</v>
          </cell>
          <cell r="S296">
            <v>-7.1321951051037669E-3</v>
          </cell>
          <cell r="T296">
            <v>6.6018886525917919E-2</v>
          </cell>
          <cell r="U296">
            <v>5.4109443336835872E-2</v>
          </cell>
          <cell r="V296">
            <v>0.15039513524059234</v>
          </cell>
          <cell r="W296">
            <v>6.6978264994252301E-2</v>
          </cell>
          <cell r="X296">
            <v>0.18234664066968631</v>
          </cell>
          <cell r="Y296">
            <v>-0.16460251662235492</v>
          </cell>
          <cell r="Z296">
            <v>0.22703525198848085</v>
          </cell>
          <cell r="AA296">
            <v>0.20350766942043919</v>
          </cell>
          <cell r="AB296">
            <v>0.11311436589236501</v>
          </cell>
          <cell r="AC296">
            <v>0.47703864824321229</v>
          </cell>
          <cell r="AD296">
            <v>1.2436072686652393</v>
          </cell>
          <cell r="AE296">
            <v>0.83184920158076214</v>
          </cell>
          <cell r="AF296">
            <v>0.58467757560363109</v>
          </cell>
          <cell r="AG296">
            <v>0.74913783804657963</v>
          </cell>
          <cell r="AH296">
            <v>0.5509584936767189</v>
          </cell>
          <cell r="AI296">
            <v>0.41730886165035352</v>
          </cell>
          <cell r="AJ296">
            <v>0.34121218067731962</v>
          </cell>
          <cell r="AK296">
            <v>0.53810559224308974</v>
          </cell>
          <cell r="AL296">
            <v>0.45552427263148454</v>
          </cell>
          <cell r="AM296">
            <v>0.24203725054978631</v>
          </cell>
          <cell r="AN296">
            <v>0.14488360256171773</v>
          </cell>
          <cell r="AO296">
            <v>2.437074355067903E-2</v>
          </cell>
          <cell r="AP296">
            <v>8.6797993159907882E-2</v>
          </cell>
          <cell r="AQ296">
            <v>0.11743950933167424</v>
          </cell>
          <cell r="AR296">
            <v>0.29366459900216046</v>
          </cell>
          <cell r="AS296">
            <v>8.8337338374430807E-2</v>
          </cell>
          <cell r="AT296">
            <v>0.23116183694632819</v>
          </cell>
          <cell r="AU296">
            <v>0.15846024665960545</v>
          </cell>
          <cell r="AV296">
            <v>0.19178899190057064</v>
          </cell>
          <cell r="AW296">
            <v>0.16995732402177399</v>
          </cell>
          <cell r="AX296">
            <v>0.19835130984591731</v>
          </cell>
          <cell r="AY296">
            <v>0.15141241056946941</v>
          </cell>
          <cell r="AZ296">
            <v>9.5779585781527121E-2</v>
          </cell>
          <cell r="BA296">
            <v>0.18032592107543333</v>
          </cell>
          <cell r="BK296">
            <v>0.28316675864369611</v>
          </cell>
          <cell r="BL296">
            <v>-9.1377766743125477E-2</v>
          </cell>
        </row>
        <row r="297">
          <cell r="A297" t="str">
            <v>Total Slot Revenue</v>
          </cell>
          <cell r="D297">
            <v>0.13330161115279782</v>
          </cell>
          <cell r="E297">
            <v>-0.11160769722160047</v>
          </cell>
          <cell r="F297">
            <v>-0.17837128658167156</v>
          </cell>
          <cell r="G297">
            <v>-0.11320525564796635</v>
          </cell>
          <cell r="H297">
            <v>-0.20013085389113872</v>
          </cell>
          <cell r="I297" t="str">
            <v>N.M.</v>
          </cell>
          <cell r="J297" t="str">
            <v>N.M.</v>
          </cell>
          <cell r="K297" t="str">
            <v>N.M.</v>
          </cell>
          <cell r="L297" t="str">
            <v>N.M.</v>
          </cell>
          <cell r="M297">
            <v>0.26007955308780395</v>
          </cell>
          <cell r="N297">
            <v>-8.6247724865533115E-2</v>
          </cell>
          <cell r="O297">
            <v>3.171801511241501E-2</v>
          </cell>
          <cell r="P297">
            <v>-3.3244483545249226E-2</v>
          </cell>
          <cell r="Q297">
            <v>7.1068020927838482E-2</v>
          </cell>
          <cell r="R297">
            <v>9.6511889861197186E-3</v>
          </cell>
          <cell r="S297">
            <v>-3.7483592711107128E-2</v>
          </cell>
          <cell r="T297">
            <v>3.3431302437733068E-2</v>
          </cell>
          <cell r="U297">
            <v>2.1885924075531138E-2</v>
          </cell>
          <cell r="V297">
            <v>0.11522821777024705</v>
          </cell>
          <cell r="W297">
            <v>2.6488721767632617E-2</v>
          </cell>
          <cell r="X297">
            <v>0.11380779240743522</v>
          </cell>
          <cell r="Y297">
            <v>-0.21302924646822363</v>
          </cell>
          <cell r="Z297">
            <v>0.15590587245149967</v>
          </cell>
          <cell r="AA297">
            <v>0.13374214829531494</v>
          </cell>
          <cell r="AB297">
            <v>2.0583154830699835E-2</v>
          </cell>
          <cell r="AC297">
            <v>0.59244952336085976</v>
          </cell>
          <cell r="AD297">
            <v>2.5581634036291305</v>
          </cell>
          <cell r="AE297">
            <v>1.9051513966210267</v>
          </cell>
          <cell r="AF297">
            <v>1.5131589805461156</v>
          </cell>
          <cell r="AG297">
            <v>1.7023100545674463</v>
          </cell>
          <cell r="AH297">
            <v>1.67</v>
          </cell>
          <cell r="AI297">
            <v>0.86655741803356734</v>
          </cell>
          <cell r="AJ297">
            <v>0.72801479581110606</v>
          </cell>
          <cell r="AK297">
            <v>0.94872286566762098</v>
          </cell>
          <cell r="AL297">
            <v>0.95354444970758223</v>
          </cell>
          <cell r="AM297">
            <v>0.75175815417087222</v>
          </cell>
          <cell r="AN297">
            <v>0.51025027138291246</v>
          </cell>
          <cell r="AO297">
            <v>0.59056921152220254</v>
          </cell>
          <cell r="AP297">
            <v>0.73631542260109328</v>
          </cell>
          <cell r="AQ297">
            <v>0.6453721668450263</v>
          </cell>
          <cell r="AR297">
            <v>0.92281766600716142</v>
          </cell>
          <cell r="AS297">
            <v>0.91677895405883225</v>
          </cell>
          <cell r="AT297">
            <v>1.869585122885042</v>
          </cell>
          <cell r="AU297">
            <v>1.5918125285406131</v>
          </cell>
          <cell r="AV297">
            <v>1.3709176940991119</v>
          </cell>
          <cell r="AW297">
            <v>0.6475947440827714</v>
          </cell>
          <cell r="AX297">
            <v>0.57776578951848867</v>
          </cell>
          <cell r="AY297">
            <v>0.4174751874308138</v>
          </cell>
          <cell r="AZ297">
            <v>0.23501188626748615</v>
          </cell>
          <cell r="BA297">
            <v>3.5984555791201078E-2</v>
          </cell>
          <cell r="BK297">
            <v>1.0289325626855028</v>
          </cell>
          <cell r="BL297">
            <v>0.34198513141360909</v>
          </cell>
        </row>
        <row r="298">
          <cell r="BL298">
            <v>0</v>
          </cell>
        </row>
        <row r="299">
          <cell r="A299" t="str">
            <v>Key Revenue Component Market Share</v>
          </cell>
          <cell r="BL299">
            <v>0</v>
          </cell>
        </row>
        <row r="300">
          <cell r="A300" t="str">
            <v>Total Table Revenue</v>
          </cell>
          <cell r="D300">
            <v>0.98096400907838965</v>
          </cell>
          <cell r="E300">
            <v>0.9820132445636327</v>
          </cell>
          <cell r="F300">
            <v>0.98634765854032214</v>
          </cell>
          <cell r="G300">
            <v>0.98516052618842176</v>
          </cell>
          <cell r="H300">
            <v>0.98671604692117187</v>
          </cell>
          <cell r="I300">
            <v>0.98611539793228609</v>
          </cell>
          <cell r="J300">
            <v>0.98611539793228598</v>
          </cell>
          <cell r="K300">
            <v>0.98611539793228598</v>
          </cell>
          <cell r="L300">
            <v>0.98611539793228609</v>
          </cell>
          <cell r="M300">
            <v>0.98611539793228586</v>
          </cell>
          <cell r="N300">
            <v>0.98785525444620392</v>
          </cell>
          <cell r="O300">
            <v>0.98785525444620403</v>
          </cell>
          <cell r="P300">
            <v>0.98785525444620392</v>
          </cell>
          <cell r="Q300">
            <v>0.98785525444620392</v>
          </cell>
          <cell r="R300">
            <v>0.98785525444620392</v>
          </cell>
          <cell r="S300">
            <v>0.9894824403054292</v>
          </cell>
          <cell r="T300">
            <v>0.98948244030542909</v>
          </cell>
          <cell r="U300">
            <v>0.98948244030542931</v>
          </cell>
          <cell r="V300">
            <v>0.98948244030542909</v>
          </cell>
          <cell r="W300">
            <v>0.9894824403054292</v>
          </cell>
          <cell r="X300">
            <v>0.99145611589984706</v>
          </cell>
          <cell r="Y300">
            <v>0.99145611589984706</v>
          </cell>
          <cell r="Z300">
            <v>0.99145611589984695</v>
          </cell>
          <cell r="AA300">
            <v>0.99145611589984695</v>
          </cell>
          <cell r="AB300">
            <v>0.99145611589984706</v>
          </cell>
          <cell r="AC300">
            <v>0.98996070973651351</v>
          </cell>
          <cell r="AD300">
            <v>0.98308264961106917</v>
          </cell>
          <cell r="AE300">
            <v>0.9826384850261024</v>
          </cell>
          <cell r="AF300">
            <v>0.98347689429173735</v>
          </cell>
          <cell r="AG300">
            <v>0.98462334038273591</v>
          </cell>
          <cell r="AH300">
            <v>0.97699556431254631</v>
          </cell>
          <cell r="AI300">
            <v>0.97397204190688025</v>
          </cell>
          <cell r="AJ300">
            <v>0.97139296682926757</v>
          </cell>
          <cell r="AK300">
            <v>0.96935465558540379</v>
          </cell>
          <cell r="AL300">
            <v>0.97284988945954287</v>
          </cell>
          <cell r="AM300">
            <v>0.96559138252772514</v>
          </cell>
          <cell r="AN300">
            <v>0.96492851380548772</v>
          </cell>
          <cell r="AO300">
            <v>0.96169459000664259</v>
          </cell>
          <cell r="AP300">
            <v>0.96300985410186035</v>
          </cell>
          <cell r="AQ300">
            <v>0.96370909755313061</v>
          </cell>
          <cell r="AR300">
            <v>0.95399718521120791</v>
          </cell>
          <cell r="AS300">
            <v>0.94633936962477583</v>
          </cell>
          <cell r="AT300">
            <v>0.9114196641703004</v>
          </cell>
          <cell r="AU300">
            <v>0.91822623356385957</v>
          </cell>
          <cell r="AV300">
            <v>0.93212022236620551</v>
          </cell>
          <cell r="AW300">
            <v>0.90233482577098645</v>
          </cell>
          <cell r="AX300">
            <v>0.86627981235315565</v>
          </cell>
          <cell r="AY300">
            <v>0.83158554711178578</v>
          </cell>
          <cell r="AZ300">
            <v>0.8084176474266842</v>
          </cell>
          <cell r="BA300">
            <v>0.81620832398981225</v>
          </cell>
          <cell r="BK300">
            <v>0.93583581439435148</v>
          </cell>
          <cell r="BL300">
            <v>-3.7155920281459753E-3</v>
          </cell>
        </row>
        <row r="301">
          <cell r="A301" t="str">
            <v>VIP Table Revenue</v>
          </cell>
          <cell r="D301">
            <v>0.62822838231901657</v>
          </cell>
          <cell r="E301">
            <v>0.6382233641883287</v>
          </cell>
          <cell r="F301">
            <v>0.69401851923815261</v>
          </cell>
          <cell r="G301">
            <v>0.63480919505798827</v>
          </cell>
          <cell r="H301">
            <v>0.6599068812528105</v>
          </cell>
          <cell r="I301">
            <v>0.67955661922156452</v>
          </cell>
          <cell r="J301">
            <v>0.6795566192215643</v>
          </cell>
          <cell r="K301">
            <v>0.67955661922156441</v>
          </cell>
          <cell r="L301">
            <v>0.6795566192215643</v>
          </cell>
          <cell r="M301">
            <v>0.6795566192215643</v>
          </cell>
          <cell r="N301">
            <v>0.70438480229732703</v>
          </cell>
          <cell r="O301">
            <v>0.70438480229732725</v>
          </cell>
          <cell r="P301">
            <v>0.70438480229732714</v>
          </cell>
          <cell r="Q301">
            <v>0.70438480229732703</v>
          </cell>
          <cell r="R301">
            <v>0.70438480229732703</v>
          </cell>
          <cell r="S301">
            <v>0.73625098621617868</v>
          </cell>
          <cell r="T301">
            <v>0.73625098621617846</v>
          </cell>
          <cell r="U301">
            <v>0.73625098621617857</v>
          </cell>
          <cell r="V301">
            <v>0.73625098621617857</v>
          </cell>
          <cell r="W301">
            <v>0.73625098621617857</v>
          </cell>
          <cell r="X301">
            <v>0.77308631337067368</v>
          </cell>
          <cell r="Y301">
            <v>0.77308631337067357</v>
          </cell>
          <cell r="Z301">
            <v>0.77308631337067346</v>
          </cell>
          <cell r="AA301">
            <v>0.77308631337067357</v>
          </cell>
          <cell r="AB301">
            <v>0.77308631337067357</v>
          </cell>
          <cell r="AC301">
            <v>0.75196647971947927</v>
          </cell>
          <cell r="AD301">
            <v>0.71044205067372013</v>
          </cell>
          <cell r="AE301">
            <v>0.70283971440772786</v>
          </cell>
          <cell r="AF301">
            <v>0.7171899561460684</v>
          </cell>
          <cell r="AG301">
            <v>0.71959302966741678</v>
          </cell>
          <cell r="AH301">
            <v>0.66021107044983496</v>
          </cell>
          <cell r="AI301">
            <v>0.65546324614351004</v>
          </cell>
          <cell r="AJ301">
            <v>0.61355943536736657</v>
          </cell>
          <cell r="AK301">
            <v>0.57953946457402572</v>
          </cell>
          <cell r="AL301">
            <v>0.6265096245535553</v>
          </cell>
          <cell r="AM301">
            <v>0.62963721901619363</v>
          </cell>
          <cell r="AN301">
            <v>0.63958068404722113</v>
          </cell>
          <cell r="AO301">
            <v>0.65311093069599224</v>
          </cell>
          <cell r="AP301">
            <v>0.66849954461966765</v>
          </cell>
          <cell r="AQ301">
            <v>0.64930439963492537</v>
          </cell>
          <cell r="AR301">
            <v>0.65180668978632961</v>
          </cell>
          <cell r="AS301">
            <v>0.66369456228040025</v>
          </cell>
          <cell r="AT301">
            <v>0.60526127444107014</v>
          </cell>
          <cell r="AU301">
            <v>0.62721750887881389</v>
          </cell>
          <cell r="AV301">
            <v>0.63651332604415989</v>
          </cell>
          <cell r="AW301">
            <v>0.60031635622394453</v>
          </cell>
          <cell r="AX301">
            <v>0.55220553403637074</v>
          </cell>
          <cell r="AY301">
            <v>0.51027114455637257</v>
          </cell>
          <cell r="AZ301">
            <v>0.48410909343754599</v>
          </cell>
          <cell r="BA301">
            <v>0.46174002299371142</v>
          </cell>
          <cell r="BK301">
            <v>0.50474152002404316</v>
          </cell>
          <cell r="BL301">
            <v>0.13177180602011673</v>
          </cell>
        </row>
        <row r="302">
          <cell r="A302" t="str">
            <v>Mass Market Table Revenue</v>
          </cell>
          <cell r="D302">
            <v>0.35273562675937314</v>
          </cell>
          <cell r="E302">
            <v>0.343789880375304</v>
          </cell>
          <cell r="F302">
            <v>0.29232913930216953</v>
          </cell>
          <cell r="G302">
            <v>0.35035133113043349</v>
          </cell>
          <cell r="H302">
            <v>0.32680916566836138</v>
          </cell>
          <cell r="I302">
            <v>0.30655877871072151</v>
          </cell>
          <cell r="J302">
            <v>0.30655877871072162</v>
          </cell>
          <cell r="K302">
            <v>0.30655877871072168</v>
          </cell>
          <cell r="L302">
            <v>0.30655877871072168</v>
          </cell>
          <cell r="M302">
            <v>0.30655877871072157</v>
          </cell>
          <cell r="N302">
            <v>0.28347045214887701</v>
          </cell>
          <cell r="O302">
            <v>0.28347045214887678</v>
          </cell>
          <cell r="P302">
            <v>0.28347045214887689</v>
          </cell>
          <cell r="Q302">
            <v>0.28347045214887695</v>
          </cell>
          <cell r="R302">
            <v>0.28347045214887684</v>
          </cell>
          <cell r="S302">
            <v>0.25323145408925052</v>
          </cell>
          <cell r="T302">
            <v>0.25323145408925068</v>
          </cell>
          <cell r="U302">
            <v>0.25323145408925063</v>
          </cell>
          <cell r="V302">
            <v>0.25323145408925057</v>
          </cell>
          <cell r="W302">
            <v>0.25323145408925063</v>
          </cell>
          <cell r="X302">
            <v>0.2183698025291734</v>
          </cell>
          <cell r="Y302">
            <v>0.21836980252917348</v>
          </cell>
          <cell r="Z302">
            <v>0.21836980252917348</v>
          </cell>
          <cell r="AA302">
            <v>0.21836980252917348</v>
          </cell>
          <cell r="AB302">
            <v>0.2183698025291734</v>
          </cell>
          <cell r="AC302">
            <v>0.23799423001703426</v>
          </cell>
          <cell r="AD302">
            <v>0.27264059893734899</v>
          </cell>
          <cell r="AE302">
            <v>0.2797987706183746</v>
          </cell>
          <cell r="AF302">
            <v>0.26628693814566895</v>
          </cell>
          <cell r="AG302">
            <v>0.26503031071531913</v>
          </cell>
          <cell r="AH302">
            <v>0.31678449386271129</v>
          </cell>
          <cell r="AI302">
            <v>0.3185087957633701</v>
          </cell>
          <cell r="AJ302">
            <v>0.35783353146190106</v>
          </cell>
          <cell r="AK302">
            <v>0.38981519101137807</v>
          </cell>
          <cell r="AL302">
            <v>0.34634026490598763</v>
          </cell>
          <cell r="AM302">
            <v>0.33595416351153146</v>
          </cell>
          <cell r="AN302">
            <v>0.32534782975826659</v>
          </cell>
          <cell r="AO302">
            <v>0.30858365931065035</v>
          </cell>
          <cell r="AP302">
            <v>0.2945103094821927</v>
          </cell>
          <cell r="AQ302">
            <v>0.31440469791820502</v>
          </cell>
          <cell r="AR302">
            <v>0.30219049542487825</v>
          </cell>
          <cell r="AS302">
            <v>0.28264480734437553</v>
          </cell>
          <cell r="AT302">
            <v>0.30615838972923015</v>
          </cell>
          <cell r="AU302">
            <v>0.29100872468504568</v>
          </cell>
          <cell r="AV302">
            <v>0.29560689632204579</v>
          </cell>
          <cell r="AW302">
            <v>0.30201846954704187</v>
          </cell>
          <cell r="AX302">
            <v>0.31407427831678497</v>
          </cell>
          <cell r="AY302">
            <v>0.32131440255541321</v>
          </cell>
          <cell r="AZ302">
            <v>0.32430855398913816</v>
          </cell>
          <cell r="BA302">
            <v>0.35446830099610083</v>
          </cell>
          <cell r="BK302">
            <v>0.43109429437030827</v>
          </cell>
          <cell r="BL302">
            <v>-0.13548739804826249</v>
          </cell>
        </row>
        <row r="303">
          <cell r="A303" t="str">
            <v>Total Slot Revenue</v>
          </cell>
          <cell r="D303">
            <v>1.9035990921610197E-2</v>
          </cell>
          <cell r="E303">
            <v>1.7986755436367203E-2</v>
          </cell>
          <cell r="F303">
            <v>1.3652341459677962E-2</v>
          </cell>
          <cell r="G303">
            <v>1.4839473811578331E-2</v>
          </cell>
          <cell r="H303">
            <v>1.328395307882815E-2</v>
          </cell>
          <cell r="I303">
            <v>1.3884602067714016E-2</v>
          </cell>
          <cell r="J303">
            <v>1.3884602067714E-2</v>
          </cell>
          <cell r="K303">
            <v>1.3884602067713971E-2</v>
          </cell>
          <cell r="L303">
            <v>1.3884602067714021E-2</v>
          </cell>
          <cell r="M303">
            <v>1.3663689505862079E-2</v>
          </cell>
          <cell r="N303">
            <v>1.2144745553795961E-2</v>
          </cell>
          <cell r="O303">
            <v>1.2144745553795962E-2</v>
          </cell>
          <cell r="P303">
            <v>1.2144745553795943E-2</v>
          </cell>
          <cell r="Q303">
            <v>1.2144745553795924E-2</v>
          </cell>
          <cell r="R303">
            <v>1.2149382601641594E-2</v>
          </cell>
          <cell r="S303">
            <v>1.0517559694570851E-2</v>
          </cell>
          <cell r="T303">
            <v>1.0517559694570796E-2</v>
          </cell>
          <cell r="U303">
            <v>1.0517559694570834E-2</v>
          </cell>
          <cell r="V303">
            <v>1.0517559694570799E-2</v>
          </cell>
          <cell r="W303">
            <v>1.0441494656632659E-2</v>
          </cell>
          <cell r="X303">
            <v>8.5438841001529396E-3</v>
          </cell>
          <cell r="Y303">
            <v>8.5438841001529448E-3</v>
          </cell>
          <cell r="Z303">
            <v>8.5438841001529431E-3</v>
          </cell>
          <cell r="AA303">
            <v>8.5438841001529136E-3</v>
          </cell>
          <cell r="AB303">
            <v>8.2555537852785753E-3</v>
          </cell>
          <cell r="AC303">
            <v>1.0039290263486465E-2</v>
          </cell>
          <cell r="AD303">
            <v>1.6917350388930965E-2</v>
          </cell>
          <cell r="AE303">
            <v>1.7361514973897478E-2</v>
          </cell>
          <cell r="AF303">
            <v>1.6523105708262664E-2</v>
          </cell>
          <cell r="AG303">
            <v>1.5479620809778124E-2</v>
          </cell>
          <cell r="AH303">
            <v>2.3004435687453605E-2</v>
          </cell>
          <cell r="AI303">
            <v>2.6027958093119762E-2</v>
          </cell>
          <cell r="AJ303">
            <v>2.8607033170732481E-2</v>
          </cell>
          <cell r="AK303">
            <v>3.0645344414596206E-2</v>
          </cell>
          <cell r="AL303">
            <v>2.7150110540457247E-2</v>
          </cell>
          <cell r="AM303">
            <v>3.4408617472274951E-2</v>
          </cell>
          <cell r="AN303">
            <v>3.5071486194512308E-2</v>
          </cell>
          <cell r="AO303">
            <v>3.8305409993357444E-2</v>
          </cell>
          <cell r="AP303">
            <v>3.6990145898139599E-2</v>
          </cell>
          <cell r="AQ303">
            <v>3.6290902446869569E-2</v>
          </cell>
          <cell r="AR303">
            <v>4.600281478879209E-2</v>
          </cell>
          <cell r="AS303">
            <v>5.3660630375224241E-2</v>
          </cell>
          <cell r="AT303">
            <v>8.8580335829699652E-2</v>
          </cell>
          <cell r="AU303">
            <v>8.1773766436140483E-2</v>
          </cell>
          <cell r="AV303">
            <v>6.7879777633794533E-2</v>
          </cell>
          <cell r="AW303">
            <v>9.7665174229013649E-2</v>
          </cell>
          <cell r="AX303">
            <v>0.13372018764684437</v>
          </cell>
          <cell r="AY303">
            <v>0.16841445288821419</v>
          </cell>
          <cell r="AZ303">
            <v>0.19158235257331585</v>
          </cell>
          <cell r="BA303">
            <v>0.18379167601018778</v>
          </cell>
          <cell r="BK303">
            <v>6.4164185605648572E-2</v>
          </cell>
          <cell r="BL303">
            <v>3.7155920281459615E-3</v>
          </cell>
        </row>
        <row r="304">
          <cell r="BL304">
            <v>0</v>
          </cell>
        </row>
        <row r="305">
          <cell r="A305" t="str">
            <v>Daily Win per Position Summary</v>
          </cell>
          <cell r="BL305">
            <v>0</v>
          </cell>
        </row>
        <row r="306">
          <cell r="A306" t="str">
            <v>Average Positions</v>
          </cell>
          <cell r="X306">
            <v>4679.333333333333</v>
          </cell>
          <cell r="Y306">
            <v>4679.333333333333</v>
          </cell>
          <cell r="Z306">
            <v>4679.333333333333</v>
          </cell>
          <cell r="AA306">
            <v>4701</v>
          </cell>
          <cell r="AB306">
            <v>4684.75</v>
          </cell>
          <cell r="AC306">
            <v>4701</v>
          </cell>
          <cell r="AD306">
            <v>6225.7509157509157</v>
          </cell>
          <cell r="AE306">
            <v>7475.6666666666661</v>
          </cell>
          <cell r="AF306">
            <v>10084.304347826088</v>
          </cell>
          <cell r="AG306">
            <v>7121.6804825609161</v>
          </cell>
          <cell r="AH306">
            <v>12497</v>
          </cell>
          <cell r="AI306">
            <v>13279.833333333334</v>
          </cell>
          <cell r="AJ306">
            <v>13680.666666666668</v>
          </cell>
          <cell r="AK306">
            <v>14503.833333333334</v>
          </cell>
          <cell r="AL306">
            <v>13490.333333333334</v>
          </cell>
          <cell r="AM306">
            <v>16939.499999999996</v>
          </cell>
          <cell r="AN306">
            <v>20359.333333333328</v>
          </cell>
          <cell r="AO306">
            <v>23441.333333333328</v>
          </cell>
          <cell r="AP306">
            <v>28194.538647342993</v>
          </cell>
          <cell r="AQ306">
            <v>22233.676328502414</v>
          </cell>
          <cell r="AR306">
            <v>31805.313043478258</v>
          </cell>
          <cell r="AS306">
            <v>36425.313043478258</v>
          </cell>
          <cell r="AT306">
            <v>49924.513043478255</v>
          </cell>
          <cell r="AU306">
            <v>54109.313043478258</v>
          </cell>
          <cell r="AV306">
            <v>43066.113043478254</v>
          </cell>
          <cell r="AW306">
            <v>64954.391304347824</v>
          </cell>
          <cell r="AX306">
            <v>96016.891304347824</v>
          </cell>
          <cell r="AY306">
            <v>119079.39130434782</v>
          </cell>
          <cell r="AZ306">
            <v>139629.39130434784</v>
          </cell>
          <cell r="BA306">
            <v>139929.39130434784</v>
          </cell>
          <cell r="BK306">
            <v>44799.843478260867</v>
          </cell>
          <cell r="BL306">
            <v>-1733.7304347826139</v>
          </cell>
        </row>
        <row r="307">
          <cell r="A307" t="str">
            <v xml:space="preserve">  Year-over-Year growth</v>
          </cell>
          <cell r="AC307">
            <v>4.6302892149878705E-3</v>
          </cell>
          <cell r="AD307">
            <v>0.33047818401857443</v>
          </cell>
          <cell r="AE307">
            <v>0.59759224960820623</v>
          </cell>
          <cell r="AF307">
            <v>1.1451402569296083</v>
          </cell>
          <cell r="AG307">
            <v>0.52018367737038607</v>
          </cell>
          <cell r="AH307">
            <v>1.658370559455435</v>
          </cell>
          <cell r="AI307">
            <v>1.1330492518960011</v>
          </cell>
          <cell r="AJ307">
            <v>0.8300263075756904</v>
          </cell>
          <cell r="AK307">
            <v>0.43825819144976319</v>
          </cell>
          <cell r="AL307">
            <v>0.89426264859362048</v>
          </cell>
          <cell r="AM307">
            <v>0.35548531647595394</v>
          </cell>
          <cell r="AN307">
            <v>0.5331015700498245</v>
          </cell>
          <cell r="AO307">
            <v>0.71346425612786857</v>
          </cell>
          <cell r="AP307">
            <v>0.94393702680967051</v>
          </cell>
          <cell r="AQ307">
            <v>0.64811912197640864</v>
          </cell>
          <cell r="AR307">
            <v>0.87758275294301868</v>
          </cell>
          <cell r="AS307">
            <v>0.78912110957193748</v>
          </cell>
          <cell r="AT307">
            <v>1.1297642217512482</v>
          </cell>
          <cell r="AU307">
            <v>0.91914163662250337</v>
          </cell>
          <cell r="AV307">
            <v>0.93697670179131576</v>
          </cell>
          <cell r="AW307">
            <v>0.50824828882912709</v>
          </cell>
          <cell r="AX307">
            <v>0.47822016920233668</v>
          </cell>
          <cell r="AY307">
            <v>0.24019211293665044</v>
          </cell>
          <cell r="AZ307">
            <v>0.17257394226577394</v>
          </cell>
          <cell r="BA307">
            <v>2.1485447812781278E-3</v>
          </cell>
          <cell r="BK307">
            <v>0.94087187960905649</v>
          </cell>
          <cell r="BL307">
            <v>-3.8951778177407359E-3</v>
          </cell>
        </row>
        <row r="308">
          <cell r="A308" t="str">
            <v>Average VIP Positions</v>
          </cell>
          <cell r="X308">
            <v>1829.9999999999995</v>
          </cell>
          <cell r="Y308">
            <v>1829.9999999999995</v>
          </cell>
          <cell r="Z308">
            <v>1829.9999999999995</v>
          </cell>
          <cell r="AA308">
            <v>1830</v>
          </cell>
          <cell r="AB308">
            <v>1830</v>
          </cell>
          <cell r="AC308">
            <v>1830</v>
          </cell>
          <cell r="AD308">
            <v>1848.7912087912091</v>
          </cell>
          <cell r="AE308">
            <v>1840</v>
          </cell>
          <cell r="AF308">
            <v>2273.04347826087</v>
          </cell>
          <cell r="AG308">
            <v>1947.9586717630191</v>
          </cell>
          <cell r="AH308">
            <v>2760</v>
          </cell>
          <cell r="AI308">
            <v>2860</v>
          </cell>
          <cell r="AJ308">
            <v>2880</v>
          </cell>
          <cell r="AK308">
            <v>2945</v>
          </cell>
          <cell r="AL308">
            <v>2861.25</v>
          </cell>
          <cell r="AM308">
            <v>3739.9999999999964</v>
          </cell>
          <cell r="AN308">
            <v>4989.9999999999927</v>
          </cell>
          <cell r="AO308">
            <v>5599.7101449275324</v>
          </cell>
          <cell r="AP308">
            <v>5356.6666666666606</v>
          </cell>
          <cell r="AQ308">
            <v>4921.5942028985482</v>
          </cell>
          <cell r="AR308">
            <v>5334.4666666666635</v>
          </cell>
          <cell r="AS308">
            <v>6654.4666666666635</v>
          </cell>
          <cell r="AT308">
            <v>8594.4666666666672</v>
          </cell>
          <cell r="AU308">
            <v>9144.4666666666672</v>
          </cell>
          <cell r="AV308">
            <v>7431.9666666666599</v>
          </cell>
          <cell r="AW308">
            <v>9478.1666666666642</v>
          </cell>
          <cell r="AX308">
            <v>13228.166666666672</v>
          </cell>
          <cell r="AY308">
            <v>16453.166666666672</v>
          </cell>
          <cell r="AZ308">
            <v>19703.166666666686</v>
          </cell>
          <cell r="BA308">
            <v>19703.166666666686</v>
          </cell>
          <cell r="BK308">
            <v>10078.09782608696</v>
          </cell>
          <cell r="BL308">
            <v>-2646.1311594202998</v>
          </cell>
        </row>
        <row r="309">
          <cell r="A309" t="str">
            <v xml:space="preserve">  Year-over-Year growth</v>
          </cell>
          <cell r="AC309">
            <v>0</v>
          </cell>
          <cell r="AD309">
            <v>1.0268420104486031E-2</v>
          </cell>
          <cell r="AE309">
            <v>5.464480874317168E-3</v>
          </cell>
          <cell r="AF309">
            <v>0.24210026134473761</v>
          </cell>
          <cell r="AG309">
            <v>6.4458290580884814E-2</v>
          </cell>
          <cell r="AH309">
            <v>0.50819672131147531</v>
          </cell>
          <cell r="AI309">
            <v>0.54695672848311916</v>
          </cell>
          <cell r="AJ309">
            <v>0.56521739130434789</v>
          </cell>
          <cell r="AK309">
            <v>0.29561973986227974</v>
          </cell>
          <cell r="AL309">
            <v>0.46884533099996295</v>
          </cell>
          <cell r="AM309">
            <v>0.35507246376811463</v>
          </cell>
          <cell r="AN309">
            <v>0.74475524475524213</v>
          </cell>
          <cell r="AO309">
            <v>0.94434380032205989</v>
          </cell>
          <cell r="AP309">
            <v>0.81890209394453661</v>
          </cell>
          <cell r="AQ309">
            <v>0.7200853483262728</v>
          </cell>
          <cell r="AR309">
            <v>0.42632798573975106</v>
          </cell>
          <cell r="AS309">
            <v>0.33356045424181824</v>
          </cell>
          <cell r="AT309">
            <v>0.53480563176147955</v>
          </cell>
          <cell r="AU309">
            <v>0.70711885500933613</v>
          </cell>
          <cell r="AV309">
            <v>0.51007302924114306</v>
          </cell>
          <cell r="AW309">
            <v>0.27532416273844151</v>
          </cell>
          <cell r="AX309">
            <v>0.39564613409766403</v>
          </cell>
          <cell r="AY309">
            <v>0.24379795638095469</v>
          </cell>
          <cell r="AZ309">
            <v>0.19753036396235868</v>
          </cell>
          <cell r="BA309">
            <v>0</v>
          </cell>
          <cell r="BK309">
            <v>0.88193406087833237</v>
          </cell>
          <cell r="BL309">
            <v>-0.37186103163718931</v>
          </cell>
        </row>
        <row r="310">
          <cell r="A310" t="str">
            <v>Average Mass Market Positions</v>
          </cell>
          <cell r="X310">
            <v>2849.3333333333335</v>
          </cell>
          <cell r="Y310">
            <v>2849.3333333333335</v>
          </cell>
          <cell r="Z310">
            <v>2849.3333333333335</v>
          </cell>
          <cell r="AA310">
            <v>2871</v>
          </cell>
          <cell r="AB310">
            <v>2854.75</v>
          </cell>
          <cell r="AC310">
            <v>2871</v>
          </cell>
          <cell r="AD310">
            <v>4376.9597069597066</v>
          </cell>
          <cell r="AE310">
            <v>5635.6666666666661</v>
          </cell>
          <cell r="AF310">
            <v>7811.2608695652179</v>
          </cell>
          <cell r="AG310">
            <v>5173.721810797897</v>
          </cell>
          <cell r="AH310">
            <v>9737</v>
          </cell>
          <cell r="AI310">
            <v>10419.833333333334</v>
          </cell>
          <cell r="AJ310">
            <v>10800.666666666668</v>
          </cell>
          <cell r="AK310">
            <v>11558.833333333334</v>
          </cell>
          <cell r="AL310">
            <v>10629.083333333334</v>
          </cell>
          <cell r="AM310">
            <v>13199.5</v>
          </cell>
          <cell r="AN310">
            <v>15369.333333333336</v>
          </cell>
          <cell r="AO310">
            <v>17841.623188405796</v>
          </cell>
          <cell r="AP310">
            <v>22837.871980676333</v>
          </cell>
          <cell r="AQ310">
            <v>17312.082125603865</v>
          </cell>
          <cell r="AR310">
            <v>26470.846376811594</v>
          </cell>
          <cell r="AS310">
            <v>29770.846376811594</v>
          </cell>
          <cell r="AT310">
            <v>41330.046376811588</v>
          </cell>
          <cell r="AU310">
            <v>44964.846376811591</v>
          </cell>
          <cell r="AV310">
            <v>35634.146376811594</v>
          </cell>
          <cell r="AW310">
            <v>55476.22463768116</v>
          </cell>
          <cell r="AX310">
            <v>82788.724637681153</v>
          </cell>
          <cell r="AY310">
            <v>102626.22463768115</v>
          </cell>
          <cell r="AZ310">
            <v>119926.22463768115</v>
          </cell>
          <cell r="BA310">
            <v>120226.22463768115</v>
          </cell>
          <cell r="BK310">
            <v>34721.745652173908</v>
          </cell>
          <cell r="BL310">
            <v>912.40072463768593</v>
          </cell>
        </row>
        <row r="311">
          <cell r="A311" t="str">
            <v xml:space="preserve">  Year-over-Year growth</v>
          </cell>
          <cell r="AC311">
            <v>7.6041179223209632E-3</v>
          </cell>
          <cell r="AD311">
            <v>0.53613466552165634</v>
          </cell>
          <cell r="AE311">
            <v>0.97788956481048173</v>
          </cell>
          <cell r="AF311">
            <v>1.7207456877621796</v>
          </cell>
          <cell r="AG311">
            <v>0.81232045215794613</v>
          </cell>
          <cell r="AH311">
            <v>2.3915012190874259</v>
          </cell>
          <cell r="AI311">
            <v>1.3806098367241049</v>
          </cell>
          <cell r="AJ311">
            <v>0.91648429644525975</v>
          </cell>
          <cell r="AK311">
            <v>0.47976537032192468</v>
          </cell>
          <cell r="AL311">
            <v>1.0544365781611487</v>
          </cell>
          <cell r="AM311">
            <v>0.35560234158365001</v>
          </cell>
          <cell r="AN311">
            <v>0.47500759769030232</v>
          </cell>
          <cell r="AO311">
            <v>0.65190017792782484</v>
          </cell>
          <cell r="AP311">
            <v>0.97579386449119698</v>
          </cell>
          <cell r="AQ311">
            <v>0.62874648572114533</v>
          </cell>
          <cell r="AR311">
            <v>1.0054431135127539</v>
          </cell>
          <cell r="AS311">
            <v>0.93702913009531463</v>
          </cell>
          <cell r="AT311">
            <v>1.3164958670167137</v>
          </cell>
          <cell r="AU311">
            <v>0.96887198662193308</v>
          </cell>
          <cell r="AV311">
            <v>1.0583397258790805</v>
          </cell>
          <cell r="AW311">
            <v>0.55682765769244047</v>
          </cell>
          <cell r="AX311">
            <v>0.49232802301129386</v>
          </cell>
          <cell r="AY311">
            <v>0.23961596324641277</v>
          </cell>
          <cell r="AZ311">
            <v>0.1685728970453424</v>
          </cell>
          <cell r="BA311">
            <v>2.5015379322275155E-3</v>
          </cell>
          <cell r="BK311">
            <v>0.95867636216824947</v>
          </cell>
          <cell r="BL311">
            <v>9.9663363710831065E-2</v>
          </cell>
        </row>
        <row r="312">
          <cell r="BL312">
            <v>0</v>
          </cell>
        </row>
        <row r="313">
          <cell r="A313" t="str">
            <v>Daily Win/Position (US$)</v>
          </cell>
          <cell r="X313">
            <v>1984.6216975909358</v>
          </cell>
          <cell r="Y313">
            <v>1522.6344452224507</v>
          </cell>
          <cell r="Z313">
            <v>2206.0684135316028</v>
          </cell>
          <cell r="AA313">
            <v>2414.3607650136464</v>
          </cell>
          <cell r="AB313">
            <v>2034.0390337821721</v>
          </cell>
          <cell r="AC313">
            <v>2647.8330394139557</v>
          </cell>
          <cell r="AD313">
            <v>2056.5382194736676</v>
          </cell>
          <cell r="AE313">
            <v>1974.1926488393624</v>
          </cell>
          <cell r="AF313">
            <v>1462.6152639704985</v>
          </cell>
          <cell r="AG313">
            <v>1923.074314419533</v>
          </cell>
          <cell r="AH313">
            <v>1173.4825864456277</v>
          </cell>
          <cell r="AI313">
            <v>1169.6865639252771</v>
          </cell>
          <cell r="AJ313">
            <v>1131.3434162161072</v>
          </cell>
          <cell r="AK313">
            <v>1068.4900960448804</v>
          </cell>
          <cell r="AL313">
            <v>1133.8513082263344</v>
          </cell>
          <cell r="AM313">
            <v>1013.9121814777565</v>
          </cell>
          <cell r="AN313">
            <v>855.13252290882599</v>
          </cell>
          <cell r="AO313">
            <v>784.30445286239956</v>
          </cell>
          <cell r="AP313">
            <v>790.67024266507394</v>
          </cell>
          <cell r="AQ313">
            <v>846.84804241168968</v>
          </cell>
          <cell r="AR313">
            <v>776.64432736628203</v>
          </cell>
          <cell r="AS313">
            <v>598.77562977980131</v>
          </cell>
          <cell r="AT313">
            <v>456.97775360672165</v>
          </cell>
          <cell r="AU313">
            <v>483.01875491267333</v>
          </cell>
          <cell r="AV313">
            <v>554.18520300220416</v>
          </cell>
          <cell r="AW313">
            <v>420.75875765684395</v>
          </cell>
          <cell r="AX313">
            <v>328.00414157503479</v>
          </cell>
          <cell r="AY313">
            <v>297.66203483343799</v>
          </cell>
          <cell r="AZ313">
            <v>275.59935814306453</v>
          </cell>
          <cell r="BA313">
            <v>296.16983649902596</v>
          </cell>
          <cell r="BK313">
            <v>485.74228302918874</v>
          </cell>
          <cell r="BL313">
            <v>68.442919973015421</v>
          </cell>
        </row>
        <row r="314">
          <cell r="A314" t="str">
            <v xml:space="preserve">  Year-over-Year growth</v>
          </cell>
          <cell r="AC314">
            <v>0.33417519451090816</v>
          </cell>
          <cell r="AD314">
            <v>0.35064474991120775</v>
          </cell>
          <cell r="AE314">
            <v>-0.10510814772105825</v>
          </cell>
          <cell r="AF314">
            <v>-0.39420185865958124</v>
          </cell>
          <cell r="AG314">
            <v>-5.455387901593356E-2</v>
          </cell>
          <cell r="AH314">
            <v>-0.55681397996855786</v>
          </cell>
          <cell r="AI314">
            <v>-0.43123519278691713</v>
          </cell>
          <cell r="AJ314">
            <v>-0.42693362935920687</v>
          </cell>
          <cell r="AK314">
            <v>-0.26946605688751224</v>
          </cell>
          <cell r="AL314">
            <v>-0.41039651992409887</v>
          </cell>
          <cell r="AM314">
            <v>-0.13598020695918078</v>
          </cell>
          <cell r="AN314">
            <v>-0.2689216502247056</v>
          </cell>
          <cell r="AO314">
            <v>-0.30674944351947053</v>
          </cell>
          <cell r="AP314">
            <v>-0.26001163174856134</v>
          </cell>
          <cell r="AQ314">
            <v>-0.25312248945904503</v>
          </cell>
          <cell r="AR314">
            <v>-0.23401223345167954</v>
          </cell>
          <cell r="AS314">
            <v>-0.2997861574215408</v>
          </cell>
          <cell r="AT314">
            <v>-0.41734647567161642</v>
          </cell>
          <cell r="AU314">
            <v>-0.38910214543475752</v>
          </cell>
          <cell r="AV314">
            <v>-0.34559073736065793</v>
          </cell>
          <cell r="AW314">
            <v>-0.24076147219836452</v>
          </cell>
          <cell r="AX314">
            <v>-0.22044607365595603</v>
          </cell>
          <cell r="AY314">
            <v>-9.2505254951653404E-2</v>
          </cell>
          <cell r="AZ314">
            <v>-7.4119888022397662E-2</v>
          </cell>
          <cell r="BA314">
            <v>7.4639064816991452E-2</v>
          </cell>
          <cell r="BK314">
            <v>-0.37656544006928927</v>
          </cell>
          <cell r="BL314">
            <v>3.0974702708631341E-2</v>
          </cell>
        </row>
        <row r="315">
          <cell r="A315" t="str">
            <v>Daily VIP Win/Position (US$)</v>
          </cell>
          <cell r="X315">
            <v>3923.1834225657803</v>
          </cell>
          <cell r="Y315">
            <v>3009.9309210291703</v>
          </cell>
          <cell r="Z315">
            <v>4360.9374217358154</v>
          </cell>
          <cell r="AA315">
            <v>4794.7869099604404</v>
          </cell>
          <cell r="AB315">
            <v>4025.5256448236446</v>
          </cell>
          <cell r="AC315">
            <v>5114.7950942594689</v>
          </cell>
          <cell r="AD315">
            <v>4920.0477530688413</v>
          </cell>
          <cell r="AE315">
            <v>5637.3880345733487</v>
          </cell>
          <cell r="AF315">
            <v>4653.7441338625504</v>
          </cell>
          <cell r="AG315">
            <v>5059.2455869262712</v>
          </cell>
          <cell r="AH315">
            <v>3507.9721714892053</v>
          </cell>
          <cell r="AI315">
            <v>3559.9544166450582</v>
          </cell>
          <cell r="AJ315">
            <v>3297.3562134291165</v>
          </cell>
          <cell r="AK315">
            <v>3049.6571499948627</v>
          </cell>
          <cell r="AL315">
            <v>3349.274382571798</v>
          </cell>
          <cell r="AM315">
            <v>2891.4768388849147</v>
          </cell>
          <cell r="AN315">
            <v>2231.4736892561527</v>
          </cell>
          <cell r="AO315">
            <v>2144.3140745718874</v>
          </cell>
          <cell r="AP315">
            <v>2782.0624877638802</v>
          </cell>
          <cell r="AQ315">
            <v>2484.0441493932967</v>
          </cell>
          <cell r="AR315">
            <v>3018.2114113644125</v>
          </cell>
          <cell r="AS315">
            <v>2175.3163021636569</v>
          </cell>
          <cell r="AT315">
            <v>1606.6928181176363</v>
          </cell>
          <cell r="AU315">
            <v>1792.6512425073831</v>
          </cell>
          <cell r="AV315">
            <v>2044.063339267585</v>
          </cell>
          <cell r="AW315">
            <v>1731.0017883364999</v>
          </cell>
          <cell r="AX315">
            <v>1314.7042440116779</v>
          </cell>
          <cell r="AY315">
            <v>1099.2881976993424</v>
          </cell>
          <cell r="AZ315">
            <v>945.50157365856398</v>
          </cell>
          <cell r="BA315">
            <v>971.20578310638541</v>
          </cell>
          <cell r="BK315">
            <v>1089.86540686582</v>
          </cell>
          <cell r="BL315">
            <v>954.197932401765</v>
          </cell>
        </row>
        <row r="316">
          <cell r="A316" t="str">
            <v xml:space="preserve">  Year-over-Year growth</v>
          </cell>
          <cell r="AC316">
            <v>0.30373590611125922</v>
          </cell>
          <cell r="AD316">
            <v>0.63460487371801699</v>
          </cell>
          <cell r="AE316">
            <v>0.29270096985924154</v>
          </cell>
          <cell r="AF316">
            <v>-2.9415859087480012E-2</v>
          </cell>
          <cell r="AG316">
            <v>0.25679129468020401</v>
          </cell>
          <cell r="AH316">
            <v>-0.31415196369716991</v>
          </cell>
          <cell r="AI316">
            <v>-0.27643905195339524</v>
          </cell>
          <cell r="AJ316">
            <v>-0.41509149393178713</v>
          </cell>
          <cell r="AK316">
            <v>-0.34468740388963226</v>
          </cell>
          <cell r="AL316">
            <v>-0.33798936520758238</v>
          </cell>
          <cell r="AM316">
            <v>-0.17574122668783199</v>
          </cell>
          <cell r="AN316">
            <v>-0.37317352187921582</v>
          </cell>
          <cell r="AO316">
            <v>-0.349686859478889</v>
          </cell>
          <cell r="AP316">
            <v>-8.7745818323031299E-2</v>
          </cell>
          <cell r="AQ316">
            <v>-0.25833363718445768</v>
          </cell>
          <cell r="AR316">
            <v>4.3830395172168357E-2</v>
          </cell>
          <cell r="AS316">
            <v>-2.5166053878598715E-2</v>
          </cell>
          <cell r="AT316">
            <v>-0.25071945515331628</v>
          </cell>
          <cell r="AU316">
            <v>-0.35563947596725243</v>
          </cell>
          <cell r="AV316">
            <v>-0.1771227819091592</v>
          </cell>
          <cell r="AW316">
            <v>-0.15315648244210434</v>
          </cell>
          <cell r="AX316">
            <v>-0.24049515553931677</v>
          </cell>
          <cell r="AY316">
            <v>-0.16385133560915321</v>
          </cell>
          <cell r="AZ316">
            <v>-0.13989654793222783</v>
          </cell>
          <cell r="BA316">
            <v>2.7185792349726512E-2</v>
          </cell>
          <cell r="BK316">
            <v>-0.41549492999419424</v>
          </cell>
          <cell r="BL316">
            <v>0.23837214808503504</v>
          </cell>
        </row>
        <row r="317">
          <cell r="A317" t="str">
            <v>Daily Mass Market Win/Position (US$)</v>
          </cell>
          <cell r="X317">
            <v>739.56977081135028</v>
          </cell>
          <cell r="Y317">
            <v>567.41010594087697</v>
          </cell>
          <cell r="Z317">
            <v>822.09194476216783</v>
          </cell>
          <cell r="AA317">
            <v>897.05674367869881</v>
          </cell>
          <cell r="AB317">
            <v>757.42269322489199</v>
          </cell>
          <cell r="AC317">
            <v>1075.3702876315492</v>
          </cell>
          <cell r="AD317">
            <v>847.01571836801418</v>
          </cell>
          <cell r="AE317">
            <v>778.18871382714224</v>
          </cell>
          <cell r="AF317">
            <v>534.01042191996669</v>
          </cell>
          <cell r="AG317">
            <v>742.27406078714728</v>
          </cell>
          <cell r="AH317">
            <v>511.76016118936036</v>
          </cell>
          <cell r="AI317">
            <v>513.61406832119803</v>
          </cell>
          <cell r="AJ317">
            <v>553.77565595685178</v>
          </cell>
          <cell r="AK317">
            <v>563.72142211158007</v>
          </cell>
          <cell r="AL317">
            <v>537.48009984640623</v>
          </cell>
          <cell r="AM317">
            <v>481.91537715162565</v>
          </cell>
          <cell r="AN317">
            <v>408.27238453328494</v>
          </cell>
          <cell r="AO317">
            <v>357.45653687039299</v>
          </cell>
          <cell r="AP317">
            <v>323.58537290991256</v>
          </cell>
          <cell r="AQ317">
            <v>381.41501069034263</v>
          </cell>
          <cell r="AR317">
            <v>324.9185033986729</v>
          </cell>
          <cell r="AS317">
            <v>246.38264705311445</v>
          </cell>
          <cell r="AT317">
            <v>217.8977460980087</v>
          </cell>
          <cell r="AU317">
            <v>216.67979029053356</v>
          </cell>
          <cell r="AV317">
            <v>243.45165745766511</v>
          </cell>
          <cell r="AW317">
            <v>196.90246787275038</v>
          </cell>
          <cell r="AX317">
            <v>170.34700333343068</v>
          </cell>
          <cell r="AY317">
            <v>169.14431035748063</v>
          </cell>
          <cell r="AZ317">
            <v>165.53840156289777</v>
          </cell>
          <cell r="BA317">
            <v>185.54217766603503</v>
          </cell>
          <cell r="BK317">
            <v>310.39361242899304</v>
          </cell>
          <cell r="BL317">
            <v>-66.941954971327931</v>
          </cell>
          <cell r="BN317" t="str">
            <v>gt:winPerPosition</v>
          </cell>
        </row>
        <row r="318">
          <cell r="A318" t="str">
            <v xml:space="preserve">  Year-over-Year growth</v>
          </cell>
          <cell r="AC318">
            <v>0.45404846178583891</v>
          </cell>
          <cell r="AD318">
            <v>0.49277517178425367</v>
          </cell>
          <cell r="AE318">
            <v>-5.3404283078977044E-2</v>
          </cell>
          <cell r="AF318">
            <v>-0.40470831340047919</v>
          </cell>
          <cell r="AG318">
            <v>-2.0000235764320862E-2</v>
          </cell>
          <cell r="AH318">
            <v>-0.52410795883482408</v>
          </cell>
          <cell r="AI318">
            <v>-0.39361920070290679</v>
          </cell>
          <cell r="AJ318">
            <v>-0.28837871056574971</v>
          </cell>
          <cell r="AK318">
            <v>5.5637491277400919E-2</v>
          </cell>
          <cell r="AL318">
            <v>-0.27590073769190659</v>
          </cell>
          <cell r="AM318">
            <v>-5.831791198512537E-2</v>
          </cell>
          <cell r="AN318">
            <v>-0.20509890652379037</v>
          </cell>
          <cell r="AO318">
            <v>-0.35451020097162822</v>
          </cell>
          <cell r="AP318">
            <v>-0.42598354396781501</v>
          </cell>
          <cell r="AQ318">
            <v>-0.29036440456244195</v>
          </cell>
          <cell r="AR318">
            <v>-0.32577685045222504</v>
          </cell>
          <cell r="AS318">
            <v>-0.39652384930524787</v>
          </cell>
          <cell r="AT318">
            <v>-0.39042170551488808</v>
          </cell>
          <cell r="AU318">
            <v>-0.3303782913856923</v>
          </cell>
          <cell r="AV318">
            <v>-0.36171453499685435</v>
          </cell>
          <cell r="AW318">
            <v>-0.19120506334202869</v>
          </cell>
          <cell r="AX318">
            <v>-0.13486608281863366</v>
          </cell>
          <cell r="AY318">
            <v>-7.0602532032567611E-3</v>
          </cell>
          <cell r="AZ318">
            <v>-2.1318534374357045E-2</v>
          </cell>
          <cell r="BA318">
            <v>0.12084069867943392</v>
          </cell>
          <cell r="BK318">
            <v>-0.31212351562578755</v>
          </cell>
          <cell r="BL318">
            <v>-4.9591019371066802E-2</v>
          </cell>
        </row>
        <row r="319">
          <cell r="BL319">
            <v>0</v>
          </cell>
        </row>
        <row r="320">
          <cell r="A320" t="str">
            <v>Average Exchange Rate (US$/MOP)</v>
          </cell>
          <cell r="B320">
            <v>7.9973275454545485</v>
          </cell>
          <cell r="C320">
            <v>7.9755826679841908</v>
          </cell>
          <cell r="D320">
            <v>7.9969583636363657</v>
          </cell>
          <cell r="E320">
            <v>7.9856313176470595</v>
          </cell>
          <cell r="F320">
            <v>7.9940926062992101</v>
          </cell>
          <cell r="G320">
            <v>8.0251389999999994</v>
          </cell>
          <cell r="H320">
            <v>8.0390043992094871</v>
          </cell>
          <cell r="I320">
            <v>7.9943623593750006</v>
          </cell>
          <cell r="J320">
            <v>8.0149042031249991</v>
          </cell>
          <cell r="K320">
            <v>7.9353441874999993</v>
          </cell>
          <cell r="L320">
            <v>8.027346703125005</v>
          </cell>
          <cell r="M320">
            <v>7.9937193083003963</v>
          </cell>
          <cell r="N320">
            <v>8.0437888412698424</v>
          </cell>
          <cell r="O320">
            <v>8.0048747031250045</v>
          </cell>
          <cell r="P320">
            <v>8.0206962833333311</v>
          </cell>
          <cell r="Q320">
            <v>8.0378734769230764</v>
          </cell>
          <cell r="R320">
            <v>8.0267637429718892</v>
          </cell>
          <cell r="S320">
            <v>8.0459319672131162</v>
          </cell>
          <cell r="T320">
            <v>7.9395799692307705</v>
          </cell>
          <cell r="U320">
            <v>8.0023464461538421</v>
          </cell>
          <cell r="V320">
            <v>8.0027988769230785</v>
          </cell>
          <cell r="W320">
            <v>7.9973505968379444</v>
          </cell>
          <cell r="X320">
            <v>8.0352499677419367</v>
          </cell>
          <cell r="Y320">
            <v>8.0117751250000033</v>
          </cell>
          <cell r="Z320">
            <v>8.0374984153846185</v>
          </cell>
          <cell r="AA320">
            <v>7.9566313384615395</v>
          </cell>
          <cell r="AB320">
            <v>8.0101944268774705</v>
          </cell>
          <cell r="AC320">
            <v>7.9878238571428613</v>
          </cell>
          <cell r="AD320">
            <v>8.029138555555555</v>
          </cell>
          <cell r="AE320">
            <v>8.0334246153846163</v>
          </cell>
          <cell r="AF320">
            <v>8.0147200000000023</v>
          </cell>
          <cell r="AG320">
            <v>8.0162347944663939</v>
          </cell>
          <cell r="AH320">
            <v>8.0312387096774192</v>
          </cell>
          <cell r="AI320">
            <v>8.0228000000000037</v>
          </cell>
          <cell r="AJ320">
            <v>8.0030446153846135</v>
          </cell>
          <cell r="AK320">
            <v>7.9876640625000004</v>
          </cell>
          <cell r="AL320">
            <v>8.0111868468905083</v>
          </cell>
          <cell r="AM320">
            <v>7.9905793650793662</v>
          </cell>
          <cell r="AN320">
            <v>7.9908031250000029</v>
          </cell>
          <cell r="AO320">
            <v>8.0103671875</v>
          </cell>
          <cell r="AP320">
            <v>8.0143687500000027</v>
          </cell>
          <cell r="AQ320">
            <v>8.0015296068948434</v>
          </cell>
          <cell r="AR320">
            <v>8.0418241935483863</v>
          </cell>
          <cell r="AS320">
            <v>8.0418241935483863</v>
          </cell>
          <cell r="AT320">
            <v>8.0418241935483863</v>
          </cell>
          <cell r="AU320">
            <v>8.0418241935483863</v>
          </cell>
          <cell r="AV320">
            <v>8.0418241935483863</v>
          </cell>
          <cell r="AW320">
            <v>8.0418241935483863</v>
          </cell>
          <cell r="AX320">
            <v>8.0418241935483863</v>
          </cell>
          <cell r="AY320">
            <v>8.0418241935483863</v>
          </cell>
          <cell r="AZ320">
            <v>8.0418241935483863</v>
          </cell>
          <cell r="BA320">
            <v>8.0418241935483863</v>
          </cell>
          <cell r="BK320">
            <v>7.9994237767609135</v>
          </cell>
          <cell r="BL320">
            <v>4.240041678747275E-2</v>
          </cell>
        </row>
        <row r="321">
          <cell r="BL321">
            <v>0</v>
          </cell>
        </row>
        <row r="322">
          <cell r="A322" t="str">
            <v>Total Gaming Receipts (millions MOP)</v>
          </cell>
          <cell r="BL322">
            <v>0</v>
          </cell>
        </row>
        <row r="323">
          <cell r="A323" t="str">
            <v>Table Revenue</v>
          </cell>
          <cell r="C323">
            <v>15120.853621</v>
          </cell>
          <cell r="D323">
            <v>17147.185416999997</v>
          </cell>
          <cell r="E323">
            <v>16116.43507</v>
          </cell>
          <cell r="F323">
            <v>17541.344209000003</v>
          </cell>
          <cell r="G323">
            <v>14349.441364</v>
          </cell>
          <cell r="H323">
            <v>12864.117540000001</v>
          </cell>
          <cell r="M323">
            <v>15661</v>
          </cell>
          <cell r="R323">
            <v>17888</v>
          </cell>
          <cell r="W323">
            <v>21322</v>
          </cell>
          <cell r="AB323">
            <v>27622</v>
          </cell>
          <cell r="AG323">
            <v>39564</v>
          </cell>
          <cell r="AH323">
            <v>10356.192100499999</v>
          </cell>
          <cell r="AI323">
            <v>11045.259750000001</v>
          </cell>
          <cell r="AJ323">
            <v>11071.4</v>
          </cell>
          <cell r="AK323">
            <v>11038.5</v>
          </cell>
          <cell r="AL323">
            <v>43511.351850500003</v>
          </cell>
          <cell r="AM323">
            <v>11926.5</v>
          </cell>
          <cell r="AN323">
            <v>12216.5</v>
          </cell>
          <cell r="AO323">
            <v>13029.5</v>
          </cell>
          <cell r="AP323">
            <v>15827.7</v>
          </cell>
          <cell r="BL323">
            <v>0</v>
          </cell>
        </row>
        <row r="324">
          <cell r="A324" t="str">
            <v>Slot Revenue</v>
          </cell>
          <cell r="C324">
            <v>292.82445200000001</v>
          </cell>
          <cell r="D324">
            <v>332.74785100000003</v>
          </cell>
          <cell r="E324">
            <v>295.19192099999998</v>
          </cell>
          <cell r="F324">
            <v>242.795143</v>
          </cell>
          <cell r="G324">
            <v>216.145647</v>
          </cell>
          <cell r="H324">
            <v>173.18694099999999</v>
          </cell>
          <cell r="M324">
            <v>217</v>
          </cell>
          <cell r="R324">
            <v>220</v>
          </cell>
          <cell r="W324">
            <v>225</v>
          </cell>
          <cell r="AB324">
            <v>230</v>
          </cell>
          <cell r="AG324">
            <v>622</v>
          </cell>
          <cell r="AH324">
            <v>243.84791546000005</v>
          </cell>
          <cell r="AI324">
            <v>295.16821077000003</v>
          </cell>
          <cell r="AJ324">
            <v>326</v>
          </cell>
          <cell r="AK324">
            <v>349</v>
          </cell>
          <cell r="AL324">
            <v>1214.0161262300001</v>
          </cell>
          <cell r="AM324">
            <v>425</v>
          </cell>
          <cell r="AN324">
            <v>444</v>
          </cell>
          <cell r="AO324">
            <v>519</v>
          </cell>
          <cell r="AP324">
            <v>608</v>
          </cell>
          <cell r="BL324">
            <v>0</v>
          </cell>
        </row>
        <row r="325">
          <cell r="B325" t="str">
            <v>______</v>
          </cell>
          <cell r="C325" t="str">
            <v>______</v>
          </cell>
          <cell r="D325" t="str">
            <v>______</v>
          </cell>
          <cell r="E325" t="str">
            <v>______</v>
          </cell>
          <cell r="F325" t="str">
            <v>______</v>
          </cell>
          <cell r="G325" t="str">
            <v>______</v>
          </cell>
          <cell r="H325" t="str">
            <v>______</v>
          </cell>
          <cell r="I325" t="str">
            <v>______</v>
          </cell>
          <cell r="J325" t="str">
            <v>______</v>
          </cell>
          <cell r="K325" t="str">
            <v>______</v>
          </cell>
          <cell r="L325" t="str">
            <v>______</v>
          </cell>
          <cell r="M325" t="str">
            <v>______</v>
          </cell>
          <cell r="N325" t="str">
            <v>______</v>
          </cell>
          <cell r="O325" t="str">
            <v>______</v>
          </cell>
          <cell r="P325" t="str">
            <v>______</v>
          </cell>
          <cell r="Q325" t="str">
            <v>______</v>
          </cell>
          <cell r="R325" t="str">
            <v>______</v>
          </cell>
          <cell r="S325" t="str">
            <v>______</v>
          </cell>
          <cell r="T325" t="str">
            <v>______</v>
          </cell>
          <cell r="U325" t="str">
            <v>______</v>
          </cell>
          <cell r="V325" t="str">
            <v>______</v>
          </cell>
          <cell r="W325" t="str">
            <v>______</v>
          </cell>
          <cell r="X325" t="str">
            <v>______</v>
          </cell>
          <cell r="Y325" t="str">
            <v>______</v>
          </cell>
          <cell r="Z325" t="str">
            <v>______</v>
          </cell>
          <cell r="AA325" t="str">
            <v>______</v>
          </cell>
          <cell r="AB325" t="str">
            <v>______</v>
          </cell>
          <cell r="AC325" t="str">
            <v>______</v>
          </cell>
          <cell r="AD325" t="str">
            <v>______</v>
          </cell>
          <cell r="AE325" t="str">
            <v>______</v>
          </cell>
          <cell r="AF325" t="str">
            <v>______</v>
          </cell>
          <cell r="AG325" t="str">
            <v>______</v>
          </cell>
          <cell r="AH325" t="str">
            <v>______</v>
          </cell>
          <cell r="AI325" t="str">
            <v>______</v>
          </cell>
          <cell r="AJ325" t="str">
            <v>______</v>
          </cell>
          <cell r="AK325" t="str">
            <v>______</v>
          </cell>
          <cell r="AL325" t="str">
            <v>______</v>
          </cell>
          <cell r="AM325" t="str">
            <v>______</v>
          </cell>
          <cell r="AN325" t="str">
            <v>______</v>
          </cell>
          <cell r="AO325" t="str">
            <v>______</v>
          </cell>
          <cell r="AP325" t="str">
            <v>______</v>
          </cell>
          <cell r="AQ325" t="str">
            <v>______</v>
          </cell>
          <cell r="AR325" t="str">
            <v>______</v>
          </cell>
          <cell r="AS325" t="str">
            <v>______</v>
          </cell>
          <cell r="AT325" t="str">
            <v>______</v>
          </cell>
          <cell r="AU325" t="str">
            <v>______</v>
          </cell>
          <cell r="AV325" t="str">
            <v>______</v>
          </cell>
          <cell r="AW325" t="str">
            <v>______</v>
          </cell>
          <cell r="AX325" t="str">
            <v>______</v>
          </cell>
          <cell r="AY325" t="str">
            <v>______</v>
          </cell>
          <cell r="AZ325" t="str">
            <v>______</v>
          </cell>
          <cell r="BA325" t="str">
            <v>______</v>
          </cell>
          <cell r="BK325" t="str">
            <v>______</v>
          </cell>
          <cell r="BL325" t="e">
            <v>#VALUE!</v>
          </cell>
        </row>
        <row r="326">
          <cell r="A326" t="str">
            <v>Total Casino Revenue</v>
          </cell>
          <cell r="C326">
            <v>15413.678073000001</v>
          </cell>
          <cell r="D326">
            <v>17479.933267999997</v>
          </cell>
          <cell r="E326">
            <v>16411.626991000001</v>
          </cell>
          <cell r="F326">
            <v>17784.139352000002</v>
          </cell>
          <cell r="G326">
            <v>14565.587011</v>
          </cell>
          <cell r="H326">
            <v>13037.304481000001</v>
          </cell>
          <cell r="I326">
            <v>4197.2332429435364</v>
          </cell>
          <cell r="J326">
            <v>3811.0096980277076</v>
          </cell>
          <cell r="K326">
            <v>4061.0367600948498</v>
          </cell>
          <cell r="L326">
            <v>3808.7202989339075</v>
          </cell>
          <cell r="M326">
            <v>15878</v>
          </cell>
          <cell r="N326">
            <v>4411.7756982710744</v>
          </cell>
          <cell r="O326">
            <v>4489.5445723219573</v>
          </cell>
          <cell r="P326">
            <v>4536.7505393403962</v>
          </cell>
          <cell r="Q326">
            <v>4669.929190066573</v>
          </cell>
          <cell r="R326">
            <v>18108</v>
          </cell>
          <cell r="S326">
            <v>4904.6801940326268</v>
          </cell>
          <cell r="T326">
            <v>5313.7402763690006</v>
          </cell>
          <cell r="U326">
            <v>5341.0424438576956</v>
          </cell>
          <cell r="V326">
            <v>5987.5370857406742</v>
          </cell>
          <cell r="W326">
            <v>21547</v>
          </cell>
          <cell r="X326">
            <v>6715.8907030819191</v>
          </cell>
          <cell r="Y326">
            <v>5194.5720796418655</v>
          </cell>
          <cell r="Z326">
            <v>7633.2886865296596</v>
          </cell>
          <cell r="AA326">
            <v>8308.2485307465558</v>
          </cell>
          <cell r="AB326">
            <v>27852</v>
          </cell>
          <cell r="AC326">
            <v>9047.9609999999993</v>
          </cell>
          <cell r="AD326">
            <v>9354.8940000000002</v>
          </cell>
          <cell r="AE326">
            <v>10907.57</v>
          </cell>
          <cell r="AF326">
            <v>10875.575000000001</v>
          </cell>
          <cell r="AG326">
            <v>40186</v>
          </cell>
          <cell r="AH326">
            <v>10600.039000000001</v>
          </cell>
          <cell r="AI326">
            <v>11340.429</v>
          </cell>
          <cell r="AJ326">
            <v>11395.798999999999</v>
          </cell>
          <cell r="AK326">
            <v>11388.353000000001</v>
          </cell>
          <cell r="AL326">
            <v>44725.367976730005</v>
          </cell>
          <cell r="AM326">
            <v>12351.557000000001</v>
          </cell>
          <cell r="AN326">
            <v>12659.857</v>
          </cell>
          <cell r="AO326">
            <v>13549</v>
          </cell>
          <cell r="AP326">
            <v>16436.810000000001</v>
          </cell>
          <cell r="AQ326">
            <v>54997.224000000002</v>
          </cell>
          <cell r="AR326">
            <v>17878</v>
          </cell>
          <cell r="AS326">
            <v>15961.120483281104</v>
          </cell>
          <cell r="AT326">
            <v>16879.178185506858</v>
          </cell>
          <cell r="AU326">
            <v>19336.524435157942</v>
          </cell>
          <cell r="AV326">
            <v>70054.823103945906</v>
          </cell>
          <cell r="AW326">
            <v>80221.193770221027</v>
          </cell>
          <cell r="AX326">
            <v>92443.080110233597</v>
          </cell>
          <cell r="AY326">
            <v>104041.71233943444</v>
          </cell>
          <cell r="AZ326">
            <v>112954.22640767637</v>
          </cell>
          <cell r="BA326">
            <v>121979.1016281718</v>
          </cell>
          <cell r="BK326">
            <v>63538.063648138261</v>
          </cell>
          <cell r="BL326">
            <v>6516.7594558076453</v>
          </cell>
        </row>
        <row r="327">
          <cell r="A327" t="str">
            <v>Other Gaming Revenues (racing, lottery, etc.)</v>
          </cell>
          <cell r="C327">
            <v>1219.5940837990347</v>
          </cell>
          <cell r="D327">
            <v>1383.0847574400825</v>
          </cell>
          <cell r="E327">
            <v>1298.5559377162006</v>
          </cell>
          <cell r="F327">
            <v>1407.154803443701</v>
          </cell>
          <cell r="G327">
            <v>1152.4896044632517</v>
          </cell>
          <cell r="H327">
            <v>1031.5655574490372</v>
          </cell>
          <cell r="I327">
            <v>332.10248762009257</v>
          </cell>
          <cell r="J327">
            <v>301.54288022642669</v>
          </cell>
          <cell r="K327">
            <v>321.32605749550993</v>
          </cell>
          <cell r="L327">
            <v>301.36173348279874</v>
          </cell>
          <cell r="M327">
            <v>1256.3331588248279</v>
          </cell>
          <cell r="N327">
            <v>349.07797575485006</v>
          </cell>
          <cell r="O327">
            <v>355.23137134589405</v>
          </cell>
          <cell r="P327">
            <v>358.96650307908811</v>
          </cell>
          <cell r="Q327">
            <v>369.50414982016667</v>
          </cell>
          <cell r="R327">
            <v>1432.7799999999988</v>
          </cell>
          <cell r="S327">
            <v>294.91976079054683</v>
          </cell>
          <cell r="T327">
            <v>319.51665536042793</v>
          </cell>
          <cell r="U327">
            <v>321.15834215473228</v>
          </cell>
          <cell r="V327">
            <v>360.03224169429313</v>
          </cell>
          <cell r="W327">
            <v>1295.6270000000004</v>
          </cell>
          <cell r="X327">
            <v>391.5562969180807</v>
          </cell>
          <cell r="Y327">
            <v>302.85892035813436</v>
          </cell>
          <cell r="Z327">
            <v>445.04331347034065</v>
          </cell>
          <cell r="AA327">
            <v>484.39546925344365</v>
          </cell>
          <cell r="AB327">
            <v>1623.8539999999994</v>
          </cell>
          <cell r="AC327">
            <v>760</v>
          </cell>
          <cell r="AD327">
            <v>559.65799999999945</v>
          </cell>
          <cell r="AE327">
            <v>403.40800000000002</v>
          </cell>
          <cell r="AF327">
            <v>396.57399999999996</v>
          </cell>
          <cell r="AG327">
            <v>2119.6399999999994</v>
          </cell>
          <cell r="AH327">
            <v>353.34100000000001</v>
          </cell>
          <cell r="AI327">
            <v>279.19</v>
          </cell>
          <cell r="AJ327">
            <v>208.59199999999998</v>
          </cell>
          <cell r="AK327">
            <v>234.70699999999999</v>
          </cell>
          <cell r="AL327">
            <v>1075.0820232699916</v>
          </cell>
          <cell r="AM327">
            <v>237.55999999999997</v>
          </cell>
          <cell r="AN327">
            <v>240.18900000000002</v>
          </cell>
          <cell r="AO327">
            <v>213.72699999999998</v>
          </cell>
          <cell r="AP327">
            <v>195.095</v>
          </cell>
          <cell r="AQ327">
            <v>886.57099999999627</v>
          </cell>
          <cell r="AR327">
            <v>213.80399999999997</v>
          </cell>
          <cell r="AS327">
            <v>216.17010000000002</v>
          </cell>
          <cell r="AT327">
            <v>192.35429999999999</v>
          </cell>
          <cell r="AU327">
            <v>175.5855</v>
          </cell>
          <cell r="AV327">
            <v>797.91389999999956</v>
          </cell>
          <cell r="BL327">
            <v>797.91389999999956</v>
          </cell>
        </row>
        <row r="328">
          <cell r="B328" t="str">
            <v>______</v>
          </cell>
          <cell r="C328" t="str">
            <v>______</v>
          </cell>
          <cell r="D328" t="str">
            <v>______</v>
          </cell>
          <cell r="E328" t="str">
            <v>______</v>
          </cell>
          <cell r="F328" t="str">
            <v>______</v>
          </cell>
          <cell r="G328" t="str">
            <v>______</v>
          </cell>
          <cell r="H328" t="str">
            <v>______</v>
          </cell>
          <cell r="I328" t="str">
            <v>______</v>
          </cell>
          <cell r="J328" t="str">
            <v>______</v>
          </cell>
          <cell r="K328" t="str">
            <v>______</v>
          </cell>
          <cell r="L328" t="str">
            <v>______</v>
          </cell>
          <cell r="M328" t="str">
            <v>______</v>
          </cell>
          <cell r="N328" t="str">
            <v>______</v>
          </cell>
          <cell r="O328" t="str">
            <v>______</v>
          </cell>
          <cell r="P328" t="str">
            <v>______</v>
          </cell>
          <cell r="Q328" t="str">
            <v>______</v>
          </cell>
          <cell r="R328" t="str">
            <v>______</v>
          </cell>
          <cell r="S328" t="str">
            <v>______</v>
          </cell>
          <cell r="T328" t="str">
            <v>______</v>
          </cell>
          <cell r="U328" t="str">
            <v>______</v>
          </cell>
          <cell r="V328" t="str">
            <v>______</v>
          </cell>
          <cell r="W328" t="str">
            <v>______</v>
          </cell>
          <cell r="X328" t="str">
            <v>______</v>
          </cell>
          <cell r="Y328" t="str">
            <v>______</v>
          </cell>
          <cell r="Z328" t="str">
            <v>______</v>
          </cell>
          <cell r="AA328" t="str">
            <v>______</v>
          </cell>
          <cell r="AB328" t="str">
            <v>______</v>
          </cell>
          <cell r="AC328" t="str">
            <v>______</v>
          </cell>
          <cell r="AD328" t="str">
            <v>______</v>
          </cell>
          <cell r="AE328" t="str">
            <v>______</v>
          </cell>
          <cell r="AF328" t="str">
            <v>______</v>
          </cell>
          <cell r="AG328" t="str">
            <v>______</v>
          </cell>
          <cell r="AH328" t="str">
            <v>______</v>
          </cell>
          <cell r="AI328" t="str">
            <v>______</v>
          </cell>
          <cell r="AJ328" t="str">
            <v>______</v>
          </cell>
          <cell r="AK328" t="str">
            <v>______</v>
          </cell>
          <cell r="AL328" t="str">
            <v>______</v>
          </cell>
          <cell r="AM328" t="str">
            <v>______</v>
          </cell>
          <cell r="AN328" t="str">
            <v>______</v>
          </cell>
          <cell r="AO328" t="str">
            <v>______</v>
          </cell>
          <cell r="AP328" t="str">
            <v>______</v>
          </cell>
          <cell r="AQ328" t="str">
            <v>______</v>
          </cell>
          <cell r="AR328" t="str">
            <v>______</v>
          </cell>
          <cell r="AS328" t="str">
            <v>______</v>
          </cell>
          <cell r="AT328" t="str">
            <v>______</v>
          </cell>
          <cell r="AU328" t="str">
            <v>______</v>
          </cell>
          <cell r="AV328" t="str">
            <v>______</v>
          </cell>
          <cell r="BL328" t="e">
            <v>#VALUE!</v>
          </cell>
        </row>
        <row r="329">
          <cell r="A329" t="str">
            <v>Gross Gaming Receipts, gratuity exluded</v>
          </cell>
          <cell r="C329">
            <v>16633.272156799037</v>
          </cell>
          <cell r="D329">
            <v>18863.01802544008</v>
          </cell>
          <cell r="E329">
            <v>17710.1829287162</v>
          </cell>
          <cell r="F329">
            <v>19191.294155443702</v>
          </cell>
          <cell r="G329">
            <v>15718.076615463251</v>
          </cell>
          <cell r="H329">
            <v>14068.870038449038</v>
          </cell>
          <cell r="I329">
            <v>4529.3357305636291</v>
          </cell>
          <cell r="J329">
            <v>4112.5525782541345</v>
          </cell>
          <cell r="K329">
            <v>4382.3628175903596</v>
          </cell>
          <cell r="L329">
            <v>4110.0820324167062</v>
          </cell>
          <cell r="M329">
            <v>17134.333158824829</v>
          </cell>
          <cell r="N329">
            <v>4760.8536740259242</v>
          </cell>
          <cell r="O329">
            <v>4844.7759436678516</v>
          </cell>
          <cell r="P329">
            <v>4895.7170424194846</v>
          </cell>
          <cell r="Q329">
            <v>5039.4333398867393</v>
          </cell>
          <cell r="R329">
            <v>19540.78</v>
          </cell>
          <cell r="S329">
            <v>5199.5999548231739</v>
          </cell>
          <cell r="T329">
            <v>5633.2569317294283</v>
          </cell>
          <cell r="U329">
            <v>5662.2007860124277</v>
          </cell>
          <cell r="V329">
            <v>6347.5693274349678</v>
          </cell>
          <cell r="W329">
            <v>22842.627</v>
          </cell>
          <cell r="X329">
            <v>7107.4470000000001</v>
          </cell>
          <cell r="Y329">
            <v>5497.4309999999996</v>
          </cell>
          <cell r="Z329">
            <v>8078.3320000000003</v>
          </cell>
          <cell r="AA329">
            <v>8792.6440000000002</v>
          </cell>
          <cell r="AB329">
            <v>29475.853999999999</v>
          </cell>
          <cell r="AC329">
            <v>9807.9609999999993</v>
          </cell>
          <cell r="AD329">
            <v>9914.5519999999997</v>
          </cell>
          <cell r="AE329">
            <v>11310.977999999999</v>
          </cell>
          <cell r="AF329">
            <v>11272.149000000001</v>
          </cell>
          <cell r="AG329">
            <v>42305.64</v>
          </cell>
          <cell r="AH329">
            <v>10953.380000000001</v>
          </cell>
          <cell r="AI329">
            <v>11619.619000000001</v>
          </cell>
          <cell r="AJ329">
            <v>11604.391</v>
          </cell>
          <cell r="AK329">
            <v>11623.060000000001</v>
          </cell>
          <cell r="AL329">
            <v>45800.45</v>
          </cell>
          <cell r="AM329">
            <v>12589.117</v>
          </cell>
          <cell r="AN329">
            <v>12900.046</v>
          </cell>
          <cell r="AO329">
            <v>13762.727000000001</v>
          </cell>
          <cell r="AP329">
            <v>16631.905000000002</v>
          </cell>
          <cell r="AQ329">
            <v>55883.794999999998</v>
          </cell>
          <cell r="AR329">
            <v>18091.804</v>
          </cell>
          <cell r="AS329">
            <v>16177.290583281103</v>
          </cell>
          <cell r="AT329">
            <v>17071.532485506857</v>
          </cell>
          <cell r="AU329">
            <v>19512.109935157943</v>
          </cell>
          <cell r="AV329">
            <v>70852.737003945906</v>
          </cell>
          <cell r="BL329">
            <v>70852.737003945906</v>
          </cell>
        </row>
        <row r="330">
          <cell r="A330" t="str">
            <v xml:space="preserve">  Year-over-Year growth</v>
          </cell>
          <cell r="D330">
            <v>0.13405335087537829</v>
          </cell>
          <cell r="E330">
            <v>-6.1116153055098654E-2</v>
          </cell>
          <cell r="F330">
            <v>8.3630487199878312E-2</v>
          </cell>
          <cell r="G330">
            <v>-0.18097880798701926</v>
          </cell>
          <cell r="H330">
            <v>-0.10492419762044825</v>
          </cell>
          <cell r="M330">
            <v>0.2178897887320117</v>
          </cell>
          <cell r="N330">
            <v>5.111520921269519E-2</v>
          </cell>
          <cell r="O330">
            <v>0.17804595843600413</v>
          </cell>
          <cell r="P330">
            <v>0.11714096851328093</v>
          </cell>
          <cell r="Q330">
            <v>0.22611502644962522</v>
          </cell>
          <cell r="R330">
            <v>0.14044589998740387</v>
          </cell>
          <cell r="S330">
            <v>9.2157060652996892E-2</v>
          </cell>
          <cell r="T330">
            <v>0.16274870029688904</v>
          </cell>
          <cell r="U330">
            <v>0.15656210049552688</v>
          </cell>
          <cell r="V330">
            <v>0.25957997642203723</v>
          </cell>
          <cell r="W330">
            <v>0.16897211882023133</v>
          </cell>
          <cell r="X330">
            <v>0.36692189048257418</v>
          </cell>
          <cell r="Y330">
            <v>-2.4111439150660163E-2</v>
          </cell>
          <cell r="Z330">
            <v>0.4267123871615861</v>
          </cell>
          <cell r="AA330">
            <v>0.3851985770359565</v>
          </cell>
          <cell r="AB330">
            <v>0.29038809765619344</v>
          </cell>
          <cell r="AC330">
            <v>0.37995555928872893</v>
          </cell>
          <cell r="AD330">
            <v>0.80348821112988955</v>
          </cell>
          <cell r="AE330">
            <v>0.40016255831030456</v>
          </cell>
          <cell r="AF330">
            <v>0.2819976562226334</v>
          </cell>
          <cell r="AG330">
            <v>0.43526426749162206</v>
          </cell>
          <cell r="AH330">
            <v>0.11678462016722957</v>
          </cell>
          <cell r="AI330">
            <v>0.17197620225301158</v>
          </cell>
          <cell r="AJ330">
            <v>2.5940550852455058E-2</v>
          </cell>
          <cell r="AK330">
            <v>3.1130798572658991E-2</v>
          </cell>
          <cell r="AL330">
            <v>8.2608607268439771E-2</v>
          </cell>
          <cell r="AM330">
            <v>0.14933627793429971</v>
          </cell>
          <cell r="AN330">
            <v>0.11019526543856561</v>
          </cell>
          <cell r="AO330">
            <v>0.18599304349534607</v>
          </cell>
          <cell r="AP330">
            <v>0.43094030315596754</v>
          </cell>
          <cell r="AQ330">
            <v>0.22015820805254105</v>
          </cell>
          <cell r="AR330">
            <v>0.43709872582803055</v>
          </cell>
          <cell r="AS330">
            <v>0.25404906178482634</v>
          </cell>
          <cell r="AT330">
            <v>0.24041786816717758</v>
          </cell>
          <cell r="AU330">
            <v>0.17317348404514932</v>
          </cell>
          <cell r="AV330">
            <v>0.2678583658097291</v>
          </cell>
          <cell r="BL330">
            <v>0.2678583658097291</v>
          </cell>
        </row>
        <row r="331">
          <cell r="R331">
            <v>0.14044589998740387</v>
          </cell>
          <cell r="BL331">
            <v>0</v>
          </cell>
        </row>
        <row r="332">
          <cell r="A332" t="str">
            <v>VIP Baccarat</v>
          </cell>
          <cell r="C332">
            <v>9239.1136999999999</v>
          </cell>
          <cell r="D332">
            <v>10981.3902</v>
          </cell>
          <cell r="E332">
            <v>10474.283789999999</v>
          </cell>
          <cell r="F332">
            <v>12342.522059000001</v>
          </cell>
          <cell r="G332">
            <v>9246.3685659999992</v>
          </cell>
          <cell r="H332">
            <v>8603.4069400000008</v>
          </cell>
          <cell r="I332">
            <v>2852.2576326590729</v>
          </cell>
          <cell r="J332">
            <v>2589.7968662123039</v>
          </cell>
          <cell r="K332">
            <v>2759.7044112245512</v>
          </cell>
          <cell r="L332">
            <v>2588.2410899040719</v>
          </cell>
          <cell r="M332">
            <v>10790</v>
          </cell>
          <cell r="N332">
            <v>3107.5877530068228</v>
          </cell>
          <cell r="O332">
            <v>3162.3669659800403</v>
          </cell>
          <cell r="P332">
            <v>3195.6181317255773</v>
          </cell>
          <cell r="Q332">
            <v>3289.42714928756</v>
          </cell>
          <cell r="R332">
            <v>12755</v>
          </cell>
          <cell r="S332">
            <v>3611.0756299314799</v>
          </cell>
          <cell r="T332">
            <v>3912.2465189733057</v>
          </cell>
          <cell r="U332">
            <v>3932.3477667126967</v>
          </cell>
          <cell r="V332">
            <v>4408.3300843825155</v>
          </cell>
          <cell r="W332">
            <v>15864</v>
          </cell>
          <cell r="X332">
            <v>5191.9631846459824</v>
          </cell>
          <cell r="Y332">
            <v>4015.8525785885627</v>
          </cell>
          <cell r="Z332">
            <v>5901.1910095632857</v>
          </cell>
          <cell r="AA332">
            <v>6422.9932272021706</v>
          </cell>
          <cell r="AB332">
            <v>21532</v>
          </cell>
          <cell r="AC332">
            <v>6803.763381809139</v>
          </cell>
          <cell r="AD332">
            <v>6646.1100771952797</v>
          </cell>
          <cell r="AE332">
            <v>7666.2733836823008</v>
          </cell>
          <cell r="AF332">
            <v>7799.8531573132777</v>
          </cell>
          <cell r="AG332">
            <v>28916</v>
          </cell>
          <cell r="AH332">
            <v>6998.2630949999993</v>
          </cell>
          <cell r="AI332">
            <v>7433.2344050000002</v>
          </cell>
          <cell r="AJ332">
            <v>6992</v>
          </cell>
          <cell r="AK332">
            <v>6600</v>
          </cell>
          <cell r="AL332">
            <v>28023.497499999998</v>
          </cell>
          <cell r="AM332">
            <v>7777</v>
          </cell>
          <cell r="AN332">
            <v>8097</v>
          </cell>
          <cell r="AO332">
            <v>8849</v>
          </cell>
          <cell r="AP332">
            <v>10988</v>
          </cell>
          <cell r="AQ332">
            <v>35711</v>
          </cell>
          <cell r="AR332">
            <v>11653</v>
          </cell>
          <cell r="AS332">
            <v>10593.308872655982</v>
          </cell>
          <cell r="AT332">
            <v>10216.312900077792</v>
          </cell>
          <cell r="AU332">
            <v>12128.206686594078</v>
          </cell>
          <cell r="AV332">
            <v>44590.828459327851</v>
          </cell>
          <cell r="AW332">
            <v>48158.09473607409</v>
          </cell>
          <cell r="AX332">
            <v>51047.580420238541</v>
          </cell>
          <cell r="AY332">
            <v>53089.483637048084</v>
          </cell>
          <cell r="AZ332">
            <v>54682.168146159529</v>
          </cell>
          <cell r="BA332">
            <v>56322.633190544315</v>
          </cell>
          <cell r="BK332">
            <v>32070.29882514571</v>
          </cell>
          <cell r="BL332">
            <v>12520.529634182141</v>
          </cell>
        </row>
        <row r="333">
          <cell r="A333" t="str">
            <v>Mass Market Casino Revenue</v>
          </cell>
          <cell r="C333">
            <v>6174.5643730000011</v>
          </cell>
          <cell r="D333">
            <v>6498.5430679999972</v>
          </cell>
          <cell r="E333">
            <v>5937.3432010000015</v>
          </cell>
          <cell r="F333">
            <v>5441.6172930000012</v>
          </cell>
          <cell r="G333">
            <v>5319.2184450000004</v>
          </cell>
          <cell r="H333">
            <v>4433.8975410000003</v>
          </cell>
          <cell r="I333">
            <v>1344.9756102844635</v>
          </cell>
          <cell r="J333">
            <v>1221.2128318154037</v>
          </cell>
          <cell r="K333">
            <v>1301.3323488702986</v>
          </cell>
          <cell r="L333">
            <v>1220.4792090298356</v>
          </cell>
          <cell r="M333">
            <v>5088.0000000000018</v>
          </cell>
          <cell r="N333">
            <v>1304.1879452642515</v>
          </cell>
          <cell r="O333">
            <v>1327.177606341917</v>
          </cell>
          <cell r="P333">
            <v>1341.1324076148189</v>
          </cell>
          <cell r="Q333">
            <v>1380.502040779013</v>
          </cell>
          <cell r="R333">
            <v>5353</v>
          </cell>
          <cell r="S333">
            <v>1293.6045641011469</v>
          </cell>
          <cell r="T333">
            <v>1401.493757395695</v>
          </cell>
          <cell r="U333">
            <v>1408.6946771449989</v>
          </cell>
          <cell r="V333">
            <v>1579.2070013581588</v>
          </cell>
          <cell r="W333">
            <v>5682.9999999999991</v>
          </cell>
          <cell r="X333">
            <v>1523.9275184359367</v>
          </cell>
          <cell r="Y333">
            <v>1178.7195010533028</v>
          </cell>
          <cell r="Z333">
            <v>1732.0976769663739</v>
          </cell>
          <cell r="AA333">
            <v>1885.2553035443852</v>
          </cell>
          <cell r="AB333">
            <v>6319.9999999999982</v>
          </cell>
          <cell r="AC333">
            <v>2244.1976181908603</v>
          </cell>
          <cell r="AD333">
            <v>2708.7839228047205</v>
          </cell>
          <cell r="AE333">
            <v>3241.2966163176989</v>
          </cell>
          <cell r="AF333">
            <v>3075.721842686723</v>
          </cell>
          <cell r="AG333">
            <v>11270.000000000004</v>
          </cell>
          <cell r="AH333">
            <v>3601.7759050000013</v>
          </cell>
          <cell r="AI333">
            <v>3907.1945949999999</v>
          </cell>
          <cell r="AJ333">
            <v>4403.7989999999991</v>
          </cell>
          <cell r="AK333">
            <v>4788.353000000001</v>
          </cell>
          <cell r="AL333">
            <v>16701.122500000001</v>
          </cell>
          <cell r="AM333">
            <v>4574.5570000000007</v>
          </cell>
          <cell r="AN333">
            <v>4562.857</v>
          </cell>
          <cell r="AO333">
            <v>4700</v>
          </cell>
          <cell r="AP333">
            <v>5448.8100000000013</v>
          </cell>
          <cell r="AQ333">
            <v>19286.224000000002</v>
          </cell>
          <cell r="AR333">
            <v>6225</v>
          </cell>
          <cell r="AS333">
            <v>5367.8116106251218</v>
          </cell>
          <cell r="AT333">
            <v>6662.8652854290667</v>
          </cell>
          <cell r="AU333">
            <v>7208.3177485638644</v>
          </cell>
          <cell r="AV333">
            <v>25463.994644618055</v>
          </cell>
          <cell r="AW333">
            <v>32063.099034146937</v>
          </cell>
          <cell r="AX333">
            <v>41395.499689995057</v>
          </cell>
          <cell r="AY333">
            <v>50952.228702386354</v>
          </cell>
          <cell r="AZ333">
            <v>58272.058261516839</v>
          </cell>
          <cell r="BA333">
            <v>65656.468437627482</v>
          </cell>
          <cell r="BK333">
            <v>31467.764822992551</v>
          </cell>
          <cell r="BL333">
            <v>-6003.770178374496</v>
          </cell>
        </row>
        <row r="334">
          <cell r="BL334">
            <v>0</v>
          </cell>
        </row>
        <row r="335">
          <cell r="A335" t="str">
            <v>Revenue from Gambling tax</v>
          </cell>
          <cell r="I335">
            <v>1492.608892</v>
          </cell>
          <cell r="J335">
            <v>1355.261105</v>
          </cell>
          <cell r="K335">
            <v>1444.175062</v>
          </cell>
          <cell r="L335">
            <v>1354.4469549999999</v>
          </cell>
          <cell r="M335">
            <v>5646.4920139999995</v>
          </cell>
          <cell r="N335">
            <v>1533.1738740000001</v>
          </cell>
          <cell r="O335">
            <v>1560.2</v>
          </cell>
          <cell r="P335">
            <v>1576.604949</v>
          </cell>
          <cell r="Q335">
            <v>1622.8870000000004</v>
          </cell>
          <cell r="R335">
            <v>6292.8658230000001</v>
          </cell>
          <cell r="S335">
            <v>1767.721804</v>
          </cell>
          <cell r="T335">
            <v>1915.1533179999999</v>
          </cell>
          <cell r="U335">
            <v>1924.9934370000001</v>
          </cell>
          <cell r="V335">
            <v>2158</v>
          </cell>
          <cell r="W335">
            <v>7765.8685590000005</v>
          </cell>
          <cell r="X335">
            <v>2426.825707</v>
          </cell>
          <cell r="Y335">
            <v>2340.5494319999989</v>
          </cell>
          <cell r="Z335">
            <v>2732.1434330000011</v>
          </cell>
          <cell r="AA335">
            <v>3079.5</v>
          </cell>
          <cell r="AB335">
            <v>10579.018572000001</v>
          </cell>
          <cell r="AC335">
            <v>3201.9846640000001</v>
          </cell>
          <cell r="AD335">
            <v>3578.3964689999993</v>
          </cell>
          <cell r="AE335">
            <v>4232.7332830000005</v>
          </cell>
          <cell r="AF335">
            <v>4223.498047</v>
          </cell>
          <cell r="AG335">
            <v>15236.612463000001</v>
          </cell>
          <cell r="AH335">
            <v>3993.3477599999992</v>
          </cell>
          <cell r="AI335">
            <v>4524.8817639999997</v>
          </cell>
          <cell r="AJ335">
            <v>4553.4152329999997</v>
          </cell>
          <cell r="AK335">
            <v>4246.9194479999996</v>
          </cell>
          <cell r="AL335">
            <v>17318.564204999999</v>
          </cell>
          <cell r="AM335">
            <v>4614.3039269999999</v>
          </cell>
          <cell r="AN335">
            <v>5161.5482480000001</v>
          </cell>
          <cell r="AO335">
            <v>5082.3907549999994</v>
          </cell>
          <cell r="AP335">
            <v>3999.9357239999999</v>
          </cell>
          <cell r="AQ335">
            <v>18858.178653999999</v>
          </cell>
          <cell r="BL335">
            <v>0</v>
          </cell>
        </row>
        <row r="336">
          <cell r="A336" t="str">
            <v xml:space="preserve">  Effective Tax Rate on Total Gaming Revenues</v>
          </cell>
          <cell r="I336">
            <v>0.32954256005532628</v>
          </cell>
          <cell r="J336">
            <v>0.32954256005532628</v>
          </cell>
          <cell r="K336">
            <v>0.32954256005532628</v>
          </cell>
          <cell r="L336">
            <v>0.32954256005532628</v>
          </cell>
          <cell r="M336">
            <v>0.32954256005532628</v>
          </cell>
          <cell r="N336">
            <v>0.32203759640096252</v>
          </cell>
          <cell r="O336">
            <v>0.32203759640096252</v>
          </cell>
          <cell r="P336">
            <v>0.32203759640096252</v>
          </cell>
          <cell r="Q336">
            <v>0.32203759640096252</v>
          </cell>
          <cell r="R336">
            <v>0.32203759640096252</v>
          </cell>
          <cell r="S336">
            <v>0.33997265546559075</v>
          </cell>
          <cell r="T336">
            <v>0.33997265546559075</v>
          </cell>
          <cell r="U336">
            <v>0.33997265546559075</v>
          </cell>
          <cell r="V336">
            <v>0.33997265546559075</v>
          </cell>
          <cell r="W336">
            <v>0.33997265546559075</v>
          </cell>
          <cell r="X336">
            <v>0.34144830161941409</v>
          </cell>
          <cell r="Y336">
            <v>0.42575330768135133</v>
          </cell>
          <cell r="Z336">
            <v>0.33820638134208908</v>
          </cell>
          <cell r="AA336">
            <v>0.35023594723043489</v>
          </cell>
          <cell r="AB336">
            <v>0.35890456547925637</v>
          </cell>
          <cell r="AC336">
            <v>0.32646792376111611</v>
          </cell>
          <cell r="AD336">
            <v>0.36092366745365795</v>
          </cell>
          <cell r="AE336">
            <v>0.3742146154824102</v>
          </cell>
          <cell r="AF336">
            <v>0.37468437003449828</v>
          </cell>
          <cell r="AG336">
            <v>0.36015558358176358</v>
          </cell>
          <cell r="AH336">
            <v>0.36457675712884963</v>
          </cell>
          <cell r="AI336">
            <v>0.38941739518309504</v>
          </cell>
          <cell r="AJ336">
            <v>0.39238726383831773</v>
          </cell>
          <cell r="AK336">
            <v>0.36538738060373077</v>
          </cell>
          <cell r="AL336">
            <v>0.37813087436913828</v>
          </cell>
          <cell r="AM336">
            <v>0.36653118141645674</v>
          </cell>
          <cell r="AN336">
            <v>0.40011859244532927</v>
          </cell>
          <cell r="AO336">
            <v>0.36928660686214287</v>
          </cell>
          <cell r="AP336">
            <v>0.24049774959633302</v>
          </cell>
          <cell r="AQ336">
            <v>0.33745343626001062</v>
          </cell>
          <cell r="BL336">
            <v>0</v>
          </cell>
        </row>
        <row r="337">
          <cell r="BL337">
            <v>0</v>
          </cell>
        </row>
        <row r="338">
          <cell r="A338" t="str">
            <v>Direct revenue from gambling, DSF</v>
          </cell>
          <cell r="W338">
            <v>7639.4</v>
          </cell>
          <cell r="AB338">
            <v>10178.4</v>
          </cell>
          <cell r="AG338">
            <v>14740</v>
          </cell>
          <cell r="AL338">
            <v>16561.900000000001</v>
          </cell>
          <cell r="BL338">
            <v>0</v>
          </cell>
        </row>
        <row r="339">
          <cell r="A339" t="str">
            <v xml:space="preserve">  Effective Tax Rate on Total Gaming Revenues</v>
          </cell>
          <cell r="W339">
            <v>0.33443613994134735</v>
          </cell>
          <cell r="AB339">
            <v>0.34531315021440939</v>
          </cell>
          <cell r="AG339">
            <v>0.34841690138714365</v>
          </cell>
          <cell r="AL339">
            <v>0.36160998418137819</v>
          </cell>
          <cell r="BL339">
            <v>0</v>
          </cell>
        </row>
        <row r="340">
          <cell r="A340" t="str">
            <v xml:space="preserve">  Share of total revenues from gambling tax</v>
          </cell>
          <cell r="W340">
            <v>0.98371482107388564</v>
          </cell>
          <cell r="AB340">
            <v>0.96213083763173102</v>
          </cell>
          <cell r="AG340">
            <v>0.9674066355493417</v>
          </cell>
          <cell r="AL340">
            <v>0.95630906834750529</v>
          </cell>
          <cell r="BL340">
            <v>0</v>
          </cell>
        </row>
        <row r="341">
          <cell r="BL341">
            <v>0</v>
          </cell>
        </row>
        <row r="342">
          <cell r="A342" t="str">
            <v>Non-Gaming Spend</v>
          </cell>
          <cell r="BL342">
            <v>0</v>
          </cell>
        </row>
        <row r="343">
          <cell r="A343" t="str">
            <v>Per visitor, excl. airfare</v>
          </cell>
          <cell r="AC343">
            <v>1497</v>
          </cell>
          <cell r="AD343">
            <v>1517</v>
          </cell>
          <cell r="AE343">
            <v>1497</v>
          </cell>
          <cell r="AF343">
            <v>1590</v>
          </cell>
          <cell r="AG343">
            <v>1526.7816351014208</v>
          </cell>
          <cell r="AH343">
            <v>1490</v>
          </cell>
          <cell r="AI343">
            <v>1334</v>
          </cell>
          <cell r="AJ343">
            <v>1419</v>
          </cell>
          <cell r="AK343">
            <v>1574</v>
          </cell>
          <cell r="AL343">
            <v>1456.5180065807692</v>
          </cell>
          <cell r="AM343">
            <v>1562</v>
          </cell>
          <cell r="AN343">
            <v>1468</v>
          </cell>
          <cell r="AO343">
            <v>1430</v>
          </cell>
          <cell r="AP343">
            <v>1670</v>
          </cell>
          <cell r="AQ343">
            <v>1537.0058004042342</v>
          </cell>
          <cell r="BL343">
            <v>0</v>
          </cell>
        </row>
        <row r="344">
          <cell r="A344" t="str">
            <v xml:space="preserve">  in USD</v>
          </cell>
          <cell r="AC344">
            <v>187.41024173453133</v>
          </cell>
          <cell r="AD344">
            <v>188.93683170411239</v>
          </cell>
          <cell r="AE344">
            <v>186.34643027994957</v>
          </cell>
          <cell r="AF344">
            <v>198.38497165215998</v>
          </cell>
          <cell r="AG344">
            <v>190.44128015495355</v>
          </cell>
          <cell r="AH344">
            <v>185.52555264041541</v>
          </cell>
          <cell r="AI344">
            <v>166.27611307772841</v>
          </cell>
          <cell r="AJ344">
            <v>177.30752084927681</v>
          </cell>
          <cell r="AK344">
            <v>197.05385550570654</v>
          </cell>
          <cell r="AL344">
            <v>181.84174538080632</v>
          </cell>
          <cell r="AM344">
            <v>195.4801934420791</v>
          </cell>
          <cell r="AN344">
            <v>183.7111961133443</v>
          </cell>
          <cell r="AO344">
            <v>178.51865795009786</v>
          </cell>
          <cell r="AP344">
            <v>208.37573763997312</v>
          </cell>
          <cell r="AQ344">
            <v>192.06893866808741</v>
          </cell>
          <cell r="BL344">
            <v>0</v>
          </cell>
        </row>
        <row r="345">
          <cell r="BL345">
            <v>0</v>
          </cell>
        </row>
        <row r="346">
          <cell r="A346" t="str">
            <v>Total (mm)</v>
          </cell>
          <cell r="AC346">
            <v>5615.9161590000003</v>
          </cell>
          <cell r="AD346">
            <v>6042.8769630000006</v>
          </cell>
          <cell r="AE346">
            <v>6669.474819</v>
          </cell>
          <cell r="AF346">
            <v>7127.0843699999996</v>
          </cell>
          <cell r="AG346">
            <v>25455.352311000002</v>
          </cell>
          <cell r="AH346">
            <v>6640.9627800000007</v>
          </cell>
          <cell r="AI346">
            <v>5958.0455339999999</v>
          </cell>
          <cell r="AJ346">
            <v>6883.756308</v>
          </cell>
          <cell r="AK346">
            <v>7770.4161679999997</v>
          </cell>
          <cell r="AL346">
            <v>27253.180790000002</v>
          </cell>
          <cell r="AM346">
            <v>8197.4041159999997</v>
          </cell>
          <cell r="AN346">
            <v>7596.110216</v>
          </cell>
          <cell r="AO346">
            <v>7826.8390200000003</v>
          </cell>
          <cell r="AP346">
            <v>10190.88776</v>
          </cell>
          <cell r="AQ346">
            <v>33811.241111999996</v>
          </cell>
          <cell r="BL346">
            <v>0</v>
          </cell>
        </row>
        <row r="347">
          <cell r="A347" t="str">
            <v xml:space="preserve">  in USD (mm)</v>
          </cell>
          <cell r="AC347">
            <v>703.05958912428241</v>
          </cell>
          <cell r="AD347">
            <v>752.61834394659775</v>
          </cell>
          <cell r="AE347">
            <v>830.21564753684891</v>
          </cell>
          <cell r="AF347">
            <v>889.24932748742287</v>
          </cell>
          <cell r="AG347">
            <v>3175.1429080951516</v>
          </cell>
          <cell r="AH347">
            <v>826.89146968048965</v>
          </cell>
          <cell r="AI347">
            <v>742.6391701151714</v>
          </cell>
          <cell r="AJ347">
            <v>860.14218823259387</v>
          </cell>
          <cell r="AK347">
            <v>972.80207419839769</v>
          </cell>
          <cell r="AL347">
            <v>3402.4749022266528</v>
          </cell>
          <cell r="AM347">
            <v>1025.8835738275131</v>
          </cell>
          <cell r="AN347">
            <v>950.60660326304776</v>
          </cell>
          <cell r="AO347">
            <v>977.08866981948199</v>
          </cell>
          <cell r="AP347">
            <v>1271.5770983210618</v>
          </cell>
          <cell r="AQ347">
            <v>4225.1559452311049</v>
          </cell>
          <cell r="BL347">
            <v>0</v>
          </cell>
        </row>
        <row r="348">
          <cell r="BL348">
            <v>0</v>
          </cell>
        </row>
        <row r="349">
          <cell r="A349" t="str">
            <v>Share of Gaming + Non-gaming</v>
          </cell>
          <cell r="AC349">
            <v>0.38297621414219329</v>
          </cell>
          <cell r="AD349">
            <v>0.39245141244928911</v>
          </cell>
          <cell r="AE349">
            <v>0.3794423287690884</v>
          </cell>
          <cell r="AF349">
            <v>0.39589064168356808</v>
          </cell>
          <cell r="AG349">
            <v>0.38779407416959683</v>
          </cell>
          <cell r="AH349">
            <v>0.38518427552763701</v>
          </cell>
          <cell r="AI349">
            <v>0.34442606614181576</v>
          </cell>
          <cell r="AJ349">
            <v>0.37658226319036009</v>
          </cell>
          <cell r="AK349">
            <v>0.40558013408181581</v>
          </cell>
          <cell r="AL349">
            <v>0.37866171308818292</v>
          </cell>
          <cell r="AM349">
            <v>0.398920610619934</v>
          </cell>
          <cell r="AN349">
            <v>0.37500604809430693</v>
          </cell>
          <cell r="AO349">
            <v>0.36615353496426167</v>
          </cell>
          <cell r="AP349">
            <v>0.38271756919626382</v>
          </cell>
          <cell r="AQ349">
            <v>0.38072785779817048</v>
          </cell>
          <cell r="BL349">
            <v>0</v>
          </cell>
        </row>
        <row r="350">
          <cell r="BL350">
            <v>0</v>
          </cell>
        </row>
        <row r="351">
          <cell r="A351" t="str">
            <v>Real Estate</v>
          </cell>
          <cell r="BL351">
            <v>0</v>
          </cell>
        </row>
        <row r="352">
          <cell r="A352" t="str">
            <v>Avg Residential Transaction Price / Sq Meter</v>
          </cell>
          <cell r="BL352">
            <v>0</v>
          </cell>
        </row>
        <row r="353">
          <cell r="A353" t="str">
            <v xml:space="preserve">  All Buildings</v>
          </cell>
          <cell r="AC353">
            <v>7343</v>
          </cell>
          <cell r="AD353">
            <v>7669</v>
          </cell>
          <cell r="AE353">
            <v>8016</v>
          </cell>
          <cell r="AF353">
            <v>8635</v>
          </cell>
          <cell r="AG353">
            <v>7984</v>
          </cell>
          <cell r="AH353">
            <v>9190</v>
          </cell>
          <cell r="AI353">
            <v>10072</v>
          </cell>
          <cell r="AJ353">
            <v>11159</v>
          </cell>
          <cell r="AK353">
            <v>10152</v>
          </cell>
          <cell r="AL353">
            <v>10024</v>
          </cell>
          <cell r="AM353">
            <v>9748</v>
          </cell>
          <cell r="AN353">
            <v>10008</v>
          </cell>
          <cell r="AO353">
            <v>11317</v>
          </cell>
          <cell r="AP353">
            <v>10967</v>
          </cell>
          <cell r="AQ353">
            <v>10578</v>
          </cell>
          <cell r="BL353">
            <v>0</v>
          </cell>
        </row>
        <row r="354">
          <cell r="A354" t="str">
            <v xml:space="preserve">    in USD / sq ft</v>
          </cell>
          <cell r="AC354">
            <v>85.403363283978408</v>
          </cell>
          <cell r="AD354">
            <v>88.735971963894414</v>
          </cell>
          <cell r="AE354">
            <v>92.701531948631725</v>
          </cell>
          <cell r="AF354">
            <v>100.0930475924301</v>
          </cell>
          <cell r="AG354">
            <v>92.529459325720239</v>
          </cell>
          <cell r="AH354">
            <v>106.307254517441</v>
          </cell>
          <cell r="AI354">
            <v>116.63252466470578</v>
          </cell>
          <cell r="AJ354">
            <v>129.53882843125695</v>
          </cell>
          <cell r="AK354">
            <v>118.07603007590829</v>
          </cell>
          <cell r="AL354">
            <v>116.24495730260799</v>
          </cell>
          <cell r="AM354">
            <v>113.33581615843281</v>
          </cell>
          <cell r="AN354">
            <v>116.35546637497735</v>
          </cell>
          <cell r="AO354">
            <v>131.25287256752264</v>
          </cell>
          <cell r="AP354">
            <v>127.13011735078969</v>
          </cell>
          <cell r="AQ354">
            <v>122.81756181632998</v>
          </cell>
          <cell r="BL354">
            <v>0</v>
          </cell>
        </row>
        <row r="355">
          <cell r="A355" t="str">
            <v xml:space="preserve">  Built 2000 and after</v>
          </cell>
          <cell r="S355">
            <v>7188</v>
          </cell>
          <cell r="T355">
            <v>8330</v>
          </cell>
          <cell r="U355">
            <v>7792</v>
          </cell>
          <cell r="V355">
            <v>7574</v>
          </cell>
          <cell r="W355">
            <v>7721</v>
          </cell>
          <cell r="X355">
            <v>7175</v>
          </cell>
          <cell r="Y355">
            <v>8014</v>
          </cell>
          <cell r="Z355">
            <v>8388</v>
          </cell>
          <cell r="AA355">
            <v>9157</v>
          </cell>
          <cell r="AB355">
            <v>8183.5</v>
          </cell>
          <cell r="AC355">
            <v>12008</v>
          </cell>
          <cell r="AD355">
            <v>12421</v>
          </cell>
          <cell r="AE355">
            <v>13950</v>
          </cell>
          <cell r="AF355">
            <v>15566</v>
          </cell>
          <cell r="AG355">
            <v>13564</v>
          </cell>
          <cell r="AH355">
            <v>16108</v>
          </cell>
          <cell r="AI355">
            <v>16267</v>
          </cell>
          <cell r="AJ355">
            <v>16960</v>
          </cell>
          <cell r="AK355">
            <v>15269</v>
          </cell>
          <cell r="AL355">
            <v>16280</v>
          </cell>
          <cell r="AM355">
            <v>15877</v>
          </cell>
          <cell r="AN355">
            <v>16159</v>
          </cell>
          <cell r="AO355">
            <v>16945</v>
          </cell>
          <cell r="AP355">
            <v>16351</v>
          </cell>
          <cell r="AQ355">
            <v>16354</v>
          </cell>
          <cell r="BL355">
            <v>0</v>
          </cell>
        </row>
        <row r="356">
          <cell r="A356" t="str">
            <v xml:space="preserve">    in USD / sq ft</v>
          </cell>
          <cell r="S356">
            <v>82.996855335243893</v>
          </cell>
          <cell r="T356">
            <v>97.471443854602242</v>
          </cell>
          <cell r="U356">
            <v>90.461028218533187</v>
          </cell>
          <cell r="V356">
            <v>87.925191646268175</v>
          </cell>
          <cell r="W356">
            <v>89.692750512102705</v>
          </cell>
          <cell r="X356">
            <v>82.956885557515918</v>
          </cell>
          <cell r="Y356">
            <v>92.928839232741339</v>
          </cell>
          <cell r="Z356">
            <v>96.954382974234292</v>
          </cell>
          <cell r="AA356">
            <v>106.91875758623397</v>
          </cell>
          <cell r="AB356">
            <v>94.913055454556599</v>
          </cell>
          <cell r="AC356">
            <v>139.66002809669246</v>
          </cell>
          <cell r="AD356">
            <v>143.72010793630622</v>
          </cell>
          <cell r="AE356">
            <v>161.32564504533588</v>
          </cell>
          <cell r="AF356">
            <v>180.4340913519128</v>
          </cell>
          <cell r="AG356">
            <v>157.19809447571009</v>
          </cell>
          <cell r="AH356">
            <v>186.33267200946023</v>
          </cell>
          <cell r="AI356">
            <v>188.3698648451915</v>
          </cell>
          <cell r="AJ356">
            <v>196.87951699920401</v>
          </cell>
          <cell r="AK356">
            <v>177.59090851349922</v>
          </cell>
          <cell r="AL356">
            <v>188.79368564310235</v>
          </cell>
          <cell r="AM356">
            <v>184.59507110663088</v>
          </cell>
          <cell r="AN356">
            <v>187.86850331267578</v>
          </cell>
          <cell r="AO356">
            <v>196.52557441518695</v>
          </cell>
          <cell r="AP356">
            <v>189.54176609854676</v>
          </cell>
          <cell r="AQ356">
            <v>189.88073415997926</v>
          </cell>
          <cell r="BL356">
            <v>0</v>
          </cell>
        </row>
        <row r="357">
          <cell r="BL357">
            <v>0</v>
          </cell>
        </row>
        <row r="358">
          <cell r="A358" t="str">
            <v>conversion rate</v>
          </cell>
          <cell r="S358">
            <v>10.763910416709701</v>
          </cell>
          <cell r="T358">
            <v>10.763910416709701</v>
          </cell>
          <cell r="U358">
            <v>10.763910416709701</v>
          </cell>
          <cell r="V358">
            <v>10.763910416709701</v>
          </cell>
          <cell r="W358">
            <v>10.763910416709701</v>
          </cell>
          <cell r="X358">
            <v>10.763910416709701</v>
          </cell>
          <cell r="Y358">
            <v>10.763910416709701</v>
          </cell>
          <cell r="Z358">
            <v>10.763910416709701</v>
          </cell>
          <cell r="AA358">
            <v>10.763910416709701</v>
          </cell>
          <cell r="AB358">
            <v>10.763910416709701</v>
          </cell>
          <cell r="AC358">
            <v>10.763910416709701</v>
          </cell>
          <cell r="AD358">
            <v>10.763910416709701</v>
          </cell>
          <cell r="AE358">
            <v>10.763910416709701</v>
          </cell>
          <cell r="AF358">
            <v>10.763910416709701</v>
          </cell>
          <cell r="AG358">
            <v>10.763910416709701</v>
          </cell>
          <cell r="AH358">
            <v>10.763910416709701</v>
          </cell>
          <cell r="AI358">
            <v>10.763910416709701</v>
          </cell>
          <cell r="AJ358">
            <v>10.763910416709701</v>
          </cell>
          <cell r="AK358">
            <v>10.763910416709701</v>
          </cell>
          <cell r="AL358">
            <v>10.763910416709701</v>
          </cell>
          <cell r="AM358">
            <v>10.763910416709701</v>
          </cell>
          <cell r="AN358">
            <v>10.763910416709701</v>
          </cell>
          <cell r="AO358">
            <v>10.763910416709701</v>
          </cell>
          <cell r="AP358">
            <v>10.763910416709701</v>
          </cell>
          <cell r="AQ358">
            <v>10.763910416709701</v>
          </cell>
          <cell r="BL358">
            <v>0</v>
          </cell>
        </row>
        <row r="359">
          <cell r="BL359">
            <v>0</v>
          </cell>
        </row>
        <row r="360">
          <cell r="A360" t="str">
            <v>Hotel Stats</v>
          </cell>
          <cell r="BL360">
            <v>0</v>
          </cell>
        </row>
        <row r="361">
          <cell r="A361" t="str">
            <v>Hotels</v>
          </cell>
          <cell r="H361">
            <v>74</v>
          </cell>
          <cell r="I361">
            <v>74</v>
          </cell>
          <cell r="J361">
            <v>72</v>
          </cell>
          <cell r="K361">
            <v>72</v>
          </cell>
          <cell r="L361">
            <v>71.666666666666671</v>
          </cell>
          <cell r="M361">
            <v>72.416666666666671</v>
          </cell>
          <cell r="N361">
            <v>71</v>
          </cell>
          <cell r="O361">
            <v>70</v>
          </cell>
          <cell r="P361">
            <v>70.333333333333329</v>
          </cell>
          <cell r="Q361">
            <v>70</v>
          </cell>
          <cell r="R361">
            <v>70.333333333333329</v>
          </cell>
          <cell r="S361">
            <v>69</v>
          </cell>
          <cell r="T361">
            <v>68.333333333333329</v>
          </cell>
          <cell r="U361">
            <v>67</v>
          </cell>
          <cell r="V361">
            <v>68</v>
          </cell>
          <cell r="W361">
            <v>68.083333333333329</v>
          </cell>
          <cell r="X361">
            <v>67.666666666666671</v>
          </cell>
          <cell r="Y361">
            <v>67</v>
          </cell>
          <cell r="Z361">
            <v>68.333333333333329</v>
          </cell>
          <cell r="AA361">
            <v>69.333333333333329</v>
          </cell>
          <cell r="AB361">
            <v>68.083333333333329</v>
          </cell>
          <cell r="AC361">
            <v>70</v>
          </cell>
          <cell r="AD361">
            <v>70</v>
          </cell>
          <cell r="AE361">
            <v>71.333333333333329</v>
          </cell>
          <cell r="AF361">
            <v>68.666666666666671</v>
          </cell>
          <cell r="AG361">
            <v>70</v>
          </cell>
          <cell r="AH361">
            <v>73.666666666666671</v>
          </cell>
          <cell r="AI361">
            <v>74.333333333333329</v>
          </cell>
          <cell r="AJ361">
            <v>73</v>
          </cell>
          <cell r="AK361">
            <v>74.333333333333329</v>
          </cell>
          <cell r="AL361">
            <v>73.833333333333329</v>
          </cell>
          <cell r="AM361">
            <v>76.666666666666671</v>
          </cell>
          <cell r="AN361">
            <v>77.333333333333329</v>
          </cell>
          <cell r="AO361">
            <v>78.333333333333329</v>
          </cell>
          <cell r="AP361">
            <v>79.666666666666671</v>
          </cell>
          <cell r="AQ361">
            <v>78</v>
          </cell>
          <cell r="BL361">
            <v>0</v>
          </cell>
        </row>
        <row r="362">
          <cell r="A362" t="str">
            <v>Average Rooms</v>
          </cell>
          <cell r="H362">
            <v>9431</v>
          </cell>
          <cell r="I362">
            <v>9432</v>
          </cell>
          <cell r="J362">
            <v>9272</v>
          </cell>
          <cell r="K362">
            <v>9299.6666666666661</v>
          </cell>
          <cell r="L362">
            <v>9235.3333333333339</v>
          </cell>
          <cell r="M362">
            <v>9309.75</v>
          </cell>
          <cell r="N362">
            <v>9176.6666666666661</v>
          </cell>
          <cell r="O362">
            <v>8981.3333333333339</v>
          </cell>
          <cell r="P362">
            <v>9017.6666666666661</v>
          </cell>
          <cell r="Q362">
            <v>9020.3333333333339</v>
          </cell>
          <cell r="R362">
            <v>9049</v>
          </cell>
          <cell r="S362">
            <v>8968</v>
          </cell>
          <cell r="T362">
            <v>8906.3333333333339</v>
          </cell>
          <cell r="U362">
            <v>8798.6666666666661</v>
          </cell>
          <cell r="V362">
            <v>8942.6666666666661</v>
          </cell>
          <cell r="W362">
            <v>8903.9166666666661</v>
          </cell>
          <cell r="X362">
            <v>8944.3333333333339</v>
          </cell>
          <cell r="Y362">
            <v>8922.6666666666661</v>
          </cell>
          <cell r="Z362">
            <v>8858.3333333333339</v>
          </cell>
          <cell r="AA362">
            <v>9087.3333333333339</v>
          </cell>
          <cell r="AB362">
            <v>8953.1666666666679</v>
          </cell>
          <cell r="AC362">
            <v>9232.3333333333339</v>
          </cell>
          <cell r="AD362">
            <v>9310.3333333333339</v>
          </cell>
          <cell r="AE362">
            <v>9253.6666666666661</v>
          </cell>
          <cell r="AF362">
            <v>9133.6666666666661</v>
          </cell>
          <cell r="AG362">
            <v>9232.5</v>
          </cell>
          <cell r="AH362">
            <v>10222.333333333334</v>
          </cell>
          <cell r="AI362">
            <v>10553.666666666666</v>
          </cell>
          <cell r="AJ362">
            <v>10596.666666666666</v>
          </cell>
          <cell r="AK362">
            <v>10766.666666666666</v>
          </cell>
          <cell r="AL362">
            <v>10534.833333333332</v>
          </cell>
          <cell r="AM362">
            <v>11117.666666666666</v>
          </cell>
          <cell r="AN362">
            <v>11465.333333333334</v>
          </cell>
          <cell r="AO362">
            <v>11998</v>
          </cell>
          <cell r="AP362">
            <v>12696.666666666666</v>
          </cell>
          <cell r="AQ362">
            <v>11819.416666666666</v>
          </cell>
          <cell r="AR362">
            <v>12954.152173913044</v>
          </cell>
          <cell r="AS362">
            <v>13171.511148272017</v>
          </cell>
          <cell r="AT362">
            <v>17077.818840579712</v>
          </cell>
          <cell r="AU362">
            <v>17677.818840579712</v>
          </cell>
          <cell r="AV362">
            <v>15220.325250836122</v>
          </cell>
          <cell r="AW362">
            <v>21337.818840579712</v>
          </cell>
          <cell r="AX362">
            <v>33922.818840579712</v>
          </cell>
          <cell r="AY362">
            <v>48497.818840579712</v>
          </cell>
          <cell r="AZ362">
            <v>50497.818840579712</v>
          </cell>
          <cell r="BA362">
            <v>50497.818840579712</v>
          </cell>
          <cell r="BK362">
            <v>15295.333333333334</v>
          </cell>
          <cell r="BL362">
            <v>-75.008082497211944</v>
          </cell>
        </row>
        <row r="363">
          <cell r="A363" t="str">
            <v xml:space="preserve">  Year-over-Year growth</v>
          </cell>
          <cell r="M363">
            <v>-1.2856536952603137E-2</v>
          </cell>
          <cell r="N363">
            <v>-2.7070964093864891E-2</v>
          </cell>
          <cell r="O363">
            <v>-3.1348863963186591E-2</v>
          </cell>
          <cell r="P363">
            <v>-3.0323667514964736E-2</v>
          </cell>
          <cell r="Q363">
            <v>-2.3280155922904777E-2</v>
          </cell>
          <cell r="R363">
            <v>-2.8008270898788878E-2</v>
          </cell>
          <cell r="S363">
            <v>-2.2738830366872409E-2</v>
          </cell>
          <cell r="T363">
            <v>-8.3506532066508488E-3</v>
          </cell>
          <cell r="U363">
            <v>-2.4285661479318321E-2</v>
          </cell>
          <cell r="V363">
            <v>-8.6101770075016626E-3</v>
          </cell>
          <cell r="W363">
            <v>-1.6033079161601682E-2</v>
          </cell>
          <cell r="X363">
            <v>-2.6390127862027102E-3</v>
          </cell>
          <cell r="Y363">
            <v>1.8339009693475461E-3</v>
          </cell>
          <cell r="Z363">
            <v>6.7813305046220407E-3</v>
          </cell>
          <cell r="AA363">
            <v>1.6177128373341398E-2</v>
          </cell>
          <cell r="AB363">
            <v>5.5312736904173931E-3</v>
          </cell>
          <cell r="AC363">
            <v>3.2199157753512564E-2</v>
          </cell>
          <cell r="AD363">
            <v>4.3447399880454318E-2</v>
          </cell>
          <cell r="AE363">
            <v>4.4628410159924581E-2</v>
          </cell>
          <cell r="AF363">
            <v>5.0986721443766481E-3</v>
          </cell>
          <cell r="AG363">
            <v>3.1199389415290435E-2</v>
          </cell>
          <cell r="AH363">
            <v>0.10723183016211135</v>
          </cell>
          <cell r="AI363">
            <v>0.13354337474490685</v>
          </cell>
          <cell r="AJ363">
            <v>0.14513165952235152</v>
          </cell>
          <cell r="AK363">
            <v>0.17878909528849318</v>
          </cell>
          <cell r="AL363">
            <v>0.14105966242440648</v>
          </cell>
          <cell r="AM363">
            <v>8.758600449995102E-2</v>
          </cell>
          <cell r="AN363">
            <v>8.6383879220492288E-2</v>
          </cell>
          <cell r="AO363">
            <v>0.13224284366152883</v>
          </cell>
          <cell r="AP363">
            <v>0.17925696594427243</v>
          </cell>
          <cell r="AQ363">
            <v>0.12193674951351863</v>
          </cell>
          <cell r="AR363">
            <v>0.16518623577306801</v>
          </cell>
          <cell r="AS363">
            <v>0.14881188059123285</v>
          </cell>
          <cell r="AT363">
            <v>0.42338880151522851</v>
          </cell>
          <cell r="AU363">
            <v>0.39231967765132936</v>
          </cell>
          <cell r="AV363">
            <v>0.28773912284188774</v>
          </cell>
          <cell r="AW363">
            <v>0.40192922877305315</v>
          </cell>
          <cell r="AX363">
            <v>0.58979786519070876</v>
          </cell>
          <cell r="AY363">
            <v>0.42965179481384541</v>
          </cell>
          <cell r="AZ363">
            <v>4.1238968015743671E-2</v>
          </cell>
          <cell r="BA363">
            <v>0</v>
          </cell>
          <cell r="BK363">
            <v>0.29242566927957458</v>
          </cell>
          <cell r="BL363">
            <v>-4.6865464376868449E-3</v>
          </cell>
        </row>
        <row r="364">
          <cell r="BL364">
            <v>0</v>
          </cell>
        </row>
        <row r="365">
          <cell r="A365" t="str">
            <v>Room Nights Sold</v>
          </cell>
          <cell r="H365">
            <v>1848178.9234999998</v>
          </cell>
          <cell r="I365">
            <v>467672.83039999998</v>
          </cell>
          <cell r="J365">
            <v>479657.5613</v>
          </cell>
          <cell r="K365">
            <v>515678.75460000004</v>
          </cell>
          <cell r="L365">
            <v>498414.3897</v>
          </cell>
          <cell r="M365">
            <v>1961423.5360000001</v>
          </cell>
          <cell r="N365">
            <v>459250.26760000002</v>
          </cell>
          <cell r="O365">
            <v>486978.67590000003</v>
          </cell>
          <cell r="P365">
            <v>524873.24580000003</v>
          </cell>
          <cell r="Q365">
            <v>532337.94480000006</v>
          </cell>
          <cell r="R365">
            <v>2003440.1341000004</v>
          </cell>
          <cell r="S365">
            <v>500684.37060000002</v>
          </cell>
          <cell r="T365">
            <v>538486.87650000001</v>
          </cell>
          <cell r="U365">
            <v>563837.97100000002</v>
          </cell>
          <cell r="V365">
            <v>578860.32159999991</v>
          </cell>
          <cell r="W365">
            <v>2181869.5397000001</v>
          </cell>
          <cell r="X365">
            <v>523904.62679999997</v>
          </cell>
          <cell r="Y365">
            <v>341952.7304</v>
          </cell>
          <cell r="Z365">
            <v>596350.77789999999</v>
          </cell>
          <cell r="AA365">
            <v>638185.94559999998</v>
          </cell>
          <cell r="AB365">
            <v>2100394.0806999998</v>
          </cell>
          <cell r="AC365">
            <v>587098.42070000002</v>
          </cell>
          <cell r="AD365">
            <v>629569.19530000002</v>
          </cell>
          <cell r="AE365">
            <v>669807.25349999999</v>
          </cell>
          <cell r="AF365">
            <v>666723.15240000002</v>
          </cell>
          <cell r="AG365">
            <v>2553198.0219000001</v>
          </cell>
          <cell r="AH365">
            <v>604270.85899999994</v>
          </cell>
          <cell r="AI365">
            <v>645644.57120000001</v>
          </cell>
          <cell r="AJ365">
            <v>704562.37190000003</v>
          </cell>
          <cell r="AK365">
            <v>772233.05480000004</v>
          </cell>
          <cell r="AL365">
            <v>2726710.8569</v>
          </cell>
          <cell r="AM365">
            <v>706504.0597000001</v>
          </cell>
          <cell r="AN365">
            <v>733370.08649999998</v>
          </cell>
          <cell r="AO365">
            <v>788058.65720000002</v>
          </cell>
          <cell r="AP365">
            <v>892821.68259999994</v>
          </cell>
          <cell r="AQ365">
            <v>3120754.486</v>
          </cell>
          <cell r="AR365">
            <v>883652.77173913049</v>
          </cell>
          <cell r="AS365">
            <v>908305.88586956519</v>
          </cell>
          <cell r="AT365">
            <v>1206837.98</v>
          </cell>
          <cell r="AU365">
            <v>1252146.5079999999</v>
          </cell>
          <cell r="AV365">
            <v>4250943.1456086952</v>
          </cell>
          <cell r="AW365">
            <v>6081198.4488886949</v>
          </cell>
          <cell r="AX365">
            <v>9785324.0055454969</v>
          </cell>
          <cell r="AY365">
            <v>14076949.894565495</v>
          </cell>
          <cell r="AZ365">
            <v>15403585.464565495</v>
          </cell>
          <cell r="BA365">
            <v>15620317.828578006</v>
          </cell>
          <cell r="BK365">
            <v>3943029.911541895</v>
          </cell>
          <cell r="BL365">
            <v>307913.23406680021</v>
          </cell>
        </row>
        <row r="366">
          <cell r="A366" t="str">
            <v>Room Nights Available</v>
          </cell>
          <cell r="H366">
            <v>3442315</v>
          </cell>
          <cell r="I366">
            <v>858296</v>
          </cell>
          <cell r="J366">
            <v>843619</v>
          </cell>
          <cell r="K366">
            <v>855572</v>
          </cell>
          <cell r="L366">
            <v>849684</v>
          </cell>
          <cell r="M366">
            <v>3407171</v>
          </cell>
          <cell r="N366">
            <v>825896</v>
          </cell>
          <cell r="O366">
            <v>817413</v>
          </cell>
          <cell r="P366">
            <v>829627</v>
          </cell>
          <cell r="Q366">
            <v>829869</v>
          </cell>
          <cell r="R366">
            <v>3302805</v>
          </cell>
          <cell r="S366">
            <v>807045</v>
          </cell>
          <cell r="T366">
            <v>810525</v>
          </cell>
          <cell r="U366">
            <v>809468</v>
          </cell>
          <cell r="V366">
            <v>822740</v>
          </cell>
          <cell r="W366">
            <v>3249778</v>
          </cell>
          <cell r="X366">
            <v>804994</v>
          </cell>
          <cell r="Y366">
            <v>811957</v>
          </cell>
          <cell r="Z366">
            <v>814918</v>
          </cell>
          <cell r="AA366">
            <v>835944</v>
          </cell>
          <cell r="AB366">
            <v>3267813</v>
          </cell>
          <cell r="AC366">
            <v>840191</v>
          </cell>
          <cell r="AD366">
            <v>847243</v>
          </cell>
          <cell r="AE366">
            <v>851486</v>
          </cell>
          <cell r="AF366">
            <v>840276</v>
          </cell>
          <cell r="AG366">
            <v>3379196</v>
          </cell>
          <cell r="AH366">
            <v>920134</v>
          </cell>
          <cell r="AI366">
            <v>960284</v>
          </cell>
          <cell r="AJ366">
            <v>974811</v>
          </cell>
          <cell r="AK366">
            <v>990467</v>
          </cell>
          <cell r="AL366">
            <v>3845696</v>
          </cell>
          <cell r="AM366">
            <v>1000820</v>
          </cell>
          <cell r="AN366">
            <v>1043205</v>
          </cell>
          <cell r="AO366">
            <v>1103403</v>
          </cell>
          <cell r="AP366">
            <v>1168097</v>
          </cell>
          <cell r="AQ366">
            <v>4315525</v>
          </cell>
          <cell r="AR366">
            <v>1165873.6956521741</v>
          </cell>
          <cell r="AS366">
            <v>1198607.5144927534</v>
          </cell>
          <cell r="AT366">
            <v>1571159.3333333335</v>
          </cell>
          <cell r="AU366">
            <v>1626359.3333333335</v>
          </cell>
          <cell r="AV366">
            <v>5561999.8768115947</v>
          </cell>
          <cell r="AW366">
            <v>7788303.8768115947</v>
          </cell>
          <cell r="AX366">
            <v>12381828.876811596</v>
          </cell>
          <cell r="AY366">
            <v>17701703.876811594</v>
          </cell>
          <cell r="AZ366">
            <v>18431703.876811594</v>
          </cell>
          <cell r="BA366">
            <v>18482201.695652176</v>
          </cell>
          <cell r="BK366">
            <v>5582796.666666667</v>
          </cell>
          <cell r="BL366">
            <v>-20796.789855072275</v>
          </cell>
        </row>
        <row r="367">
          <cell r="A367" t="str">
            <v>Occupancy</v>
          </cell>
          <cell r="H367">
            <v>0.53689999999999993</v>
          </cell>
          <cell r="I367">
            <v>0.54488524984387665</v>
          </cell>
          <cell r="J367">
            <v>0.56857131157548613</v>
          </cell>
          <cell r="K367">
            <v>0.60272981654378599</v>
          </cell>
          <cell r="L367">
            <v>0.58658794292937144</v>
          </cell>
          <cell r="M367">
            <v>0.57567510876325256</v>
          </cell>
          <cell r="N367">
            <v>0.55606307283241474</v>
          </cell>
          <cell r="O367">
            <v>0.59575597146118309</v>
          </cell>
          <cell r="P367">
            <v>0.63266172123134856</v>
          </cell>
          <cell r="Q367">
            <v>0.64147226224862008</v>
          </cell>
          <cell r="R367">
            <v>0.60658747158854376</v>
          </cell>
          <cell r="S367">
            <v>0.62039213501105894</v>
          </cell>
          <cell r="T367">
            <v>0.66436800407143515</v>
          </cell>
          <cell r="U367">
            <v>0.69655375011736109</v>
          </cell>
          <cell r="V367">
            <v>0.70357624717407674</v>
          </cell>
          <cell r="W367">
            <v>0.67139033487825939</v>
          </cell>
          <cell r="X367">
            <v>0.65081805181156627</v>
          </cell>
          <cell r="Y367">
            <v>0.42114635430201353</v>
          </cell>
          <cell r="Z367">
            <v>0.73179237407935516</v>
          </cell>
          <cell r="AA367">
            <v>0.76343145665259871</v>
          </cell>
          <cell r="AB367">
            <v>0.64275222624428019</v>
          </cell>
          <cell r="AC367">
            <v>0.69876780482057055</v>
          </cell>
          <cell r="AD367">
            <v>0.7430798428550015</v>
          </cell>
          <cell r="AE367">
            <v>0.78663331340738429</v>
          </cell>
          <cell r="AF367">
            <v>0.79345733116261807</v>
          </cell>
          <cell r="AG367">
            <v>0.75556375596443648</v>
          </cell>
          <cell r="AH367">
            <v>0.65672049831872303</v>
          </cell>
          <cell r="AI367">
            <v>0.67234752552369925</v>
          </cell>
          <cell r="AJ367">
            <v>0.7227681795753228</v>
          </cell>
          <cell r="AK367">
            <v>0.77966560703183452</v>
          </cell>
          <cell r="AL367">
            <v>0.7090292256330194</v>
          </cell>
          <cell r="AM367">
            <v>0.70592520103515133</v>
          </cell>
          <cell r="AN367">
            <v>0.70299709692725776</v>
          </cell>
          <cell r="AO367">
            <v>0.71420746291246262</v>
          </cell>
          <cell r="AP367">
            <v>0.76433864875947799</v>
          </cell>
          <cell r="AQ367">
            <v>0.72314596393254582</v>
          </cell>
          <cell r="AR367">
            <v>0.75793181974555746</v>
          </cell>
          <cell r="AS367">
            <v>0.75780092723176118</v>
          </cell>
          <cell r="AT367">
            <v>0.76811940991344385</v>
          </cell>
          <cell r="AU367">
            <v>0.76990765960290031</v>
          </cell>
          <cell r="AV367">
            <v>0.7642832146277464</v>
          </cell>
          <cell r="AW367">
            <v>0.7808116561802978</v>
          </cell>
          <cell r="AX367">
            <v>0.79029714454148425</v>
          </cell>
          <cell r="AY367">
            <v>0.79523135131673073</v>
          </cell>
          <cell r="AZ367">
            <v>0.83571142242276963</v>
          </cell>
          <cell r="BA367">
            <v>0.84515460256299391</v>
          </cell>
          <cell r="BK367">
            <v>0.70628219993836328</v>
          </cell>
          <cell r="BL367">
            <v>5.8001014689383124E-2</v>
          </cell>
        </row>
        <row r="368">
          <cell r="A368" t="str">
            <v>Guests per Room</v>
          </cell>
          <cell r="I368">
            <v>1.7401874710231193</v>
          </cell>
          <cell r="J368">
            <v>1.7430326288072218</v>
          </cell>
          <cell r="K368">
            <v>1.769003419013454</v>
          </cell>
          <cell r="L368">
            <v>1.7790470840947847</v>
          </cell>
          <cell r="M368">
            <v>1.7587856901804808</v>
          </cell>
          <cell r="N368">
            <v>1.7915024219066271</v>
          </cell>
          <cell r="O368">
            <v>1.7910566789973894</v>
          </cell>
          <cell r="P368">
            <v>1.773399249148774</v>
          </cell>
          <cell r="Q368">
            <v>1.7848720021081863</v>
          </cell>
          <cell r="R368">
            <v>1.7850084170877942</v>
          </cell>
          <cell r="S368">
            <v>1.8256431669808546</v>
          </cell>
          <cell r="T368">
            <v>1.7870877428275944</v>
          </cell>
          <cell r="U368">
            <v>1.7545930407017587</v>
          </cell>
          <cell r="V368">
            <v>1.7408959681578566</v>
          </cell>
          <cell r="W368">
            <v>1.7772722697709271</v>
          </cell>
          <cell r="X368">
            <v>1.7280966681472341</v>
          </cell>
          <cell r="Y368">
            <v>1.7600973072973012</v>
          </cell>
          <cell r="Z368">
            <v>1.7678918444262612</v>
          </cell>
          <cell r="AA368">
            <v>1.7809878993779376</v>
          </cell>
          <cell r="AB368">
            <v>1.7700792409208013</v>
          </cell>
          <cell r="AC368">
            <v>1.8421253607027459</v>
          </cell>
          <cell r="AD368">
            <v>1.8246998718744334</v>
          </cell>
          <cell r="AE368">
            <v>1.8236745923803284</v>
          </cell>
          <cell r="AF368">
            <v>1.7954530537763875</v>
          </cell>
          <cell r="AG368">
            <v>1.8219416218794933</v>
          </cell>
          <cell r="AH368">
            <v>1.7764494249754976</v>
          </cell>
          <cell r="AI368">
            <v>1.7880625525191434</v>
          </cell>
          <cell r="AJ368">
            <v>1.799754288013518</v>
          </cell>
          <cell r="AK368">
            <v>1.7499732646771959</v>
          </cell>
          <cell r="AL368">
            <v>1.7771274235908885</v>
          </cell>
          <cell r="AM368">
            <v>1.7466270288533861</v>
          </cell>
          <cell r="AN368">
            <v>1.7226267109273483</v>
          </cell>
          <cell r="AO368">
            <v>1.7529682856878253</v>
          </cell>
          <cell r="AP368">
            <v>1.7979307976990209</v>
          </cell>
          <cell r="AQ368">
            <v>1.7548958768043246</v>
          </cell>
          <cell r="AR368">
            <v>1.7466270288533861</v>
          </cell>
          <cell r="AS368">
            <v>1.7226267109273483</v>
          </cell>
          <cell r="AT368">
            <v>1.7529682856878253</v>
          </cell>
          <cell r="AU368">
            <v>1.7979307976990209</v>
          </cell>
          <cell r="AV368">
            <v>1.7150671401583086</v>
          </cell>
          <cell r="AW368">
            <v>1.7150671401583086</v>
          </cell>
          <cell r="AX368">
            <v>1.7150671401583086</v>
          </cell>
          <cell r="AY368">
            <v>1.7150671401583086</v>
          </cell>
          <cell r="AZ368">
            <v>1.7150671401583086</v>
          </cell>
          <cell r="BA368">
            <v>1.7150671401583086</v>
          </cell>
          <cell r="BK368">
            <v>1.7229728514305702</v>
          </cell>
          <cell r="BL368">
            <v>-7.9057112722615841E-3</v>
          </cell>
        </row>
        <row r="369">
          <cell r="BL369">
            <v>0</v>
          </cell>
        </row>
        <row r="370">
          <cell r="A370" t="str">
            <v>ADR</v>
          </cell>
          <cell r="H370">
            <v>45.254965935896394</v>
          </cell>
          <cell r="I370">
            <v>47.749307373616297</v>
          </cell>
          <cell r="J370">
            <v>48.335675406915442</v>
          </cell>
          <cell r="K370">
            <v>50.783381206347201</v>
          </cell>
          <cell r="L370">
            <v>52.389399776054503</v>
          </cell>
          <cell r="M370">
            <v>49.860221242161948</v>
          </cell>
          <cell r="N370">
            <v>52.939835851369047</v>
          </cell>
          <cell r="O370">
            <v>52.500572441544328</v>
          </cell>
          <cell r="P370">
            <v>51.403055409518565</v>
          </cell>
          <cell r="Q370">
            <v>50.483305164764261</v>
          </cell>
          <cell r="R370">
            <v>51.77704499752749</v>
          </cell>
          <cell r="S370">
            <v>50.648412514415647</v>
          </cell>
          <cell r="T370">
            <v>47.973118895419333</v>
          </cell>
          <cell r="U370">
            <v>47.510847858151898</v>
          </cell>
          <cell r="V370">
            <v>48.547335694693956</v>
          </cell>
          <cell r="W370">
            <v>48.621434379636526</v>
          </cell>
          <cell r="X370">
            <v>50.261874235043663</v>
          </cell>
          <cell r="Y370">
            <v>45.919385013897511</v>
          </cell>
          <cell r="Z370">
            <v>51.695933513572228</v>
          </cell>
          <cell r="AA370">
            <v>56.788558904483885</v>
          </cell>
          <cell r="AB370">
            <v>51.920478265889656</v>
          </cell>
          <cell r="AC370">
            <v>58.592998889701121</v>
          </cell>
          <cell r="AD370">
            <v>58.382028402147647</v>
          </cell>
          <cell r="AE370">
            <v>59.527013301190301</v>
          </cell>
          <cell r="AF370">
            <v>67.196477919640145</v>
          </cell>
          <cell r="AG370">
            <v>61.03824908884031</v>
          </cell>
          <cell r="AH370">
            <v>66.973341949573197</v>
          </cell>
          <cell r="AI370">
            <v>61.907683767053449</v>
          </cell>
          <cell r="AJ370">
            <v>65.256919906916337</v>
          </cell>
          <cell r="AK370">
            <v>72.182763832568668</v>
          </cell>
          <cell r="AL370">
            <v>66.786957240022872</v>
          </cell>
          <cell r="AM370">
            <v>72.292429237858357</v>
          </cell>
          <cell r="AN370">
            <v>71.226043800563644</v>
          </cell>
          <cell r="BL370">
            <v>0</v>
          </cell>
        </row>
        <row r="371">
          <cell r="A371" t="str">
            <v xml:space="preserve">  Year-over-Year growth</v>
          </cell>
          <cell r="M371">
            <v>0.10176243006765029</v>
          </cell>
          <cell r="N371">
            <v>0.10870374384992143</v>
          </cell>
          <cell r="O371">
            <v>8.6166108150275367E-2</v>
          </cell>
          <cell r="P371">
            <v>1.2202302967056378E-2</v>
          </cell>
          <cell r="Q371">
            <v>-3.6383211478621669E-2</v>
          </cell>
          <cell r="R371">
            <v>3.8443948053416666E-2</v>
          </cell>
          <cell r="S371">
            <v>-4.3283536869790695E-2</v>
          </cell>
          <cell r="T371">
            <v>-8.6236270112406754E-2</v>
          </cell>
          <cell r="U371">
            <v>-7.5719381277205677E-2</v>
          </cell>
          <cell r="V371">
            <v>-3.8348706839851476E-2</v>
          </cell>
          <cell r="W371">
            <v>-6.0946131978788176E-2</v>
          </cell>
          <cell r="X371">
            <v>-7.6317945653670005E-3</v>
          </cell>
          <cell r="Y371">
            <v>-4.28100971712706E-2</v>
          </cell>
          <cell r="Z371">
            <v>8.8086949488152655E-2</v>
          </cell>
          <cell r="AA371">
            <v>0.16975644681342761</v>
          </cell>
          <cell r="AB371">
            <v>6.7851636389296255E-2</v>
          </cell>
          <cell r="AC371">
            <v>0.16575435718329845</v>
          </cell>
          <cell r="AD371">
            <v>0.27140266326472617</v>
          </cell>
          <cell r="AE371">
            <v>0.1514834776232854</v>
          </cell>
          <cell r="AF371">
            <v>0.18327492748428376</v>
          </cell>
          <cell r="AG371">
            <v>0.17561030112738352</v>
          </cell>
          <cell r="AH371">
            <v>0.14302635500271488</v>
          </cell>
          <cell r="AI371">
            <v>6.0389394842884636E-2</v>
          </cell>
          <cell r="AJ371">
            <v>9.6257250077948386E-2</v>
          </cell>
          <cell r="AK371">
            <v>7.4204572431483484E-2</v>
          </cell>
          <cell r="AL371">
            <v>9.4182061854615196E-2</v>
          </cell>
          <cell r="AM371">
            <v>7.942096263152143E-2</v>
          </cell>
          <cell r="AN371">
            <v>0.1505202499349414</v>
          </cell>
          <cell r="BL371">
            <v>0</v>
          </cell>
        </row>
        <row r="372">
          <cell r="BL372">
            <v>0</v>
          </cell>
        </row>
        <row r="373">
          <cell r="A373" t="str">
            <v>RevPAR</v>
          </cell>
          <cell r="H373">
            <v>24.29739121098277</v>
          </cell>
          <cell r="I373">
            <v>26.017893278144978</v>
          </cell>
          <cell r="J373">
            <v>27.482278361996883</v>
          </cell>
          <cell r="K373">
            <v>30.608658037974799</v>
          </cell>
          <cell r="L373">
            <v>30.730990245940284</v>
          </cell>
          <cell r="M373">
            <v>28.703288286541415</v>
          </cell>
          <cell r="N373">
            <v>29.437887798755906</v>
          </cell>
          <cell r="O373">
            <v>31.27752953718046</v>
          </cell>
          <cell r="P373">
            <v>32.520745511936397</v>
          </cell>
          <cell r="Q373">
            <v>32.383639969828778</v>
          </cell>
          <cell r="R373">
            <v>31.407306811376458</v>
          </cell>
          <cell r="S373">
            <v>31.421876774739157</v>
          </cell>
          <cell r="T373">
            <v>31.871805249631393</v>
          </cell>
          <cell r="U373">
            <v>33.093859246851096</v>
          </cell>
          <cell r="V373">
            <v>34.156752258372876</v>
          </cell>
          <cell r="W373">
            <v>32.643961110405478</v>
          </cell>
          <cell r="X373">
            <v>32.711335070049074</v>
          </cell>
          <cell r="Y373">
            <v>19.338781590393452</v>
          </cell>
          <cell r="Z373">
            <v>37.830689916145523</v>
          </cell>
          <cell r="AA373">
            <v>43.354172245652038</v>
          </cell>
          <cell r="AB373">
            <v>33.372002993068342</v>
          </cell>
          <cell r="AC373">
            <v>40.942901212010582</v>
          </cell>
          <cell r="AD373">
            <v>43.382508490624105</v>
          </cell>
          <cell r="AE373">
            <v>46.825931710360763</v>
          </cell>
          <cell r="AF373">
            <v>53.317538033645462</v>
          </cell>
          <cell r="AG373">
            <v>46.118288739057029</v>
          </cell>
          <cell r="AH373">
            <v>43.98276649919395</v>
          </cell>
          <cell r="AI373">
            <v>41.623477991682073</v>
          </cell>
          <cell r="AJ373">
            <v>47.165625205814564</v>
          </cell>
          <cell r="AK373">
            <v>56.278418380755198</v>
          </cell>
          <cell r="AL373">
            <v>47.353904574278992</v>
          </cell>
          <cell r="AM373">
            <v>51.033047643054616</v>
          </cell>
          <cell r="AN373">
            <v>50.071702017409947</v>
          </cell>
          <cell r="BL373">
            <v>0</v>
          </cell>
        </row>
        <row r="374">
          <cell r="A374" t="str">
            <v xml:space="preserve">  Year-over-Year growth</v>
          </cell>
          <cell r="M374">
            <v>0.1813321042288325</v>
          </cell>
          <cell r="N374">
            <v>0.1314477880299294</v>
          </cell>
          <cell r="O374">
            <v>0.1380981272801507</v>
          </cell>
          <cell r="P374">
            <v>6.2468843671269703E-2</v>
          </cell>
          <cell r="Q374">
            <v>5.3777952179943744E-2</v>
          </cell>
          <cell r="R374">
            <v>9.4205879752910393E-2</v>
          </cell>
          <cell r="S374">
            <v>6.7395765265030327E-2</v>
          </cell>
          <cell r="T374">
            <v>1.9000084765150804E-2</v>
          </cell>
          <cell r="U374">
            <v>1.7623019580050636E-2</v>
          </cell>
          <cell r="V374">
            <v>5.475333502336599E-2</v>
          </cell>
          <cell r="W374">
            <v>3.937473233397637E-2</v>
          </cell>
          <cell r="X374">
            <v>4.103695984023914E-2</v>
          </cell>
          <cell r="Y374">
            <v>-0.39323231179014839</v>
          </cell>
          <cell r="Z374">
            <v>0.14313322099915382</v>
          </cell>
          <cell r="AA374">
            <v>0.26927091655866042</v>
          </cell>
          <cell r="AB374">
            <v>2.2302498161927975E-2</v>
          </cell>
          <cell r="AC374">
            <v>0.25164262248343494</v>
          </cell>
          <cell r="AD374">
            <v>1.2432906792935903</v>
          </cell>
          <cell r="AE374">
            <v>0.23777630844570496</v>
          </cell>
          <cell r="AF374">
            <v>0.2298133091214225</v>
          </cell>
          <cell r="AG374">
            <v>0.38194548132565487</v>
          </cell>
          <cell r="AH374">
            <v>7.424645536090213E-2</v>
          </cell>
          <cell r="AI374">
            <v>-4.0546998321274952E-2</v>
          </cell>
          <cell r="AJ374">
            <v>7.2543883922044916E-3</v>
          </cell>
          <cell r="AK374">
            <v>5.5532953251541839E-2</v>
          </cell>
          <cell r="AL374">
            <v>2.6792317516663111E-2</v>
          </cell>
          <cell r="AM374">
            <v>0.16029644574517321</v>
          </cell>
          <cell r="AN374">
            <v>0.20296775842268988</v>
          </cell>
          <cell r="BL374">
            <v>0</v>
          </cell>
        </row>
        <row r="375">
          <cell r="BL375">
            <v>0</v>
          </cell>
        </row>
        <row r="376">
          <cell r="A376" t="str">
            <v>Labor/Population (thousands)</v>
          </cell>
          <cell r="BL376">
            <v>0</v>
          </cell>
        </row>
        <row r="377">
          <cell r="A377" t="str">
            <v>Population (period-end)</v>
          </cell>
          <cell r="G377">
            <v>430.54899999999998</v>
          </cell>
          <cell r="H377">
            <v>437.45499999999998</v>
          </cell>
          <cell r="I377">
            <v>434.68799999999999</v>
          </cell>
          <cell r="J377">
            <v>437.67899999999997</v>
          </cell>
          <cell r="K377">
            <v>437.05099999999999</v>
          </cell>
          <cell r="L377">
            <v>437.90300000000002</v>
          </cell>
          <cell r="M377">
            <v>437.90300000000002</v>
          </cell>
          <cell r="N377">
            <v>432.8</v>
          </cell>
          <cell r="O377">
            <v>434.1</v>
          </cell>
          <cell r="P377">
            <v>435.4</v>
          </cell>
          <cell r="Q377">
            <v>436.7</v>
          </cell>
          <cell r="R377">
            <v>436.7</v>
          </cell>
          <cell r="S377">
            <v>436.8</v>
          </cell>
          <cell r="T377">
            <v>439.2</v>
          </cell>
          <cell r="U377">
            <v>439.8</v>
          </cell>
          <cell r="V377">
            <v>441.6</v>
          </cell>
          <cell r="W377">
            <v>441.6</v>
          </cell>
          <cell r="X377">
            <v>443.4</v>
          </cell>
          <cell r="Y377">
            <v>445.1</v>
          </cell>
          <cell r="Z377">
            <v>446.8</v>
          </cell>
          <cell r="AA377">
            <v>448.5</v>
          </cell>
          <cell r="AB377">
            <v>448.5</v>
          </cell>
          <cell r="AC377">
            <v>451.3</v>
          </cell>
          <cell r="AD377">
            <v>454.3</v>
          </cell>
          <cell r="AE377">
            <v>461.1</v>
          </cell>
          <cell r="AF377">
            <v>465.33300000000003</v>
          </cell>
          <cell r="AG377">
            <v>465.33300000000003</v>
          </cell>
          <cell r="AH377">
            <v>471</v>
          </cell>
          <cell r="AI377">
            <v>476.7</v>
          </cell>
          <cell r="AJ377">
            <v>482.4</v>
          </cell>
          <cell r="AK377">
            <v>488.1</v>
          </cell>
          <cell r="AL377">
            <v>488.1</v>
          </cell>
          <cell r="AM377">
            <v>498.5</v>
          </cell>
          <cell r="AN377">
            <v>503</v>
          </cell>
          <cell r="AO377">
            <v>508.5</v>
          </cell>
          <cell r="AP377">
            <v>513.42700000000002</v>
          </cell>
          <cell r="AQ377">
            <v>513.42700000000002</v>
          </cell>
          <cell r="BL377">
            <v>0</v>
          </cell>
        </row>
        <row r="378">
          <cell r="A378" t="str">
            <v xml:space="preserve">  Year-over-Year growth</v>
          </cell>
          <cell r="H378">
            <v>1.6039986157208697E-2</v>
          </cell>
          <cell r="M378">
            <v>1.0241053365489527E-3</v>
          </cell>
          <cell r="N378">
            <v>-4.3433451118962685E-3</v>
          </cell>
          <cell r="O378">
            <v>-8.1772257750541977E-3</v>
          </cell>
          <cell r="P378">
            <v>-3.7775911735701273E-3</v>
          </cell>
          <cell r="Q378">
            <v>-2.7471837370377505E-3</v>
          </cell>
          <cell r="R378">
            <v>-2.7471837370377505E-3</v>
          </cell>
          <cell r="S378">
            <v>9.2421441774490631E-3</v>
          </cell>
          <cell r="T378">
            <v>1.1748445058742174E-2</v>
          </cell>
          <cell r="U378">
            <v>1.0105649977032671E-2</v>
          </cell>
          <cell r="V378">
            <v>1.1220517517746886E-2</v>
          </cell>
          <cell r="W378">
            <v>1.1220517517746886E-2</v>
          </cell>
          <cell r="X378">
            <v>1.5109890109890056E-2</v>
          </cell>
          <cell r="Y378">
            <v>1.343351548269589E-2</v>
          </cell>
          <cell r="Z378">
            <v>1.5916325602546522E-2</v>
          </cell>
          <cell r="AA378">
            <v>1.5625E-2</v>
          </cell>
          <cell r="AB378">
            <v>1.5625E-2</v>
          </cell>
          <cell r="AC378">
            <v>1.7816869643662692E-2</v>
          </cell>
          <cell r="AD378">
            <v>2.0669512469108087E-2</v>
          </cell>
          <cell r="AE378">
            <v>3.200537153088634E-2</v>
          </cell>
          <cell r="AF378">
            <v>3.7531772575250866E-2</v>
          </cell>
          <cell r="AG378">
            <v>3.7531772575250866E-2</v>
          </cell>
          <cell r="AL378">
            <v>4.8926252812502069E-2</v>
          </cell>
          <cell r="AQ378">
            <v>5.1888957180905582E-2</v>
          </cell>
          <cell r="BL378">
            <v>0</v>
          </cell>
        </row>
        <row r="379">
          <cell r="BL379">
            <v>0</v>
          </cell>
        </row>
        <row r="380">
          <cell r="A380" t="str">
            <v>Resident employed population</v>
          </cell>
          <cell r="G380">
            <v>169.03399999999999</v>
          </cell>
          <cell r="H380">
            <v>170.297</v>
          </cell>
          <cell r="I380">
            <v>173.274</v>
          </cell>
          <cell r="J380">
            <v>170.52600000000001</v>
          </cell>
          <cell r="K380">
            <v>169.48400000000001</v>
          </cell>
          <cell r="L380">
            <v>175.44499999999999</v>
          </cell>
          <cell r="M380">
            <v>172.87700000000001</v>
          </cell>
          <cell r="N380">
            <v>172.32299999999998</v>
          </cell>
          <cell r="O380">
            <v>174.7</v>
          </cell>
          <cell r="P380">
            <v>179.608</v>
          </cell>
          <cell r="Q380">
            <v>180.9</v>
          </cell>
          <cell r="R380">
            <v>176.9</v>
          </cell>
          <cell r="S380">
            <v>178.1</v>
          </cell>
          <cell r="T380">
            <v>177.9</v>
          </cell>
          <cell r="U380">
            <v>176.10000000000002</v>
          </cell>
          <cell r="V380">
            <v>175.2</v>
          </cell>
          <cell r="W380">
            <v>177.1</v>
          </cell>
          <cell r="X380">
            <v>177.6</v>
          </cell>
          <cell r="Y380">
            <v>176.7</v>
          </cell>
          <cell r="Z380">
            <v>178.8</v>
          </cell>
          <cell r="AA380">
            <v>182.53</v>
          </cell>
          <cell r="AB380">
            <v>177.63</v>
          </cell>
          <cell r="AC380">
            <v>185.78100000000001</v>
          </cell>
          <cell r="AD380">
            <v>186.93900000000002</v>
          </cell>
          <cell r="AE380">
            <v>194.066</v>
          </cell>
          <cell r="AF380">
            <v>200.66400000000002</v>
          </cell>
          <cell r="AG380">
            <v>190.239</v>
          </cell>
          <cell r="AH380">
            <v>201.05199999999999</v>
          </cell>
          <cell r="AI380">
            <v>200.803</v>
          </cell>
          <cell r="AJ380">
            <v>206.08199999999999</v>
          </cell>
          <cell r="AK380">
            <v>209.38900000000001</v>
          </cell>
          <cell r="AL380">
            <v>198.38900000000001</v>
          </cell>
          <cell r="AM380">
            <v>207.524</v>
          </cell>
          <cell r="AN380">
            <v>213.60000000000002</v>
          </cell>
          <cell r="AO380">
            <v>214.64699999999999</v>
          </cell>
          <cell r="AP380">
            <v>211.62700000000001</v>
          </cell>
          <cell r="BL380">
            <v>0</v>
          </cell>
        </row>
        <row r="381">
          <cell r="A381" t="str">
            <v>Non-resident workers (period-end)</v>
          </cell>
          <cell r="G381">
            <v>32.012999999999998</v>
          </cell>
          <cell r="H381">
            <v>32.183</v>
          </cell>
          <cell r="I381">
            <v>28.010999999999999</v>
          </cell>
          <cell r="J381">
            <v>28.215</v>
          </cell>
          <cell r="K381">
            <v>28.113</v>
          </cell>
          <cell r="L381">
            <v>27.221</v>
          </cell>
          <cell r="M381">
            <v>27.221</v>
          </cell>
          <cell r="N381">
            <v>25.777000000000001</v>
          </cell>
          <cell r="O381">
            <v>25.8</v>
          </cell>
          <cell r="P381">
            <v>26.292000000000002</v>
          </cell>
          <cell r="Q381">
            <v>25.9</v>
          </cell>
          <cell r="R381">
            <v>25.9</v>
          </cell>
          <cell r="S381">
            <v>24.5</v>
          </cell>
          <cell r="T381">
            <v>23.7</v>
          </cell>
          <cell r="U381">
            <v>23.2</v>
          </cell>
          <cell r="V381">
            <v>23.5</v>
          </cell>
          <cell r="W381">
            <v>23.5</v>
          </cell>
          <cell r="X381">
            <v>23</v>
          </cell>
          <cell r="Y381">
            <v>23.5</v>
          </cell>
          <cell r="Z381">
            <v>23.2</v>
          </cell>
          <cell r="AA381">
            <v>24.97</v>
          </cell>
          <cell r="AB381">
            <v>24.97</v>
          </cell>
          <cell r="AC381">
            <v>25.219000000000001</v>
          </cell>
          <cell r="AD381">
            <v>24.960999999999999</v>
          </cell>
          <cell r="AE381">
            <v>26.533999999999999</v>
          </cell>
          <cell r="AF381">
            <v>27.736000000000001</v>
          </cell>
          <cell r="AG381">
            <v>27.736000000000001</v>
          </cell>
          <cell r="AH381">
            <v>28.648</v>
          </cell>
          <cell r="AI381">
            <v>31.097000000000001</v>
          </cell>
          <cell r="AJ381">
            <v>34.718000000000004</v>
          </cell>
          <cell r="AK381">
            <v>39.411000000000001</v>
          </cell>
          <cell r="AL381">
            <v>39.411000000000001</v>
          </cell>
          <cell r="AM381">
            <v>47.875999999999998</v>
          </cell>
          <cell r="AN381">
            <v>50.2</v>
          </cell>
          <cell r="AO381">
            <v>56.552999999999997</v>
          </cell>
          <cell r="AP381">
            <v>64.673000000000002</v>
          </cell>
          <cell r="BL381">
            <v>0</v>
          </cell>
        </row>
        <row r="382">
          <cell r="B382" t="str">
            <v>______</v>
          </cell>
          <cell r="C382" t="str">
            <v>______</v>
          </cell>
          <cell r="D382" t="str">
            <v>______</v>
          </cell>
          <cell r="E382" t="str">
            <v>______</v>
          </cell>
          <cell r="F382" t="str">
            <v>______</v>
          </cell>
          <cell r="G382" t="str">
            <v>______</v>
          </cell>
          <cell r="H382" t="str">
            <v>______</v>
          </cell>
          <cell r="I382" t="str">
            <v>______</v>
          </cell>
          <cell r="J382" t="str">
            <v>______</v>
          </cell>
          <cell r="K382" t="str">
            <v>______</v>
          </cell>
          <cell r="L382" t="str">
            <v>______</v>
          </cell>
          <cell r="M382" t="str">
            <v>______</v>
          </cell>
          <cell r="N382" t="str">
            <v>______</v>
          </cell>
          <cell r="O382" t="str">
            <v>______</v>
          </cell>
          <cell r="P382" t="str">
            <v>______</v>
          </cell>
          <cell r="Q382" t="str">
            <v>______</v>
          </cell>
          <cell r="R382" t="str">
            <v>______</v>
          </cell>
          <cell r="S382" t="str">
            <v>______</v>
          </cell>
          <cell r="T382" t="str">
            <v>______</v>
          </cell>
          <cell r="U382" t="str">
            <v>______</v>
          </cell>
          <cell r="V382" t="str">
            <v>______</v>
          </cell>
          <cell r="W382" t="str">
            <v>______</v>
          </cell>
          <cell r="X382" t="str">
            <v>______</v>
          </cell>
          <cell r="Y382" t="str">
            <v>______</v>
          </cell>
          <cell r="Z382" t="str">
            <v>______</v>
          </cell>
          <cell r="AA382" t="str">
            <v>______</v>
          </cell>
          <cell r="AB382" t="str">
            <v>______</v>
          </cell>
          <cell r="AC382" t="str">
            <v>______</v>
          </cell>
          <cell r="AD382" t="str">
            <v>______</v>
          </cell>
          <cell r="AE382" t="str">
            <v>______</v>
          </cell>
          <cell r="AF382" t="str">
            <v>______</v>
          </cell>
          <cell r="AG382" t="str">
            <v>______</v>
          </cell>
          <cell r="AH382" t="str">
            <v>______</v>
          </cell>
          <cell r="AI382" t="str">
            <v>______</v>
          </cell>
          <cell r="AJ382" t="str">
            <v>______</v>
          </cell>
          <cell r="AK382" t="str">
            <v>______</v>
          </cell>
          <cell r="AL382" t="str">
            <v>______</v>
          </cell>
          <cell r="AM382" t="str">
            <v>______</v>
          </cell>
          <cell r="AN382" t="str">
            <v>______</v>
          </cell>
          <cell r="AO382" t="str">
            <v>______</v>
          </cell>
          <cell r="AP382" t="str">
            <v>______</v>
          </cell>
          <cell r="BL382">
            <v>0</v>
          </cell>
        </row>
        <row r="383">
          <cell r="A383" t="str">
            <v>Total employed population</v>
          </cell>
          <cell r="G383">
            <v>201.047</v>
          </cell>
          <cell r="H383">
            <v>202.48</v>
          </cell>
          <cell r="I383">
            <v>201.285</v>
          </cell>
          <cell r="J383">
            <v>198.74100000000001</v>
          </cell>
          <cell r="K383">
            <v>197.59700000000001</v>
          </cell>
          <cell r="L383">
            <v>202.666</v>
          </cell>
          <cell r="M383">
            <v>200.09800000000001</v>
          </cell>
          <cell r="N383">
            <v>198.1</v>
          </cell>
          <cell r="O383">
            <v>200.5</v>
          </cell>
          <cell r="P383">
            <v>205.9</v>
          </cell>
          <cell r="Q383">
            <v>206.8</v>
          </cell>
          <cell r="R383">
            <v>202.8</v>
          </cell>
          <cell r="S383">
            <v>202.6</v>
          </cell>
          <cell r="T383">
            <v>201.6</v>
          </cell>
          <cell r="U383">
            <v>199.3</v>
          </cell>
          <cell r="V383">
            <v>198.7</v>
          </cell>
          <cell r="W383">
            <v>200.6</v>
          </cell>
          <cell r="X383">
            <v>200.6</v>
          </cell>
          <cell r="Y383">
            <v>200.2</v>
          </cell>
          <cell r="Z383">
            <v>202</v>
          </cell>
          <cell r="AA383">
            <v>207.5</v>
          </cell>
          <cell r="AB383">
            <v>202.6</v>
          </cell>
          <cell r="AC383">
            <v>211</v>
          </cell>
          <cell r="AD383">
            <v>211.9</v>
          </cell>
          <cell r="AE383">
            <v>220.6</v>
          </cell>
          <cell r="AF383">
            <v>228.4</v>
          </cell>
          <cell r="AG383">
            <v>217.97499999999999</v>
          </cell>
          <cell r="AH383">
            <v>229.7</v>
          </cell>
          <cell r="AI383">
            <v>231.9</v>
          </cell>
          <cell r="AJ383">
            <v>240.8</v>
          </cell>
          <cell r="AK383">
            <v>248.8</v>
          </cell>
          <cell r="AL383">
            <v>237.8</v>
          </cell>
          <cell r="AM383">
            <v>255.4</v>
          </cell>
          <cell r="AN383">
            <v>263.8</v>
          </cell>
          <cell r="AO383">
            <v>271.2</v>
          </cell>
          <cell r="AP383">
            <v>276.3</v>
          </cell>
          <cell r="BL383">
            <v>0</v>
          </cell>
        </row>
        <row r="384">
          <cell r="A384" t="str">
            <v xml:space="preserve">  Sequential growth</v>
          </cell>
          <cell r="H384">
            <v>7.1276865608538298E-3</v>
          </cell>
          <cell r="M384">
            <v>-1.1764124851837088E-2</v>
          </cell>
          <cell r="N384">
            <v>-2.2529679373945344E-2</v>
          </cell>
          <cell r="O384">
            <v>1.2115093387178311E-2</v>
          </cell>
          <cell r="P384">
            <v>2.6932668329177067E-2</v>
          </cell>
          <cell r="Q384">
            <v>4.3710539096648571E-3</v>
          </cell>
          <cell r="R384">
            <v>1.3503383342162278E-2</v>
          </cell>
          <cell r="S384">
            <v>-2.0309477756286332E-2</v>
          </cell>
          <cell r="T384">
            <v>-4.9358341559723184E-3</v>
          </cell>
          <cell r="U384">
            <v>-1.1408730158730118E-2</v>
          </cell>
          <cell r="V384">
            <v>-3.0105368790769305E-3</v>
          </cell>
          <cell r="W384">
            <v>-1.0848126232741673E-2</v>
          </cell>
          <cell r="X384">
            <v>9.5621540010064621E-3</v>
          </cell>
          <cell r="Y384">
            <v>-1.9940179461614971E-3</v>
          </cell>
          <cell r="Z384">
            <v>8.9910089910090196E-3</v>
          </cell>
          <cell r="AA384">
            <v>2.7227722772277252E-2</v>
          </cell>
          <cell r="AB384">
            <v>9.9700897308074854E-3</v>
          </cell>
          <cell r="AC384">
            <v>1.6867469879518149E-2</v>
          </cell>
          <cell r="AD384">
            <v>4.2654028436019953E-3</v>
          </cell>
          <cell r="AE384">
            <v>4.1057102406795609E-2</v>
          </cell>
          <cell r="AF384">
            <v>3.5358114233907667E-2</v>
          </cell>
          <cell r="AG384">
            <v>7.5888450148074993E-2</v>
          </cell>
          <cell r="AH384">
            <v>5.6917688266198141E-3</v>
          </cell>
          <cell r="AI384">
            <v>6.3883472875329694E-2</v>
          </cell>
          <cell r="AJ384">
            <v>4.832390074009596E-2</v>
          </cell>
          <cell r="AK384">
            <v>7.2876239758516537E-2</v>
          </cell>
          <cell r="AL384">
            <v>9.0950797109760284E-2</v>
          </cell>
          <cell r="AM384">
            <v>2.6527331189710512E-2</v>
          </cell>
          <cell r="AN384">
            <v>0.10933557611438194</v>
          </cell>
          <cell r="AO384">
            <v>6.1863743148003136E-2</v>
          </cell>
          <cell r="AP384">
            <v>4.7384382107657386E-2</v>
          </cell>
          <cell r="BL384">
            <v>0</v>
          </cell>
        </row>
        <row r="385">
          <cell r="A385" t="str">
            <v xml:space="preserve">  Resident growth</v>
          </cell>
          <cell r="H385">
            <v>7.4718695647029154E-3</v>
          </cell>
          <cell r="M385">
            <v>-1.4637065747100109E-2</v>
          </cell>
          <cell r="N385">
            <v>-1.779475049160717E-2</v>
          </cell>
          <cell r="O385">
            <v>1.3793863848702737E-2</v>
          </cell>
          <cell r="P385">
            <v>2.8093875214653785E-2</v>
          </cell>
          <cell r="Q385">
            <v>7.1934434991760554E-3</v>
          </cell>
          <cell r="R385">
            <v>-2.2111663902708689E-2</v>
          </cell>
          <cell r="S385">
            <v>-1.5478164731896116E-2</v>
          </cell>
          <cell r="T385">
            <v>-1.122964626614209E-3</v>
          </cell>
          <cell r="U385">
            <v>-1.0118043844856595E-2</v>
          </cell>
          <cell r="V385">
            <v>-5.1107325383307201E-3</v>
          </cell>
          <cell r="W385">
            <v>1.084474885844755E-2</v>
          </cell>
          <cell r="X385">
            <v>1.3698630136986356E-2</v>
          </cell>
          <cell r="Y385">
            <v>-5.0675675675676546E-3</v>
          </cell>
          <cell r="Z385">
            <v>1.1884550084889867E-2</v>
          </cell>
          <cell r="AA385">
            <v>2.0861297539149781E-2</v>
          </cell>
          <cell r="AB385">
            <v>-2.6844902207856292E-2</v>
          </cell>
          <cell r="AC385">
            <v>1.7810770832191958E-2</v>
          </cell>
          <cell r="AD385">
            <v>6.2331454777400097E-3</v>
          </cell>
          <cell r="AE385">
            <v>3.8124735876408744E-2</v>
          </cell>
          <cell r="AF385">
            <v>3.3998742695783957E-2</v>
          </cell>
          <cell r="AG385">
            <v>7.0984630974497698E-2</v>
          </cell>
          <cell r="AH385">
            <v>1.9335805126976524E-3</v>
          </cell>
          <cell r="AI385">
            <v>5.5530148917940059E-2</v>
          </cell>
          <cell r="AJ385">
            <v>2.5018403199172257E-2</v>
          </cell>
          <cell r="AK385">
            <v>4.2758325323824842E-2</v>
          </cell>
          <cell r="AL385">
            <v>4.284084756543094E-2</v>
          </cell>
          <cell r="AM385">
            <v>-8.9068671229147744E-3</v>
          </cell>
          <cell r="AN385">
            <v>7.6672597775078399E-2</v>
          </cell>
          <cell r="AO385">
            <v>3.4323740868525965E-2</v>
          </cell>
          <cell r="AP385">
            <v>-9.2368913857678869E-3</v>
          </cell>
          <cell r="BL385">
            <v>0</v>
          </cell>
        </row>
        <row r="386">
          <cell r="A386" t="str">
            <v xml:space="preserve">  Non-resident growth</v>
          </cell>
          <cell r="H386">
            <v>5.3103426732890036E-3</v>
          </cell>
          <cell r="M386">
            <v>-0.15418077867196966</v>
          </cell>
          <cell r="N386">
            <v>-5.30472796737812E-2</v>
          </cell>
          <cell r="O386">
            <v>8.9226830119870648E-4</v>
          </cell>
          <cell r="P386">
            <v>1.9069767441860508E-2</v>
          </cell>
          <cell r="Q386">
            <v>-1.4909478168264267E-2</v>
          </cell>
          <cell r="R386">
            <v>-4.8528709452261176E-2</v>
          </cell>
          <cell r="S386">
            <v>-5.4054054054054057E-2</v>
          </cell>
          <cell r="T386">
            <v>-3.2653061224489854E-2</v>
          </cell>
          <cell r="U386">
            <v>-2.1097046413502074E-2</v>
          </cell>
          <cell r="V386">
            <v>1.2931034482758674E-2</v>
          </cell>
          <cell r="W386">
            <v>-9.266409266409259E-2</v>
          </cell>
          <cell r="X386">
            <v>-2.1276595744680882E-2</v>
          </cell>
          <cell r="Y386">
            <v>2.1739130434782705E-2</v>
          </cell>
          <cell r="Z386">
            <v>-1.2765957446808529E-2</v>
          </cell>
          <cell r="AA386">
            <v>7.629310344827589E-2</v>
          </cell>
          <cell r="AB386">
            <v>6.2553191489361559E-2</v>
          </cell>
          <cell r="AC386">
            <v>9.9719663596316011E-3</v>
          </cell>
          <cell r="AD386">
            <v>-1.0230381854950732E-2</v>
          </cell>
          <cell r="AE386">
            <v>6.3018308561355818E-2</v>
          </cell>
          <cell r="AF386">
            <v>4.530036933745385E-2</v>
          </cell>
          <cell r="AG386">
            <v>0.1107729275130156</v>
          </cell>
          <cell r="AH386">
            <v>3.2881453706374408E-2</v>
          </cell>
          <cell r="AI386">
            <v>0.12117825209114508</v>
          </cell>
          <cell r="AJ386">
            <v>0.21188215582239622</v>
          </cell>
          <cell r="AK386">
            <v>0.26735697977296846</v>
          </cell>
          <cell r="AL386">
            <v>0.42093308335736945</v>
          </cell>
          <cell r="AM386">
            <v>0.21478774961305214</v>
          </cell>
          <cell r="AN386">
            <v>0.27375605795336333</v>
          </cell>
          <cell r="AO386">
            <v>0.18123903417160991</v>
          </cell>
          <cell r="AP386">
            <v>0.28830677290836659</v>
          </cell>
          <cell r="BL386">
            <v>0</v>
          </cell>
        </row>
        <row r="387">
          <cell r="BL387">
            <v>0</v>
          </cell>
        </row>
        <row r="388">
          <cell r="A388" t="str">
            <v>Hotel &amp; restaurant employment</v>
          </cell>
          <cell r="G388">
            <v>23.178000000000001</v>
          </cell>
          <cell r="H388">
            <v>21</v>
          </cell>
          <cell r="I388">
            <v>22.443999999999999</v>
          </cell>
          <cell r="J388">
            <v>19.853000000000002</v>
          </cell>
          <cell r="K388">
            <v>20.696000000000002</v>
          </cell>
          <cell r="L388">
            <v>23.283999999999999</v>
          </cell>
          <cell r="M388">
            <v>21.569249999999997</v>
          </cell>
          <cell r="N388">
            <v>22.9</v>
          </cell>
          <cell r="O388">
            <v>20.2</v>
          </cell>
          <cell r="P388">
            <v>22.4</v>
          </cell>
          <cell r="Q388">
            <v>24.2</v>
          </cell>
          <cell r="R388">
            <v>22.425000000000001</v>
          </cell>
          <cell r="S388">
            <v>24.9</v>
          </cell>
          <cell r="T388">
            <v>24</v>
          </cell>
          <cell r="U388">
            <v>21.9</v>
          </cell>
          <cell r="V388">
            <v>21.8</v>
          </cell>
          <cell r="W388">
            <v>23.15</v>
          </cell>
          <cell r="X388">
            <v>23.1</v>
          </cell>
          <cell r="Y388">
            <v>21.6</v>
          </cell>
          <cell r="Z388">
            <v>21.2</v>
          </cell>
          <cell r="AA388">
            <v>22.5</v>
          </cell>
          <cell r="AB388">
            <v>22.1</v>
          </cell>
          <cell r="AC388">
            <v>23.8</v>
          </cell>
          <cell r="AD388">
            <v>22.8</v>
          </cell>
          <cell r="AE388">
            <v>24</v>
          </cell>
          <cell r="AF388">
            <v>24.8</v>
          </cell>
          <cell r="AG388">
            <v>23.849999999999998</v>
          </cell>
          <cell r="AH388">
            <v>25.1</v>
          </cell>
          <cell r="AI388">
            <v>25.2</v>
          </cell>
          <cell r="AJ388">
            <v>24.9</v>
          </cell>
          <cell r="AK388">
            <v>24.5</v>
          </cell>
          <cell r="AL388">
            <v>24.924999999999997</v>
          </cell>
          <cell r="AM388">
            <v>26.9</v>
          </cell>
          <cell r="AN388">
            <v>28.5</v>
          </cell>
          <cell r="AO388">
            <v>33.299999999999997</v>
          </cell>
          <cell r="AP388">
            <v>32.200000000000003</v>
          </cell>
          <cell r="BL388">
            <v>0</v>
          </cell>
        </row>
        <row r="389">
          <cell r="A389" t="str">
            <v xml:space="preserve">  Year-over-Year growth</v>
          </cell>
          <cell r="H389">
            <v>-9.3968418327724623E-2</v>
          </cell>
          <cell r="M389">
            <v>2.7107142857142774E-2</v>
          </cell>
          <cell r="N389">
            <v>2.0317234004633811E-2</v>
          </cell>
          <cell r="O389">
            <v>1.7478466730468822E-2</v>
          </cell>
          <cell r="P389">
            <v>8.2334750676459123E-2</v>
          </cell>
          <cell r="Q389">
            <v>3.9340319532726431E-2</v>
          </cell>
          <cell r="R389">
            <v>3.9674536666782778E-2</v>
          </cell>
          <cell r="S389">
            <v>8.7336244541484698E-2</v>
          </cell>
          <cell r="T389">
            <v>0.18811881188118806</v>
          </cell>
          <cell r="U389">
            <v>-2.2321428571428603E-2</v>
          </cell>
          <cell r="V389">
            <v>-9.9173553719008156E-2</v>
          </cell>
          <cell r="W389">
            <v>3.2329988851727887E-2</v>
          </cell>
          <cell r="X389">
            <v>-7.2289156626505924E-2</v>
          </cell>
          <cell r="Y389">
            <v>-9.9999999999999978E-2</v>
          </cell>
          <cell r="Z389">
            <v>-3.1963470319634646E-2</v>
          </cell>
          <cell r="AA389">
            <v>3.2110091743119185E-2</v>
          </cell>
          <cell r="AB389">
            <v>-4.5356371490280711E-2</v>
          </cell>
          <cell r="AC389">
            <v>3.0303030303030276E-2</v>
          </cell>
          <cell r="AD389">
            <v>5.555555555555558E-2</v>
          </cell>
          <cell r="AE389">
            <v>0.13207547169811318</v>
          </cell>
          <cell r="AF389">
            <v>0.10222222222222221</v>
          </cell>
          <cell r="AG389">
            <v>7.9185520361990891E-2</v>
          </cell>
          <cell r="AH389">
            <v>5.4621848739495826E-2</v>
          </cell>
          <cell r="AI389">
            <v>0.10526315789473673</v>
          </cell>
          <cell r="AJ389">
            <v>3.7499999999999867E-2</v>
          </cell>
          <cell r="AK389">
            <v>-1.2096774193548376E-2</v>
          </cell>
          <cell r="AL389">
            <v>4.507337526205446E-2</v>
          </cell>
          <cell r="AM389">
            <v>7.1713147410358502E-2</v>
          </cell>
          <cell r="AN389">
            <v>0.13095238095238093</v>
          </cell>
          <cell r="AO389">
            <v>0.33734939759036142</v>
          </cell>
          <cell r="AP389">
            <v>0.3142857142857145</v>
          </cell>
          <cell r="BL389">
            <v>0</v>
          </cell>
        </row>
        <row r="390">
          <cell r="A390" t="str">
            <v xml:space="preserve">  Hotel &amp; restaurant % of total</v>
          </cell>
          <cell r="G390">
            <v>0.1152864753017951</v>
          </cell>
          <cell r="H390">
            <v>0.10371394705649942</v>
          </cell>
          <cell r="I390">
            <v>0.11150358943786173</v>
          </cell>
          <cell r="J390">
            <v>9.9893831670364946E-2</v>
          </cell>
          <cell r="K390">
            <v>0.10473843226364773</v>
          </cell>
          <cell r="L390">
            <v>0.11488853581755203</v>
          </cell>
          <cell r="M390">
            <v>0.10779343121870281</v>
          </cell>
          <cell r="N390">
            <v>0.11559818273599191</v>
          </cell>
          <cell r="O390">
            <v>0.10074812967581047</v>
          </cell>
          <cell r="P390">
            <v>0.10879067508499271</v>
          </cell>
          <cell r="Q390">
            <v>0.11702127659574467</v>
          </cell>
          <cell r="R390">
            <v>0.11057692307692307</v>
          </cell>
          <cell r="S390">
            <v>0.12290227048371175</v>
          </cell>
          <cell r="T390">
            <v>0.11904761904761905</v>
          </cell>
          <cell r="U390">
            <v>0.10988459608630205</v>
          </cell>
          <cell r="V390">
            <v>0.10971313537996981</v>
          </cell>
          <cell r="W390">
            <v>0.1154037886340977</v>
          </cell>
          <cell r="X390">
            <v>0.11515453639082752</v>
          </cell>
          <cell r="Y390">
            <v>0.1078921078921079</v>
          </cell>
          <cell r="Z390">
            <v>0.10495049504950495</v>
          </cell>
          <cell r="AA390">
            <v>0.10843373493975904</v>
          </cell>
          <cell r="AB390">
            <v>0.10908193484698915</v>
          </cell>
          <cell r="AC390">
            <v>0.11279620853080569</v>
          </cell>
          <cell r="AD390">
            <v>0.10759792354884379</v>
          </cell>
          <cell r="AE390">
            <v>0.10879419764279238</v>
          </cell>
          <cell r="AF390">
            <v>0.10858143607705779</v>
          </cell>
          <cell r="AG390">
            <v>0.10941621745613028</v>
          </cell>
          <cell r="AH390">
            <v>0.10927296473661298</v>
          </cell>
          <cell r="AI390">
            <v>0.10866752910737386</v>
          </cell>
          <cell r="AJ390">
            <v>0.10340531561461792</v>
          </cell>
          <cell r="AK390">
            <v>9.847266881028939E-2</v>
          </cell>
          <cell r="AL390">
            <v>0.10481497056349873</v>
          </cell>
          <cell r="AM390">
            <v>0.10532498042286609</v>
          </cell>
          <cell r="AN390">
            <v>0.10803639120545867</v>
          </cell>
          <cell r="AO390">
            <v>0.12278761061946902</v>
          </cell>
          <cell r="AP390">
            <v>0.11653999276149114</v>
          </cell>
          <cell r="BL390">
            <v>0</v>
          </cell>
        </row>
        <row r="391">
          <cell r="BL391">
            <v>0</v>
          </cell>
        </row>
        <row r="392">
          <cell r="A392" t="str">
            <v>Construction Employment</v>
          </cell>
          <cell r="W392">
            <v>15</v>
          </cell>
          <cell r="AB392">
            <v>16.3</v>
          </cell>
          <cell r="AC392">
            <v>17.600000000000001</v>
          </cell>
          <cell r="AD392">
            <v>17.100000000000001</v>
          </cell>
          <cell r="AE392">
            <v>18.100000000000001</v>
          </cell>
          <cell r="AF392">
            <v>19.8</v>
          </cell>
          <cell r="AG392">
            <v>18.100000000000001</v>
          </cell>
          <cell r="AH392">
            <v>20</v>
          </cell>
          <cell r="AI392">
            <v>21.2</v>
          </cell>
          <cell r="AJ392">
            <v>25.3</v>
          </cell>
          <cell r="AK392">
            <v>26.3</v>
          </cell>
          <cell r="AL392">
            <v>23.2</v>
          </cell>
          <cell r="AM392">
            <v>28.4</v>
          </cell>
          <cell r="AN392">
            <v>31.2</v>
          </cell>
          <cell r="AO392">
            <v>32.5</v>
          </cell>
          <cell r="AP392">
            <v>34</v>
          </cell>
          <cell r="BL392">
            <v>0</v>
          </cell>
        </row>
        <row r="393">
          <cell r="A393" t="str">
            <v xml:space="preserve">  Year-over-Year growth</v>
          </cell>
          <cell r="AJ393">
            <v>0.39779005524861866</v>
          </cell>
          <cell r="AK393">
            <v>0.32828282828282829</v>
          </cell>
          <cell r="AL393">
            <v>0.28176795580110481</v>
          </cell>
          <cell r="AM393">
            <v>0.41999999999999993</v>
          </cell>
          <cell r="AN393">
            <v>0.47169811320754729</v>
          </cell>
          <cell r="AO393">
            <v>0.28458498023715406</v>
          </cell>
          <cell r="AP393">
            <v>0.29277566539923949</v>
          </cell>
          <cell r="BL393">
            <v>0</v>
          </cell>
        </row>
        <row r="394">
          <cell r="A394" t="str">
            <v>Gaming Employment, Employment Survey</v>
          </cell>
          <cell r="AE394">
            <v>22.6</v>
          </cell>
          <cell r="AF394">
            <v>26.373000000000001</v>
          </cell>
          <cell r="AG394">
            <v>24.486499999999999</v>
          </cell>
          <cell r="AH394">
            <v>27.149000000000001</v>
          </cell>
          <cell r="AI394">
            <v>28.295999999999999</v>
          </cell>
          <cell r="AJ394">
            <v>32.875</v>
          </cell>
          <cell r="AK394">
            <v>33.165999999999997</v>
          </cell>
          <cell r="AL394">
            <v>30.371499999999997</v>
          </cell>
          <cell r="AM394">
            <v>33.637999999999998</v>
          </cell>
          <cell r="AN394">
            <v>40.429012347865445</v>
          </cell>
          <cell r="AO394">
            <v>45.1</v>
          </cell>
          <cell r="AP394">
            <v>49.6</v>
          </cell>
          <cell r="AQ394">
            <v>42.191753086966358</v>
          </cell>
          <cell r="AR394">
            <v>56.842315779147533</v>
          </cell>
          <cell r="AS394">
            <v>65.099159487639511</v>
          </cell>
          <cell r="AT394">
            <v>89.224870437785626</v>
          </cell>
          <cell r="AU394">
            <v>96.7039266177201</v>
          </cell>
          <cell r="AV394">
            <v>76.967568080573187</v>
          </cell>
          <cell r="AW394">
            <v>104.47758256757747</v>
          </cell>
          <cell r="AX394">
            <v>138.99678280280591</v>
          </cell>
          <cell r="AY394">
            <v>155.14444238004771</v>
          </cell>
          <cell r="AZ394">
            <v>181.91833042219773</v>
          </cell>
          <cell r="BA394">
            <v>182.30919010164519</v>
          </cell>
          <cell r="BK394">
            <v>80.066083498896973</v>
          </cell>
          <cell r="BL394">
            <v>-3.0985154183237853</v>
          </cell>
        </row>
        <row r="395">
          <cell r="A395" t="str">
            <v xml:space="preserve">  Year-over-Year growth</v>
          </cell>
          <cell r="AJ395">
            <v>0.45464601769911495</v>
          </cell>
          <cell r="AK395">
            <v>0.25757403404997525</v>
          </cell>
          <cell r="AL395">
            <v>0.24033651195556738</v>
          </cell>
          <cell r="AM395">
            <v>0.2390143283362185</v>
          </cell>
          <cell r="AN395">
            <v>0.42878895772778658</v>
          </cell>
          <cell r="AO395">
            <v>0.37186311787072257</v>
          </cell>
          <cell r="AP395">
            <v>0.49550744738587738</v>
          </cell>
          <cell r="BL395">
            <v>0</v>
          </cell>
        </row>
        <row r="396">
          <cell r="A396" t="str">
            <v>Gaming Employment, Wages Survey</v>
          </cell>
          <cell r="AD396">
            <v>19.771999999999998</v>
          </cell>
          <cell r="AE396">
            <v>20.518000000000001</v>
          </cell>
          <cell r="AF396">
            <v>21.263999999999999</v>
          </cell>
          <cell r="AG396">
            <v>20.518000000000001</v>
          </cell>
          <cell r="AH396">
            <v>22.315999999999999</v>
          </cell>
          <cell r="AI396">
            <v>23.367999999999999</v>
          </cell>
          <cell r="AJ396">
            <v>24.742999999999999</v>
          </cell>
          <cell r="AK396">
            <v>26.117999999999999</v>
          </cell>
          <cell r="AL396">
            <v>24.136249999999997</v>
          </cell>
          <cell r="AM396">
            <v>28.055499999999999</v>
          </cell>
          <cell r="AN396">
            <v>29.992999999999999</v>
          </cell>
          <cell r="AO396">
            <v>33.202500000000001</v>
          </cell>
          <cell r="AP396">
            <v>36.411999999999999</v>
          </cell>
          <cell r="BL396">
            <v>0</v>
          </cell>
        </row>
        <row r="397">
          <cell r="A397" t="str">
            <v xml:space="preserve">  Year-over-Year growth</v>
          </cell>
          <cell r="AI397">
            <v>0.18187335626137968</v>
          </cell>
          <cell r="AJ397">
            <v>0.20591675601910508</v>
          </cell>
          <cell r="AK397">
            <v>0.22827313769751689</v>
          </cell>
          <cell r="AL397">
            <v>0.17634516034701209</v>
          </cell>
          <cell r="AM397">
            <v>0.25719214913066857</v>
          </cell>
          <cell r="AN397">
            <v>0.28350736049298186</v>
          </cell>
          <cell r="AO397">
            <v>0.34189467728246381</v>
          </cell>
          <cell r="AP397">
            <v>0.39413431350026795</v>
          </cell>
          <cell r="BL397">
            <v>0</v>
          </cell>
        </row>
        <row r="398">
          <cell r="A398" t="str">
            <v>Hotel Employment, Employment Survey</v>
          </cell>
          <cell r="AE398">
            <v>6.17</v>
          </cell>
          <cell r="AF398">
            <v>7.3869999999999996</v>
          </cell>
          <cell r="AG398">
            <v>6.7784999999999993</v>
          </cell>
          <cell r="AH398">
            <v>6.774</v>
          </cell>
          <cell r="AI398">
            <v>6.851</v>
          </cell>
          <cell r="AJ398">
            <v>7.0209999999999999</v>
          </cell>
          <cell r="AK398">
            <v>6.9379999999999997</v>
          </cell>
          <cell r="AL398">
            <v>6.8959999999999999</v>
          </cell>
          <cell r="AM398">
            <v>9.0470000000000006</v>
          </cell>
          <cell r="BL398">
            <v>0</v>
          </cell>
        </row>
        <row r="399">
          <cell r="A399" t="str">
            <v>Hotel Employment, Wages Survey</v>
          </cell>
          <cell r="S399">
            <v>6.0960000000000001</v>
          </cell>
          <cell r="T399">
            <v>6.1735000000000007</v>
          </cell>
          <cell r="U399">
            <v>6.2510000000000003</v>
          </cell>
          <cell r="V399">
            <v>6.2919999999999998</v>
          </cell>
          <cell r="W399">
            <v>6.203125</v>
          </cell>
          <cell r="X399">
            <v>6.3330000000000002</v>
          </cell>
          <cell r="Y399">
            <v>6.3834999999999997</v>
          </cell>
          <cell r="Z399">
            <v>6.4340000000000002</v>
          </cell>
          <cell r="AA399">
            <v>6.6295000000000002</v>
          </cell>
          <cell r="AB399">
            <v>6.4450000000000003</v>
          </cell>
          <cell r="AC399">
            <v>6.8250000000000002</v>
          </cell>
          <cell r="AD399">
            <v>7.1884999999999994</v>
          </cell>
          <cell r="AE399">
            <v>7.5519999999999996</v>
          </cell>
          <cell r="AF399">
            <v>8.2720000000000002</v>
          </cell>
          <cell r="AG399">
            <v>7.4593749999999996</v>
          </cell>
          <cell r="AH399">
            <v>8.9920000000000009</v>
          </cell>
          <cell r="AI399">
            <v>8.9359999999999999</v>
          </cell>
          <cell r="AJ399">
            <v>8.8800000000000008</v>
          </cell>
          <cell r="AK399">
            <v>9.2089999999999996</v>
          </cell>
          <cell r="AL399">
            <v>9.004249999999999</v>
          </cell>
          <cell r="AM399">
            <v>9.5380000000000003</v>
          </cell>
          <cell r="AN399">
            <v>8.6471479081472165</v>
          </cell>
          <cell r="AO399">
            <v>9.0488848065429401</v>
          </cell>
          <cell r="AP399">
            <v>9.5758188109468385</v>
          </cell>
          <cell r="AQ399">
            <v>9.2024628814092484</v>
          </cell>
          <cell r="AR399">
            <v>8.7930128112477295</v>
          </cell>
          <cell r="AS399">
            <v>8.9405516250982355</v>
          </cell>
          <cell r="AT399">
            <v>11.592073169851064</v>
          </cell>
          <cell r="AU399">
            <v>11.999340864094536</v>
          </cell>
          <cell r="AV399">
            <v>10.33124461757289</v>
          </cell>
          <cell r="AW399">
            <v>13.035306419081749</v>
          </cell>
          <cell r="AX399">
            <v>18.651152085446618</v>
          </cell>
          <cell r="AY399">
            <v>23.99818774887428</v>
          </cell>
          <cell r="AZ399">
            <v>24.987848245885917</v>
          </cell>
          <cell r="BA399">
            <v>24.987848245885917</v>
          </cell>
          <cell r="BK399">
            <v>10.717464151802744</v>
          </cell>
          <cell r="BL399">
            <v>-0.38621953422985378</v>
          </cell>
        </row>
        <row r="400">
          <cell r="BL400">
            <v>0</v>
          </cell>
        </row>
        <row r="401">
          <cell r="A401" t="str">
            <v>Non-resident</v>
          </cell>
          <cell r="BL401">
            <v>0</v>
          </cell>
        </row>
        <row r="402">
          <cell r="A402" t="str">
            <v xml:space="preserve">  Construction Employment</v>
          </cell>
          <cell r="AA402">
            <v>1.7150000000000001</v>
          </cell>
          <cell r="AB402">
            <v>1.7150000000000001</v>
          </cell>
          <cell r="AC402">
            <v>2.117</v>
          </cell>
          <cell r="AD402">
            <v>2.077</v>
          </cell>
          <cell r="AE402">
            <v>2.0419999999999998</v>
          </cell>
          <cell r="AF402">
            <v>1.85</v>
          </cell>
          <cell r="AG402">
            <v>2.0215000000000001</v>
          </cell>
          <cell r="AH402">
            <v>2.0840000000000001</v>
          </cell>
          <cell r="AI402">
            <v>3.0059999999999998</v>
          </cell>
          <cell r="AJ402">
            <v>3.9569999999999999</v>
          </cell>
          <cell r="AK402">
            <v>5.0119999999999996</v>
          </cell>
          <cell r="AL402">
            <v>3.5147500000000003</v>
          </cell>
          <cell r="AM402">
            <v>6.1360000000000001</v>
          </cell>
          <cell r="AN402">
            <v>6.4290000000000003</v>
          </cell>
          <cell r="AO402">
            <v>6.8470000000000004</v>
          </cell>
          <cell r="AP402">
            <v>7.42</v>
          </cell>
          <cell r="BL402">
            <v>0</v>
          </cell>
        </row>
        <row r="403">
          <cell r="A403" t="str">
            <v xml:space="preserve">  Gaming Employment</v>
          </cell>
          <cell r="AA403">
            <v>0.57699999999999996</v>
          </cell>
          <cell r="AB403">
            <v>0.57699999999999996</v>
          </cell>
          <cell r="AC403">
            <v>0.61499999999999999</v>
          </cell>
          <cell r="AD403">
            <v>0.71</v>
          </cell>
          <cell r="AE403">
            <v>0.92400000000000004</v>
          </cell>
          <cell r="AF403">
            <v>1.4470000000000001</v>
          </cell>
          <cell r="AG403">
            <v>0.92400000000000004</v>
          </cell>
          <cell r="AH403">
            <v>1.6559999999999999</v>
          </cell>
          <cell r="AI403">
            <v>1.657</v>
          </cell>
          <cell r="AJ403">
            <v>2.698</v>
          </cell>
          <cell r="AK403">
            <v>4.3330000000000002</v>
          </cell>
          <cell r="AL403">
            <v>2.5859999999999999</v>
          </cell>
          <cell r="AM403">
            <v>8.7919999999999998</v>
          </cell>
          <cell r="AN403">
            <v>10.821999999999999</v>
          </cell>
          <cell r="AO403">
            <v>14.406000000000001</v>
          </cell>
          <cell r="AP403">
            <v>18.378</v>
          </cell>
          <cell r="BL403">
            <v>0</v>
          </cell>
        </row>
        <row r="404">
          <cell r="A404" t="str">
            <v xml:space="preserve">  Hotel &amp; Restaurant Employment</v>
          </cell>
          <cell r="AA404">
            <v>2.556</v>
          </cell>
          <cell r="AB404">
            <v>2.556</v>
          </cell>
          <cell r="AC404">
            <v>2.5249999999999999</v>
          </cell>
          <cell r="AD404">
            <v>2.4049999999999998</v>
          </cell>
          <cell r="AE404">
            <v>2.5920000000000001</v>
          </cell>
          <cell r="AF404">
            <v>2.778</v>
          </cell>
          <cell r="AG404">
            <v>2.5750000000000002</v>
          </cell>
          <cell r="AH404">
            <v>3.484</v>
          </cell>
          <cell r="AI404">
            <v>3.9390000000000001</v>
          </cell>
          <cell r="AJ404">
            <v>4.5679999999999996</v>
          </cell>
          <cell r="AK404">
            <v>5.0069999999999997</v>
          </cell>
          <cell r="AL404">
            <v>4.2494999999999994</v>
          </cell>
          <cell r="AM404">
            <v>5.6989999999999998</v>
          </cell>
          <cell r="AN404">
            <v>5.7409999999999997</v>
          </cell>
          <cell r="AO404">
            <v>6.3789999999999996</v>
          </cell>
          <cell r="AP404">
            <v>7.601</v>
          </cell>
          <cell r="BL404">
            <v>0</v>
          </cell>
        </row>
        <row r="405">
          <cell r="BL405">
            <v>0</v>
          </cell>
        </row>
        <row r="406">
          <cell r="A406" t="str">
            <v>Total employees per room</v>
          </cell>
          <cell r="H406">
            <v>21.469621461138797</v>
          </cell>
          <cell r="I406">
            <v>21.340648854961831</v>
          </cell>
          <cell r="J406">
            <v>21.434534081104403</v>
          </cell>
          <cell r="K406">
            <v>21.247750815441414</v>
          </cell>
          <cell r="L406">
            <v>21.944632931494979</v>
          </cell>
          <cell r="M406">
            <v>21.493380595612127</v>
          </cell>
          <cell r="N406">
            <v>21.587359244460586</v>
          </cell>
          <cell r="O406">
            <v>22.324079572446557</v>
          </cell>
          <cell r="P406">
            <v>22.832957527815772</v>
          </cell>
          <cell r="Q406">
            <v>22.925982040574997</v>
          </cell>
          <cell r="R406">
            <v>22.411316167532327</v>
          </cell>
          <cell r="S406">
            <v>22.5914362176628</v>
          </cell>
          <cell r="T406">
            <v>22.635577678805344</v>
          </cell>
          <cell r="U406">
            <v>22.651159266555542</v>
          </cell>
          <cell r="V406">
            <v>22.219323095273595</v>
          </cell>
          <cell r="W406">
            <v>22.529411214166053</v>
          </cell>
          <cell r="X406">
            <v>22.42760779637014</v>
          </cell>
          <cell r="Y406">
            <v>22.437238493723846</v>
          </cell>
          <cell r="Z406">
            <v>22.803386641580431</v>
          </cell>
          <cell r="AA406">
            <v>22.833981366003961</v>
          </cell>
          <cell r="AB406">
            <v>22.628865019825383</v>
          </cell>
          <cell r="AC406">
            <v>22.854460771924757</v>
          </cell>
          <cell r="AD406">
            <v>22.759657727972503</v>
          </cell>
          <cell r="AE406">
            <v>23.839198876121177</v>
          </cell>
          <cell r="AF406">
            <v>25.006386628225247</v>
          </cell>
          <cell r="AG406">
            <v>23.609531546168427</v>
          </cell>
          <cell r="AH406">
            <v>22.470407930348582</v>
          </cell>
          <cell r="AI406">
            <v>21.973405767347842</v>
          </cell>
          <cell r="AJ406">
            <v>22.724127083988677</v>
          </cell>
          <cell r="AK406">
            <v>23.108359133126939</v>
          </cell>
          <cell r="AL406">
            <v>22.572734895347185</v>
          </cell>
          <cell r="AM406">
            <v>22.972446256708544</v>
          </cell>
          <cell r="AN406">
            <v>23.008489359227816</v>
          </cell>
          <cell r="AO406">
            <v>22.60376729454909</v>
          </cell>
          <cell r="AP406">
            <v>21.761617222368081</v>
          </cell>
          <cell r="BL406">
            <v>0</v>
          </cell>
        </row>
        <row r="407">
          <cell r="A407" t="str">
            <v>Total employees per position</v>
          </cell>
          <cell r="X407">
            <v>42.869354608918648</v>
          </cell>
          <cell r="Y407">
            <v>42.783872346488103</v>
          </cell>
          <cell r="Z407">
            <v>43.168542527425558</v>
          </cell>
          <cell r="AA407">
            <v>44.139544777706874</v>
          </cell>
          <cell r="AB407">
            <v>43.246704733443622</v>
          </cell>
          <cell r="AC407">
            <v>44.88406721974048</v>
          </cell>
          <cell r="AD407">
            <v>34.036054906067797</v>
          </cell>
          <cell r="AE407">
            <v>29.509073884157491</v>
          </cell>
          <cell r="AF407">
            <v>22.649058588680642</v>
          </cell>
          <cell r="AG407">
            <v>30.607242284143783</v>
          </cell>
          <cell r="AH407">
            <v>18.380411298711689</v>
          </cell>
          <cell r="AI407">
            <v>17.462568556332283</v>
          </cell>
          <cell r="AJ407">
            <v>17.601481409288045</v>
          </cell>
          <cell r="AK407">
            <v>17.154085701481215</v>
          </cell>
          <cell r="AL407">
            <v>17.627436930147514</v>
          </cell>
          <cell r="AM407">
            <v>15.077186457687656</v>
          </cell>
          <cell r="AN407">
            <v>12.957202265955013</v>
          </cell>
          <cell r="AO407">
            <v>11.569307775439396</v>
          </cell>
          <cell r="AP407">
            <v>9.7997702128046011</v>
          </cell>
          <cell r="BL407">
            <v>0</v>
          </cell>
        </row>
        <row r="408">
          <cell r="A408" t="str">
            <v>Gaming employees per position</v>
          </cell>
          <cell r="AE408">
            <v>3.0231417487849472</v>
          </cell>
          <cell r="AF408">
            <v>2.6152522861614478</v>
          </cell>
          <cell r="AG408">
            <v>3.4383036503759001</v>
          </cell>
          <cell r="AH408">
            <v>2.1724413859326237</v>
          </cell>
          <cell r="AI408">
            <v>2.1307496329020195</v>
          </cell>
          <cell r="AJ408">
            <v>2.403026168315384</v>
          </cell>
          <cell r="AK408">
            <v>2.2867058134056508</v>
          </cell>
          <cell r="AL408">
            <v>2.251352820538163</v>
          </cell>
          <cell r="AM408">
            <v>1.9857728976652207</v>
          </cell>
          <cell r="AN408">
            <v>1.9857728976652207</v>
          </cell>
          <cell r="AO408">
            <v>1.9857728976652207</v>
          </cell>
          <cell r="AP408">
            <v>1.9857728976652207</v>
          </cell>
          <cell r="AQ408">
            <v>1.8976507736994772</v>
          </cell>
          <cell r="AR408">
            <v>1.7871956078986986</v>
          </cell>
          <cell r="AS408">
            <v>1.7871956078986986</v>
          </cell>
          <cell r="AT408">
            <v>1.7871956078986986</v>
          </cell>
          <cell r="AU408">
            <v>1.7871956078986986</v>
          </cell>
          <cell r="AV408">
            <v>1.7871956078986986</v>
          </cell>
          <cell r="AW408">
            <v>1.6084760471088289</v>
          </cell>
          <cell r="AX408">
            <v>1.447628442397946</v>
          </cell>
          <cell r="AY408">
            <v>1.3028655981581514</v>
          </cell>
          <cell r="AZ408">
            <v>1.3028655981581514</v>
          </cell>
          <cell r="BA408">
            <v>1.3028655981581514</v>
          </cell>
          <cell r="BK408">
            <v>1.7871956078986984</v>
          </cell>
          <cell r="BL408">
            <v>0</v>
          </cell>
        </row>
        <row r="409">
          <cell r="A409" t="str">
            <v>Gaming employees per table</v>
          </cell>
          <cell r="AE409">
            <v>33.235294117647065</v>
          </cell>
          <cell r="AF409">
            <v>28.167123287671235</v>
          </cell>
          <cell r="AG409">
            <v>37.070097955006155</v>
          </cell>
          <cell r="AH409">
            <v>23.424503882657465</v>
          </cell>
          <cell r="AI409">
            <v>22.902468636179684</v>
          </cell>
          <cell r="AJ409">
            <v>25.875639512003147</v>
          </cell>
          <cell r="AK409">
            <v>24.71385991058122</v>
          </cell>
          <cell r="AL409">
            <v>24.26323147593369</v>
          </cell>
          <cell r="AM409">
            <v>21.549007046764892</v>
          </cell>
          <cell r="AN409">
            <v>21.549007046764892</v>
          </cell>
          <cell r="AO409">
            <v>21.549007046764892</v>
          </cell>
          <cell r="AP409">
            <v>21.549007046764892</v>
          </cell>
          <cell r="AQ409">
            <v>20.437357965580738</v>
          </cell>
          <cell r="AR409">
            <v>19.394106342088403</v>
          </cell>
          <cell r="AS409">
            <v>19.394106342088403</v>
          </cell>
          <cell r="AT409">
            <v>19.394106342088403</v>
          </cell>
          <cell r="AU409">
            <v>19.394106342088403</v>
          </cell>
          <cell r="AV409">
            <v>20.047988212869072</v>
          </cell>
          <cell r="AW409">
            <v>17.454695707879562</v>
          </cell>
          <cell r="AX409">
            <v>15.709226137091607</v>
          </cell>
          <cell r="AY409">
            <v>14.138303523382445</v>
          </cell>
          <cell r="AZ409">
            <v>14.138303523382445</v>
          </cell>
          <cell r="BA409">
            <v>14.138303523382445</v>
          </cell>
          <cell r="BK409">
            <v>19.179241363994485</v>
          </cell>
          <cell r="BL409">
            <v>0.86874684887458642</v>
          </cell>
        </row>
        <row r="410">
          <cell r="A410" t="str">
            <v>Hotel employees per room</v>
          </cell>
          <cell r="S410">
            <v>0.67975022301516508</v>
          </cell>
          <cell r="T410">
            <v>0.69315842658782145</v>
          </cell>
          <cell r="U410">
            <v>0.71044855281103214</v>
          </cell>
          <cell r="V410">
            <v>0.70359326077232742</v>
          </cell>
          <cell r="W410">
            <v>0.69667374844403684</v>
          </cell>
          <cell r="X410">
            <v>0.70804606268400838</v>
          </cell>
          <cell r="Y410">
            <v>0.71542513448894196</v>
          </cell>
          <cell r="Z410">
            <v>0.72632173095014108</v>
          </cell>
          <cell r="AA410">
            <v>0.72953194923336517</v>
          </cell>
          <cell r="AB410">
            <v>0.71985703382415889</v>
          </cell>
          <cell r="AC410">
            <v>0.73924973823879847</v>
          </cell>
          <cell r="AD410">
            <v>0.77209910135691506</v>
          </cell>
          <cell r="AE410">
            <v>0.81610892979359539</v>
          </cell>
          <cell r="AF410">
            <v>0.9056603773584907</v>
          </cell>
          <cell r="AG410">
            <v>0.80794746818304897</v>
          </cell>
          <cell r="AH410">
            <v>0.87964261258029808</v>
          </cell>
          <cell r="AI410">
            <v>0.84671993935756928</v>
          </cell>
          <cell r="AJ410">
            <v>0.83799937087134324</v>
          </cell>
          <cell r="AK410">
            <v>0.83799937087134324</v>
          </cell>
          <cell r="AL410">
            <v>0.85471214542232909</v>
          </cell>
          <cell r="AM410">
            <v>0.75419943378420895</v>
          </cell>
          <cell r="AN410">
            <v>0.75419943378420895</v>
          </cell>
          <cell r="AO410">
            <v>0.75419943378420895</v>
          </cell>
          <cell r="AP410">
            <v>0.75419943378420895</v>
          </cell>
          <cell r="AQ410">
            <v>0.77858858359416339</v>
          </cell>
          <cell r="AR410">
            <v>0.67877949040578811</v>
          </cell>
          <cell r="AS410">
            <v>0.67877949040578811</v>
          </cell>
          <cell r="AT410">
            <v>0.67877949040578811</v>
          </cell>
          <cell r="AU410">
            <v>0.67877949040578811</v>
          </cell>
          <cell r="AV410">
            <v>0.678779490405788</v>
          </cell>
          <cell r="AW410">
            <v>0.61090154136520936</v>
          </cell>
          <cell r="AX410">
            <v>0.54981138722868839</v>
          </cell>
          <cell r="AY410">
            <v>0.49483024850581958</v>
          </cell>
          <cell r="AZ410">
            <v>0.49483024850581958</v>
          </cell>
          <cell r="BA410">
            <v>0.49483024850581958</v>
          </cell>
          <cell r="BK410">
            <v>0.70070157467219263</v>
          </cell>
          <cell r="BL410">
            <v>-2.1922084266404629E-2</v>
          </cell>
        </row>
        <row r="411">
          <cell r="BL411">
            <v>0</v>
          </cell>
        </row>
        <row r="412">
          <cell r="A412" t="str">
            <v>Unemployment Rate</v>
          </cell>
          <cell r="S412">
            <v>6.3E-2</v>
          </cell>
          <cell r="T412">
            <v>6.2E-2</v>
          </cell>
          <cell r="U412">
            <v>6.4000000000000001E-2</v>
          </cell>
          <cell r="V412">
            <v>6.2E-2</v>
          </cell>
          <cell r="W412">
            <v>6.275E-2</v>
          </cell>
          <cell r="X412">
            <v>6.0999999999999999E-2</v>
          </cell>
          <cell r="Y412">
            <v>6.5000000000000002E-2</v>
          </cell>
          <cell r="Z412">
            <v>0.06</v>
          </cell>
          <cell r="AA412">
            <v>5.5E-2</v>
          </cell>
          <cell r="AB412">
            <v>6.0249999999999998E-2</v>
          </cell>
          <cell r="AC412">
            <v>5.5E-2</v>
          </cell>
          <cell r="AD412">
            <v>0.05</v>
          </cell>
          <cell r="AE412">
            <v>4.7E-2</v>
          </cell>
          <cell r="AF412">
            <v>4.0999999999999995E-2</v>
          </cell>
          <cell r="AG412">
            <v>4.8250000000000001E-2</v>
          </cell>
          <cell r="AH412">
            <v>4.1000000000000002E-2</v>
          </cell>
          <cell r="AI412">
            <v>4.2000000000000003E-2</v>
          </cell>
          <cell r="AJ412">
            <v>4.1000000000000002E-2</v>
          </cell>
          <cell r="AK412">
            <v>0.04</v>
          </cell>
          <cell r="AL412">
            <v>4.1000000000000002E-2</v>
          </cell>
          <cell r="AM412">
            <v>3.9E-2</v>
          </cell>
          <cell r="AN412">
            <v>3.7999999999999999E-2</v>
          </cell>
          <cell r="AO412">
            <v>3.7999999999999999E-2</v>
          </cell>
          <cell r="AP412">
            <v>3.5000000000000003E-2</v>
          </cell>
          <cell r="BL412">
            <v>0</v>
          </cell>
        </row>
        <row r="413">
          <cell r="BL413">
            <v>0</v>
          </cell>
        </row>
        <row r="414">
          <cell r="A414" t="str">
            <v>Exports/Imports (millions MOP)</v>
          </cell>
          <cell r="BL414">
            <v>0</v>
          </cell>
        </row>
        <row r="415">
          <cell r="A415" t="str">
            <v>Total Imports (current prices)</v>
          </cell>
          <cell r="G415">
            <v>27568.218242199513</v>
          </cell>
          <cell r="H415">
            <v>29211.244810954508</v>
          </cell>
          <cell r="I415">
            <v>6816.5181719274642</v>
          </cell>
          <cell r="J415">
            <v>7932.2153340230334</v>
          </cell>
          <cell r="K415">
            <v>8677.9475167882192</v>
          </cell>
          <cell r="L415">
            <v>8224.5087563144243</v>
          </cell>
          <cell r="M415">
            <v>31651.189779053144</v>
          </cell>
          <cell r="N415">
            <v>7499.7337152228602</v>
          </cell>
          <cell r="O415">
            <v>8190.6629003175294</v>
          </cell>
          <cell r="P415">
            <v>8477.2900201686643</v>
          </cell>
          <cell r="Q415">
            <v>8209.7473648190135</v>
          </cell>
          <cell r="R415">
            <v>32377.434000528068</v>
          </cell>
          <cell r="S415">
            <v>7614.2427252273437</v>
          </cell>
          <cell r="T415">
            <v>8804.1241322081605</v>
          </cell>
          <cell r="U415">
            <v>9224.0395736383052</v>
          </cell>
          <cell r="V415">
            <v>9291.111526779152</v>
          </cell>
          <cell r="W415">
            <v>34933.517957852964</v>
          </cell>
          <cell r="X415">
            <v>8701.8222932962071</v>
          </cell>
          <cell r="Y415">
            <v>8738.645515755672</v>
          </cell>
          <cell r="Z415">
            <v>10608.807186988826</v>
          </cell>
          <cell r="AA415">
            <v>10876.786017266861</v>
          </cell>
          <cell r="AB415">
            <v>38926.061013307568</v>
          </cell>
          <cell r="AC415">
            <v>10301.104109288022</v>
          </cell>
          <cell r="AD415">
            <v>11779.024610396467</v>
          </cell>
          <cell r="AE415">
            <v>13151.013047103628</v>
          </cell>
          <cell r="AF415">
            <v>13075.068257534489</v>
          </cell>
          <cell r="AG415">
            <v>48306.210024322609</v>
          </cell>
          <cell r="AH415">
            <v>10984.916984330237</v>
          </cell>
          <cell r="AI415">
            <v>12208.800594500433</v>
          </cell>
          <cell r="AJ415">
            <v>15262.662241270888</v>
          </cell>
          <cell r="AK415">
            <v>16102.672932297981</v>
          </cell>
          <cell r="AL415">
            <v>54559.052752399541</v>
          </cell>
          <cell r="AM415">
            <v>14034.723</v>
          </cell>
          <cell r="AN415">
            <v>15809.415000000001</v>
          </cell>
          <cell r="AO415">
            <v>17467.063999999998</v>
          </cell>
          <cell r="AP415">
            <v>18012.901000000002</v>
          </cell>
          <cell r="AQ415">
            <v>65324.103000000003</v>
          </cell>
          <cell r="BL415">
            <v>0</v>
          </cell>
        </row>
        <row r="416">
          <cell r="A416" t="str">
            <v xml:space="preserve">  Year-over-Year growth</v>
          </cell>
          <cell r="H416">
            <v>5.9598576676963555E-2</v>
          </cell>
          <cell r="M416">
            <v>8.3527593017317603E-2</v>
          </cell>
          <cell r="N416">
            <v>0.10022940246959067</v>
          </cell>
          <cell r="O416">
            <v>3.2582015920061602E-2</v>
          </cell>
          <cell r="P416">
            <v>-2.3122690732038431E-2</v>
          </cell>
          <cell r="Q416">
            <v>-1.7948052501102207E-3</v>
          </cell>
          <cell r="R416">
            <v>2.2945242391979592E-2</v>
          </cell>
          <cell r="S416">
            <v>1.5268410099955165E-2</v>
          </cell>
          <cell r="T416">
            <v>7.489762908773212E-2</v>
          </cell>
          <cell r="U416">
            <v>8.8088239483728792E-2</v>
          </cell>
          <cell r="V416">
            <v>0.13171710576552886</v>
          </cell>
          <cell r="W416">
            <v>7.8946464913902892E-2</v>
          </cell>
          <cell r="X416">
            <v>0.14283489603838317</v>
          </cell>
          <cell r="Y416">
            <v>-7.4372663843922382E-3</v>
          </cell>
          <cell r="Z416">
            <v>0.15012594019090031</v>
          </cell>
          <cell r="AA416">
            <v>0.17066574714095561</v>
          </cell>
          <cell r="AB416">
            <v>0.1142897506134819</v>
          </cell>
          <cell r="AC416">
            <v>0.1837870002498081</v>
          </cell>
          <cell r="AD416">
            <v>0.34792338116462429</v>
          </cell>
          <cell r="AE416">
            <v>0.23963163957138289</v>
          </cell>
          <cell r="AF416">
            <v>0.20210770321102789</v>
          </cell>
          <cell r="AG416">
            <v>0.24097349608038354</v>
          </cell>
          <cell r="AH416">
            <v>6.6382483643248724E-2</v>
          </cell>
          <cell r="AI416">
            <v>3.6486551163551706E-2</v>
          </cell>
          <cell r="AJ416">
            <v>0.16056931786196715</v>
          </cell>
          <cell r="AK416">
            <v>0.23155555406135941</v>
          </cell>
          <cell r="AL416">
            <v>0.12944179899289487</v>
          </cell>
          <cell r="AM416">
            <v>0.27763578186528393</v>
          </cell>
          <cell r="AN416">
            <v>0.29491958506730764</v>
          </cell>
          <cell r="AO416">
            <v>0.14443101235433975</v>
          </cell>
          <cell r="AP416">
            <v>0.11862801137012324</v>
          </cell>
          <cell r="AQ416">
            <v>0.19731006504923254</v>
          </cell>
          <cell r="BL416">
            <v>0</v>
          </cell>
        </row>
        <row r="417">
          <cell r="A417" t="str">
            <v xml:space="preserve">  in USD</v>
          </cell>
          <cell r="G417">
            <v>3435.2324915742288</v>
          </cell>
          <cell r="H417">
            <v>3633.6893675325</v>
          </cell>
          <cell r="I417">
            <v>852.6656493039402</v>
          </cell>
          <cell r="J417">
            <v>989.68311198657557</v>
          </cell>
          <cell r="K417">
            <v>1093.5817416033437</v>
          </cell>
          <cell r="L417">
            <v>1024.5612978336496</v>
          </cell>
          <cell r="M417">
            <v>3959.5072779435304</v>
          </cell>
          <cell r="N417">
            <v>932.36332569353044</v>
          </cell>
          <cell r="O417">
            <v>1023.2093822930165</v>
          </cell>
          <cell r="P417">
            <v>1056.9269450813285</v>
          </cell>
          <cell r="Q417">
            <v>1021.3830048941913</v>
          </cell>
          <cell r="R417">
            <v>4033.6846875401375</v>
          </cell>
          <cell r="S417">
            <v>946.34689384090109</v>
          </cell>
          <cell r="T417">
            <v>1108.8904156552192</v>
          </cell>
          <cell r="U417">
            <v>1152.6668628639097</v>
          </cell>
          <cell r="V417">
            <v>1160.982759865559</v>
          </cell>
          <cell r="W417">
            <v>4368.1363640185109</v>
          </cell>
          <cell r="X417">
            <v>1082.9560160829185</v>
          </cell>
          <cell r="Y417">
            <v>1090.7252611830725</v>
          </cell>
          <cell r="Z417">
            <v>1319.9140626494498</v>
          </cell>
          <cell r="AA417">
            <v>1367.0089205578236</v>
          </cell>
          <cell r="AB417">
            <v>4859.5650665725107</v>
          </cell>
          <cell r="AC417">
            <v>1289.6008091210704</v>
          </cell>
          <cell r="AD417">
            <v>1467.034667404796</v>
          </cell>
          <cell r="AE417">
            <v>1637.0369645242506</v>
          </cell>
          <cell r="AF417">
            <v>1631.381789698765</v>
          </cell>
          <cell r="AG417">
            <v>6026.0472981240991</v>
          </cell>
          <cell r="AH417">
            <v>1367.7736874006393</v>
          </cell>
          <cell r="AI417">
            <v>1521.7630496211332</v>
          </cell>
          <cell r="AJ417">
            <v>1907.1069792527189</v>
          </cell>
          <cell r="AK417">
            <v>2015.942684407051</v>
          </cell>
          <cell r="AL417">
            <v>6810.3582896180096</v>
          </cell>
          <cell r="AM417">
            <v>1756.4086856248377</v>
          </cell>
          <cell r="AN417">
            <v>1978.4513211868168</v>
          </cell>
          <cell r="AO417">
            <v>2180.5572193066209</v>
          </cell>
          <cell r="AP417">
            <v>2247.5757682100657</v>
          </cell>
          <cell r="AQ417">
            <v>8163.9519203566815</v>
          </cell>
          <cell r="BL417">
            <v>0</v>
          </cell>
        </row>
        <row r="418">
          <cell r="BL418">
            <v>0</v>
          </cell>
        </row>
        <row r="419">
          <cell r="A419" t="str">
            <v>Total Exports (current prices)</v>
          </cell>
          <cell r="G419">
            <v>41756.576252353996</v>
          </cell>
          <cell r="H419">
            <v>41119.12116626052</v>
          </cell>
          <cell r="I419">
            <v>10805.519157273628</v>
          </cell>
          <cell r="J419">
            <v>11775.834717029229</v>
          </cell>
          <cell r="K419">
            <v>13939.848640725273</v>
          </cell>
          <cell r="L419">
            <v>12658.295184206569</v>
          </cell>
          <cell r="M419">
            <v>49179.497699234693</v>
          </cell>
          <cell r="N419">
            <v>11470.367513623394</v>
          </cell>
          <cell r="O419">
            <v>12397.091519947178</v>
          </cell>
          <cell r="P419">
            <v>13838.094613471831</v>
          </cell>
          <cell r="Q419">
            <v>13332.793474175118</v>
          </cell>
          <cell r="R419">
            <v>51038.347121217521</v>
          </cell>
          <cell r="S419">
            <v>12297.5242134936</v>
          </cell>
          <cell r="T419">
            <v>14062.447189076527</v>
          </cell>
          <cell r="U419">
            <v>14999.874929752988</v>
          </cell>
          <cell r="V419">
            <v>15806.170048736081</v>
          </cell>
          <cell r="W419">
            <v>57166.016381059191</v>
          </cell>
          <cell r="X419">
            <v>15165.21383305585</v>
          </cell>
          <cell r="Y419">
            <v>13157.325021977367</v>
          </cell>
          <cell r="Z419">
            <v>18212.49206733243</v>
          </cell>
          <cell r="AA419">
            <v>19156.421216237231</v>
          </cell>
          <cell r="AB419">
            <v>65691.452138602879</v>
          </cell>
          <cell r="AC419">
            <v>19154.963420939632</v>
          </cell>
          <cell r="AD419">
            <v>21150.7211014553</v>
          </cell>
          <cell r="AE419">
            <v>23931.976932450176</v>
          </cell>
          <cell r="AF419">
            <v>23035.799758751855</v>
          </cell>
          <cell r="AG419">
            <v>87273.461213596966</v>
          </cell>
          <cell r="AH419">
            <v>19994.017858232572</v>
          </cell>
          <cell r="AI419">
            <v>20763.958772064514</v>
          </cell>
          <cell r="AJ419">
            <v>23708.954491881166</v>
          </cell>
          <cell r="AK419">
            <v>24556.19827720413</v>
          </cell>
          <cell r="AL419">
            <v>89023.129399382378</v>
          </cell>
          <cell r="AM419">
            <v>24183.184000000001</v>
          </cell>
          <cell r="AN419">
            <v>24945.741000000002</v>
          </cell>
          <cell r="AO419">
            <v>26048.107</v>
          </cell>
          <cell r="AP419">
            <v>29351.073</v>
          </cell>
          <cell r="AQ419">
            <v>104528.10500000001</v>
          </cell>
          <cell r="BL419">
            <v>0</v>
          </cell>
        </row>
        <row r="420">
          <cell r="A420" t="str">
            <v xml:space="preserve">  Year-over-Year growth</v>
          </cell>
          <cell r="H420">
            <v>-1.5265980674302515E-2</v>
          </cell>
          <cell r="M420">
            <v>0.19602501961029151</v>
          </cell>
          <cell r="N420">
            <v>6.1528589850514459E-2</v>
          </cell>
          <cell r="O420">
            <v>5.2756922786929117E-2</v>
          </cell>
          <cell r="P420">
            <v>-7.2995073243599107E-3</v>
          </cell>
          <cell r="Q420">
            <v>5.328508145473676E-2</v>
          </cell>
          <cell r="R420">
            <v>3.7797242935479591E-2</v>
          </cell>
          <cell r="S420">
            <v>7.2112484529182508E-2</v>
          </cell>
          <cell r="T420">
            <v>0.1343343853233443</v>
          </cell>
          <cell r="U420">
            <v>8.3955222791302964E-2</v>
          </cell>
          <cell r="V420">
            <v>0.1855107543180472</v>
          </cell>
          <cell r="W420">
            <v>0.12006010393103606</v>
          </cell>
          <cell r="X420">
            <v>0.23319243530463196</v>
          </cell>
          <cell r="Y420">
            <v>-6.4364484710900394E-2</v>
          </cell>
          <cell r="Z420">
            <v>0.21417626164382608</v>
          </cell>
          <cell r="AA420">
            <v>0.21195844136632247</v>
          </cell>
          <cell r="AB420">
            <v>0.14913468345799274</v>
          </cell>
          <cell r="AC420">
            <v>0.26308561368170502</v>
          </cell>
          <cell r="AD420">
            <v>0.60752440683240283</v>
          </cell>
          <cell r="AE420">
            <v>0.31404185895991299</v>
          </cell>
          <cell r="AF420">
            <v>0.20251060982238234</v>
          </cell>
          <cell r="AG420">
            <v>0.32853603280770916</v>
          </cell>
          <cell r="AH420">
            <v>4.3803499847758109E-2</v>
          </cell>
          <cell r="AI420">
            <v>-1.8286011504552113E-2</v>
          </cell>
          <cell r="AJ420">
            <v>-9.319014521805169E-3</v>
          </cell>
          <cell r="AK420">
            <v>6.6001551253918933E-2</v>
          </cell>
          <cell r="AL420">
            <v>2.0048112696059883E-2</v>
          </cell>
          <cell r="AM420">
            <v>0.20952097629754451</v>
          </cell>
          <cell r="AN420">
            <v>0.20139619201910519</v>
          </cell>
          <cell r="AO420">
            <v>9.8661141254450913E-2</v>
          </cell>
          <cell r="AP420">
            <v>0.19526128062123616</v>
          </cell>
          <cell r="AQ420">
            <v>0.17416794607453112</v>
          </cell>
          <cell r="BL420">
            <v>0</v>
          </cell>
        </row>
        <row r="421">
          <cell r="A421" t="str">
            <v xml:space="preserve">  in USD</v>
          </cell>
          <cell r="G421">
            <v>5203.2215582003</v>
          </cell>
          <cell r="H421">
            <v>5114.9519423454922</v>
          </cell>
          <cell r="I421">
            <v>1351.6424039250585</v>
          </cell>
          <cell r="J421">
            <v>1469.2421042833985</v>
          </cell>
          <cell r="K421">
            <v>1756.6785146741026</v>
          </cell>
          <cell r="L421">
            <v>1576.8965328579566</v>
          </cell>
          <cell r="M421">
            <v>6152.2672741546521</v>
          </cell>
          <cell r="N421">
            <v>1425.9906295367907</v>
          </cell>
          <cell r="O421">
            <v>1548.6927628120784</v>
          </cell>
          <cell r="P421">
            <v>1725.2984185708176</v>
          </cell>
          <cell r="Q421">
            <v>1658.7463727133652</v>
          </cell>
          <cell r="R421">
            <v>6358.5211618949061</v>
          </cell>
          <cell r="S421">
            <v>1528.4151374390897</v>
          </cell>
          <cell r="T421">
            <v>1771.1827632663762</v>
          </cell>
          <cell r="U421">
            <v>1874.4345837416674</v>
          </cell>
          <cell r="V421">
            <v>1975.0802552735461</v>
          </cell>
          <cell r="W421">
            <v>7148.1193288764835</v>
          </cell>
          <cell r="X421">
            <v>1887.3356639728252</v>
          </cell>
          <cell r="Y421">
            <v>1642.2484176972405</v>
          </cell>
          <cell r="Z421">
            <v>2265.9403618011052</v>
          </cell>
          <cell r="AA421">
            <v>2407.6044749788844</v>
          </cell>
          <cell r="AB421">
            <v>8200.9809797102116</v>
          </cell>
          <cell r="AC421">
            <v>2398.020257270809</v>
          </cell>
          <cell r="AD421">
            <v>2634.2453745328139</v>
          </cell>
          <cell r="AE421">
            <v>2979.0504147656566</v>
          </cell>
          <cell r="AF421">
            <v>2874.18646674517</v>
          </cell>
          <cell r="AG421">
            <v>10887.088945279127</v>
          </cell>
          <cell r="AH421">
            <v>2489.5310152019683</v>
          </cell>
          <cell r="AI421">
            <v>2588.1187081897224</v>
          </cell>
          <cell r="AJ421">
            <v>2962.4918554501587</v>
          </cell>
          <cell r="AK421">
            <v>3074.2652776910181</v>
          </cell>
          <cell r="AL421">
            <v>11112.352152157848</v>
          </cell>
          <cell r="AM421">
            <v>3026.461899081557</v>
          </cell>
          <cell r="AN421">
            <v>3121.8064829997916</v>
          </cell>
          <cell r="AO421">
            <v>3251.799373273112</v>
          </cell>
          <cell r="AP421">
            <v>3662.3062795806582</v>
          </cell>
          <cell r="AQ421">
            <v>13063.515369602472</v>
          </cell>
          <cell r="BL421">
            <v>0</v>
          </cell>
        </row>
        <row r="422">
          <cell r="BL422">
            <v>0</v>
          </cell>
        </row>
        <row r="423">
          <cell r="A423" t="str">
            <v>Gambling Expenditures of Non-Residents (current prices)</v>
          </cell>
          <cell r="G423">
            <v>15861.970329703558</v>
          </cell>
          <cell r="H423">
            <v>14198.104921598489</v>
          </cell>
          <cell r="I423">
            <v>4203.4167100522081</v>
          </cell>
          <cell r="J423">
            <v>3897.9935566877271</v>
          </cell>
          <cell r="K423">
            <v>4882.100849640824</v>
          </cell>
          <cell r="L423">
            <v>4529.4125654368272</v>
          </cell>
          <cell r="M423">
            <v>17512.923681817585</v>
          </cell>
          <cell r="N423">
            <v>4729.5864305092518</v>
          </cell>
          <cell r="O423">
            <v>4489.8098846641051</v>
          </cell>
          <cell r="P423">
            <v>5368.0661509341035</v>
          </cell>
          <cell r="Q423">
            <v>5290.2672672739791</v>
          </cell>
          <cell r="R423">
            <v>19877.729733381439</v>
          </cell>
          <cell r="S423">
            <v>5441.7477655200009</v>
          </cell>
          <cell r="T423">
            <v>5425.653588526</v>
          </cell>
          <cell r="U423">
            <v>5774.9352368320006</v>
          </cell>
          <cell r="V423">
            <v>6538.1382827499992</v>
          </cell>
          <cell r="W423">
            <v>23180.474873627998</v>
          </cell>
          <cell r="X423">
            <v>7195.5693064013331</v>
          </cell>
          <cell r="Y423">
            <v>5506.0447813527717</v>
          </cell>
          <cell r="Z423">
            <v>8256.5876965126226</v>
          </cell>
          <cell r="AA423">
            <v>8935.2411704225487</v>
          </cell>
          <cell r="AB423">
            <v>29893.442954689275</v>
          </cell>
          <cell r="AC423">
            <v>9917.8558934686043</v>
          </cell>
          <cell r="AD423">
            <v>10068.026597597809</v>
          </cell>
          <cell r="AE423">
            <v>11562.834464761336</v>
          </cell>
          <cell r="AF423">
            <v>11454.189432378822</v>
          </cell>
          <cell r="AG423">
            <v>43002.906388206567</v>
          </cell>
          <cell r="AH423">
            <v>11066.14546498504</v>
          </cell>
          <cell r="AI423">
            <v>11762.862343214458</v>
          </cell>
          <cell r="AJ423">
            <v>11740.527228556946</v>
          </cell>
          <cell r="AK423">
            <v>11733.713477832785</v>
          </cell>
          <cell r="AL423">
            <v>46303.248514589228</v>
          </cell>
          <cell r="AM423">
            <v>12684.135</v>
          </cell>
          <cell r="AN423">
            <v>12941.501</v>
          </cell>
          <cell r="AO423">
            <v>13814.65</v>
          </cell>
          <cell r="AP423">
            <v>16740.940999999999</v>
          </cell>
          <cell r="AQ423">
            <v>56181.226999999999</v>
          </cell>
          <cell r="BL423">
            <v>0</v>
          </cell>
        </row>
        <row r="424">
          <cell r="A424" t="str">
            <v xml:space="preserve">  Year-over-Year growth</v>
          </cell>
          <cell r="H424">
            <v>-0.10489651496758057</v>
          </cell>
          <cell r="M424">
            <v>0.23346909876518218</v>
          </cell>
          <cell r="N424">
            <v>0.12517667334736093</v>
          </cell>
          <cell r="O424">
            <v>0.15182588666956831</v>
          </cell>
          <cell r="P424">
            <v>9.9540201290399866E-2</v>
          </cell>
          <cell r="Q424">
            <v>0.16798087850135457</v>
          </cell>
          <cell r="R424">
            <v>0.13503205372950156</v>
          </cell>
          <cell r="S424">
            <v>0.15057581576621448</v>
          </cell>
          <cell r="T424">
            <v>0.20843726747951341</v>
          </cell>
          <cell r="U424">
            <v>7.5794350229290153E-2</v>
          </cell>
          <cell r="V424">
            <v>0.23588052407020177</v>
          </cell>
          <cell r="W424">
            <v>0.16615303581173713</v>
          </cell>
          <cell r="X424">
            <v>0.32229012009595426</v>
          </cell>
          <cell r="Y424">
            <v>1.4816867961636948E-2</v>
          </cell>
          <cell r="Z424">
            <v>0.42972818878606178</v>
          </cell>
          <cell r="AA424">
            <v>0.36663386181307667</v>
          </cell>
          <cell r="AB424">
            <v>0.28959579636129451</v>
          </cell>
          <cell r="AC424">
            <v>0.37832817267779872</v>
          </cell>
          <cell r="AD424">
            <v>0.82854063078001539</v>
          </cell>
          <cell r="AE424">
            <v>0.40043743127020748</v>
          </cell>
          <cell r="AF424">
            <v>0.28191161423762123</v>
          </cell>
          <cell r="AG424">
            <v>0.43853976450246446</v>
          </cell>
          <cell r="AH424">
            <v>0.11578002179610625</v>
          </cell>
          <cell r="AI424">
            <v>0.1683384255282987</v>
          </cell>
          <cell r="AJ424">
            <v>1.536757828170443E-2</v>
          </cell>
          <cell r="AK424">
            <v>2.4403651354307332E-2</v>
          </cell>
          <cell r="AL424">
            <v>7.6746955114823878E-2</v>
          </cell>
          <cell r="AM424">
            <v>0.14621075966645503</v>
          </cell>
          <cell r="AN424">
            <v>0.10019998724761536</v>
          </cell>
          <cell r="AO424">
            <v>0.17666351187347717</v>
          </cell>
          <cell r="AP424">
            <v>0.42673851987495848</v>
          </cell>
          <cell r="AQ424">
            <v>0.21333229961820965</v>
          </cell>
          <cell r="BL424">
            <v>0</v>
          </cell>
        </row>
        <row r="425">
          <cell r="A425" t="str">
            <v xml:space="preserve">  Share of Total Gaming Revenue</v>
          </cell>
          <cell r="G425">
            <v>1.0091546642608133</v>
          </cell>
          <cell r="H425">
            <v>1.009185875112661</v>
          </cell>
          <cell r="I425">
            <v>0.92804264468360276</v>
          </cell>
          <cell r="J425">
            <v>0.94782826055503167</v>
          </cell>
          <cell r="K425">
            <v>1.1140339248143871</v>
          </cell>
          <cell r="L425">
            <v>1.1020248573417297</v>
          </cell>
          <cell r="M425">
            <v>1.0220954337401666</v>
          </cell>
          <cell r="N425">
            <v>0.99343242921174857</v>
          </cell>
          <cell r="O425">
            <v>0.92673220327811257</v>
          </cell>
          <cell r="P425">
            <v>1.096482109652559</v>
          </cell>
          <cell r="Q425">
            <v>1.049774232630861</v>
          </cell>
          <cell r="R425">
            <v>1.0172434126673264</v>
          </cell>
          <cell r="S425">
            <v>1.0465704694208657</v>
          </cell>
          <cell r="T425">
            <v>0.96314683570811432</v>
          </cell>
          <cell r="U425">
            <v>1.0199100058581578</v>
          </cell>
          <cell r="V425">
            <v>1.0300223511528057</v>
          </cell>
          <cell r="W425">
            <v>1.0147902372887321</v>
          </cell>
          <cell r="X425">
            <v>1.0123985879038329</v>
          </cell>
          <cell r="Y425">
            <v>1.0015668739367118</v>
          </cell>
          <cell r="Z425">
            <v>1.0220659037673399</v>
          </cell>
          <cell r="AA425">
            <v>1.0162177805018091</v>
          </cell>
          <cell r="AB425">
            <v>1.0141671537214587</v>
          </cell>
          <cell r="AC425">
            <v>1.0112046625663178</v>
          </cell>
          <cell r="AD425">
            <v>1.0154797309649302</v>
          </cell>
          <cell r="AE425">
            <v>1.0222665506697419</v>
          </cell>
          <cell r="AF425">
            <v>1.0161495764808308</v>
          </cell>
          <cell r="AG425">
            <v>1.016481641412506</v>
          </cell>
          <cell r="AH425">
            <v>1.010295038151241</v>
          </cell>
          <cell r="AI425">
            <v>1.0123277142920484</v>
          </cell>
          <cell r="AJ425">
            <v>1.0117314410171931</v>
          </cell>
          <cell r="AK425">
            <v>1.0095201674802319</v>
          </cell>
          <cell r="AL425">
            <v>1.0109780256436176</v>
          </cell>
          <cell r="AM425">
            <v>1.007547630226965</v>
          </cell>
          <cell r="AN425">
            <v>1.0032135544322864</v>
          </cell>
          <cell r="AO425">
            <v>1.0037727261464968</v>
          </cell>
          <cell r="AP425">
            <v>1.0065558335019347</v>
          </cell>
          <cell r="AQ425">
            <v>1.0053223300242942</v>
          </cell>
          <cell r="BL425">
            <v>0</v>
          </cell>
        </row>
        <row r="426">
          <cell r="A426" t="str">
            <v xml:space="preserve">  Share of Total Exports</v>
          </cell>
          <cell r="G426">
            <v>0.37986759819201776</v>
          </cell>
          <cell r="H426">
            <v>0.34529203248751489</v>
          </cell>
          <cell r="I426">
            <v>0.38900645576318471</v>
          </cell>
          <cell r="J426">
            <v>0.33101632711019408</v>
          </cell>
          <cell r="K426">
            <v>0.3502262453107105</v>
          </cell>
          <cell r="L426">
            <v>0.3578216892183127</v>
          </cell>
          <cell r="M426">
            <v>0.35610212590866119</v>
          </cell>
          <cell r="N426">
            <v>0.41233085381893003</v>
          </cell>
          <cell r="O426">
            <v>0.36216639019240177</v>
          </cell>
          <cell r="P426">
            <v>0.38791945718510396</v>
          </cell>
          <cell r="Q426">
            <v>0.39678611069172665</v>
          </cell>
          <cell r="R426">
            <v>0.38946656493736498</v>
          </cell>
          <cell r="S426">
            <v>0.44250758697827819</v>
          </cell>
          <cell r="T426">
            <v>0.38582570413068334</v>
          </cell>
          <cell r="U426">
            <v>0.38499889258257303</v>
          </cell>
          <cell r="V426">
            <v>0.41364468828252371</v>
          </cell>
          <cell r="W426">
            <v>0.40549396898868717</v>
          </cell>
          <cell r="X426">
            <v>0.47447859196795761</v>
          </cell>
          <cell r="Y426">
            <v>0.4184775227605716</v>
          </cell>
          <cell r="Z426">
            <v>0.45334749720069245</v>
          </cell>
          <cell r="AA426">
            <v>0.46643582689907248</v>
          </cell>
          <cell r="AB426">
            <v>0.45505833683835883</v>
          </cell>
          <cell r="AC426">
            <v>0.51776950315794923</v>
          </cell>
          <cell r="AD426">
            <v>0.47601339686262834</v>
          </cell>
          <cell r="AE426">
            <v>0.48315417056427534</v>
          </cell>
          <cell r="AF426">
            <v>0.49723428543118414</v>
          </cell>
          <cell r="AG426">
            <v>0.49273749190443283</v>
          </cell>
          <cell r="AH426">
            <v>0.55347282089320204</v>
          </cell>
          <cell r="AI426">
            <v>0.56650383832585993</v>
          </cell>
          <cell r="AJ426">
            <v>0.49519379830001964</v>
          </cell>
          <cell r="AK426">
            <v>0.47783102845872355</v>
          </cell>
          <cell r="AL426">
            <v>0.5201260484436584</v>
          </cell>
          <cell r="AM426">
            <v>0.52450227397682625</v>
          </cell>
          <cell r="AN426">
            <v>0.51878599236639233</v>
          </cell>
          <cell r="AO426">
            <v>0.53035139943182819</v>
          </cell>
          <cell r="AP426">
            <v>0.57036896061687414</v>
          </cell>
          <cell r="AQ426">
            <v>0.53747484468411622</v>
          </cell>
          <cell r="BL426">
            <v>0</v>
          </cell>
        </row>
        <row r="427">
          <cell r="A427" t="str">
            <v xml:space="preserve">  in USD</v>
          </cell>
          <cell r="G427">
            <v>1976.5352761744762</v>
          </cell>
          <cell r="H427">
            <v>1766.152152248437</v>
          </cell>
          <cell r="I427">
            <v>525.79762101011784</v>
          </cell>
          <cell r="J427">
            <v>486.34312499554335</v>
          </cell>
          <cell r="K427">
            <v>615.23492041230691</v>
          </cell>
          <cell r="L427">
            <v>564.24778110973455</v>
          </cell>
          <cell r="M427">
            <v>2190.8354554847556</v>
          </cell>
          <cell r="N427">
            <v>587.97993381469848</v>
          </cell>
          <cell r="O427">
            <v>560.88446742474787</v>
          </cell>
          <cell r="P427">
            <v>669.2768260143099</v>
          </cell>
          <cell r="Q427">
            <v>658.16752185294536</v>
          </cell>
          <cell r="R427">
            <v>2476.4313950047517</v>
          </cell>
          <cell r="S427">
            <v>676.33529436924493</v>
          </cell>
          <cell r="T427">
            <v>683.36783678137908</v>
          </cell>
          <cell r="U427">
            <v>721.65523895901811</v>
          </cell>
          <cell r="V427">
            <v>816.98145652559333</v>
          </cell>
          <cell r="W427">
            <v>2898.5192774708762</v>
          </cell>
          <cell r="X427">
            <v>895.50036841273641</v>
          </cell>
          <cell r="Y427">
            <v>687.24404959540971</v>
          </cell>
          <cell r="Z427">
            <v>1027.2583918285625</v>
          </cell>
          <cell r="AA427">
            <v>1122.9929841326832</v>
          </cell>
          <cell r="AB427">
            <v>3731.9247650699435</v>
          </cell>
          <cell r="AC427">
            <v>1241.6217571698044</v>
          </cell>
          <cell r="AD427">
            <v>1253.9360889010313</v>
          </cell>
          <cell r="AE427">
            <v>1439.3406322152612</v>
          </cell>
          <cell r="AF427">
            <v>1429.1440539880143</v>
          </cell>
          <cell r="AG427">
            <v>5364.4769010373138</v>
          </cell>
          <cell r="AH427">
            <v>1377.8877536849507</v>
          </cell>
          <cell r="AI427">
            <v>1466.179182232444</v>
          </cell>
          <cell r="AJ427">
            <v>1467.0075943332367</v>
          </cell>
          <cell r="AK427">
            <v>1468.9793393940427</v>
          </cell>
          <cell r="AL427">
            <v>5779.8238138162442</v>
          </cell>
          <cell r="AM427">
            <v>1587.3861481725005</v>
          </cell>
          <cell r="AN427">
            <v>1619.5494742588837</v>
          </cell>
          <cell r="AO427">
            <v>1724.5963482869367</v>
          </cell>
          <cell r="AP427">
            <v>2088.8658261450714</v>
          </cell>
          <cell r="AQ427">
            <v>7021.3108943056541</v>
          </cell>
          <cell r="BL427">
            <v>0</v>
          </cell>
        </row>
        <row r="428">
          <cell r="A428" t="str">
            <v xml:space="preserve">    Diff</v>
          </cell>
          <cell r="G428">
            <v>-161.54029465452982</v>
          </cell>
          <cell r="H428">
            <v>-144.39604495211302</v>
          </cell>
          <cell r="I428">
            <v>-0.77347846278451016</v>
          </cell>
          <cell r="J428">
            <v>-10.852763358806556</v>
          </cell>
          <cell r="K428">
            <v>-103.46924722425274</v>
          </cell>
          <cell r="L428">
            <v>-89.779636180701857</v>
          </cell>
          <cell r="M428">
            <v>-204.08713318359855</v>
          </cell>
          <cell r="N428">
            <v>-39.510078957767178</v>
          </cell>
          <cell r="O428">
            <v>-3.3143846966595447E-2</v>
          </cell>
          <cell r="P428">
            <v>-103.64631476211696</v>
          </cell>
          <cell r="Q428">
            <v>-77.176890005598011</v>
          </cell>
          <cell r="R428">
            <v>-220.48907347049862</v>
          </cell>
          <cell r="S428">
            <v>-66.750200433698069</v>
          </cell>
          <cell r="T428">
            <v>-14.095621253354807</v>
          </cell>
          <cell r="U428">
            <v>-54.220695878875176</v>
          </cell>
          <cell r="V428">
            <v>-68.801078907161127</v>
          </cell>
          <cell r="W428">
            <v>-204.04704730872982</v>
          </cell>
          <cell r="X428">
            <v>-59.696786689289866</v>
          </cell>
          <cell r="Y428">
            <v>-38.876865220415993</v>
          </cell>
          <cell r="Z428">
            <v>-77.548881227759011</v>
          </cell>
          <cell r="AA428">
            <v>-78.801268150401256</v>
          </cell>
          <cell r="AB428">
            <v>-253.85277238841763</v>
          </cell>
          <cell r="AC428">
            <v>-108.90261340586881</v>
          </cell>
          <cell r="AD428">
            <v>-88.818070913021529</v>
          </cell>
          <cell r="AE428">
            <v>-81.567263792636368</v>
          </cell>
          <cell r="AF428">
            <v>-72.193967147800549</v>
          </cell>
          <cell r="AG428">
            <v>-351.91628402252991</v>
          </cell>
          <cell r="AH428">
            <v>-58.036684231959725</v>
          </cell>
          <cell r="AI428">
            <v>-52.654103706244314</v>
          </cell>
          <cell r="AJ428">
            <v>-43.074635357431362</v>
          </cell>
          <cell r="AK428">
            <v>-43.236730429633553</v>
          </cell>
          <cell r="AL428">
            <v>-196.77209789684002</v>
          </cell>
          <cell r="AM428">
            <v>-41.621262339679561</v>
          </cell>
          <cell r="AN428">
            <v>-35.246019154050828</v>
          </cell>
          <cell r="AO428">
            <v>-33.163273765345139</v>
          </cell>
          <cell r="AP428">
            <v>-37.948216445618073</v>
          </cell>
          <cell r="AQ428">
            <v>-148.89186914695529</v>
          </cell>
          <cell r="BL428">
            <v>0</v>
          </cell>
        </row>
        <row r="429">
          <cell r="BL429">
            <v>0</v>
          </cell>
        </row>
        <row r="430">
          <cell r="A430" t="str">
            <v>Accomodation Expenditures of Non-Residents (current prices)</v>
          </cell>
          <cell r="G430">
            <v>728.29741416912736</v>
          </cell>
          <cell r="H430">
            <v>672.3764934529928</v>
          </cell>
          <cell r="I430">
            <v>178.52253537676779</v>
          </cell>
          <cell r="J430">
            <v>185.82212508903362</v>
          </cell>
          <cell r="K430">
            <v>207.81008555010288</v>
          </cell>
          <cell r="L430">
            <v>209.60711274235598</v>
          </cell>
          <cell r="M430">
            <v>781.76185875826025</v>
          </cell>
          <cell r="N430">
            <v>195.56569231303783</v>
          </cell>
          <cell r="O430">
            <v>204.65790388635187</v>
          </cell>
          <cell r="P430">
            <v>216.3990958513667</v>
          </cell>
          <cell r="Q430">
            <v>216.01124994005679</v>
          </cell>
          <cell r="R430">
            <v>832.63394199081324</v>
          </cell>
          <cell r="S430">
            <v>204.03573105177259</v>
          </cell>
          <cell r="T430">
            <v>205.10233529192519</v>
          </cell>
          <cell r="U430">
            <v>214.37021803985036</v>
          </cell>
          <cell r="V430">
            <v>224.89566521736856</v>
          </cell>
          <cell r="W430">
            <v>848.40394960091669</v>
          </cell>
          <cell r="X430">
            <v>211.58764496093363</v>
          </cell>
          <cell r="Y430">
            <v>125.80296873382285</v>
          </cell>
          <cell r="Z430">
            <v>247.78731659990927</v>
          </cell>
          <cell r="AA430">
            <v>288.36152901652252</v>
          </cell>
          <cell r="AB430">
            <v>873.53945931118824</v>
          </cell>
          <cell r="AC430">
            <v>274.77999932329948</v>
          </cell>
          <cell r="AD430">
            <v>295.11521608398073</v>
          </cell>
          <cell r="AE430">
            <v>320.30569604664788</v>
          </cell>
          <cell r="AF430">
            <v>359.07105801858245</v>
          </cell>
          <cell r="AG430">
            <v>1249.2719694725106</v>
          </cell>
          <cell r="AH430">
            <v>325.02454275464743</v>
          </cell>
          <cell r="AI430">
            <v>320.6742037247422</v>
          </cell>
          <cell r="AJ430">
            <v>367.96054619784127</v>
          </cell>
          <cell r="AK430">
            <v>445.24770095205213</v>
          </cell>
          <cell r="AL430">
            <v>1458.9069936292831</v>
          </cell>
          <cell r="AM430">
            <v>408.11799999999999</v>
          </cell>
          <cell r="AN430">
            <v>417.4</v>
          </cell>
          <cell r="AO430">
            <v>447.93799999999999</v>
          </cell>
          <cell r="AP430">
            <v>582.41600000000005</v>
          </cell>
          <cell r="AQ430">
            <v>1855.8720000000003</v>
          </cell>
          <cell r="BL430">
            <v>0</v>
          </cell>
        </row>
        <row r="431">
          <cell r="A431" t="str">
            <v xml:space="preserve">  Year-over-Year growth</v>
          </cell>
          <cell r="H431">
            <v>-7.6783082883702836E-2</v>
          </cell>
          <cell r="M431">
            <v>0.16268469580713374</v>
          </cell>
          <cell r="N431">
            <v>9.5467818112155101E-2</v>
          </cell>
          <cell r="O431">
            <v>0.10136456457105636</v>
          </cell>
          <cell r="P431">
            <v>4.1331056086751028E-2</v>
          </cell>
          <cell r="Q431">
            <v>3.0553052870742059E-2</v>
          </cell>
          <cell r="R431">
            <v>6.5073631647056152E-2</v>
          </cell>
          <cell r="S431">
            <v>4.3310453068511334E-2</v>
          </cell>
          <cell r="T431">
            <v>2.1715819283485427E-3</v>
          </cell>
          <cell r="U431">
            <v>-9.3756297988872861E-3</v>
          </cell>
          <cell r="V431">
            <v>4.1129410064416616E-2</v>
          </cell>
          <cell r="W431">
            <v>1.8939904818674247E-2</v>
          </cell>
          <cell r="X431">
            <v>3.7012702972327949E-2</v>
          </cell>
          <cell r="Y431">
            <v>-0.38663317238799044</v>
          </cell>
          <cell r="Z431">
            <v>0.15588498656957483</v>
          </cell>
          <cell r="AA431">
            <v>0.28220136541009921</v>
          </cell>
          <cell r="AB431">
            <v>2.9626818359456131E-2</v>
          </cell>
          <cell r="AC431">
            <v>0.29865805432086234</v>
          </cell>
          <cell r="AD431">
            <v>1.3458525586021191</v>
          </cell>
          <cell r="AE431">
            <v>0.29266380717876173</v>
          </cell>
          <cell r="AF431">
            <v>0.24521138184840319</v>
          </cell>
          <cell r="AG431">
            <v>0.43012654569445385</v>
          </cell>
          <cell r="AH431">
            <v>0.1828537140806652</v>
          </cell>
          <cell r="AI431">
            <v>8.6606810654887401E-2</v>
          </cell>
          <cell r="AJ431">
            <v>0.14877927785665457</v>
          </cell>
          <cell r="AK431">
            <v>0.23999885540485399</v>
          </cell>
          <cell r="AL431">
            <v>0.16780575349440374</v>
          </cell>
          <cell r="AM431">
            <v>0.2556528702144123</v>
          </cell>
          <cell r="AN431">
            <v>0.30163260764899102</v>
          </cell>
          <cell r="AO431">
            <v>0.21735334026588071</v>
          </cell>
          <cell r="AP431">
            <v>0.30807188617627324</v>
          </cell>
          <cell r="AQ431">
            <v>0.27209754158707411</v>
          </cell>
          <cell r="BL431">
            <v>0</v>
          </cell>
        </row>
        <row r="432">
          <cell r="A432" t="str">
            <v xml:space="preserve">  in USD</v>
          </cell>
          <cell r="G432">
            <v>90.751999955281448</v>
          </cell>
          <cell r="H432">
            <v>83.639274226434154</v>
          </cell>
          <cell r="I432">
            <v>22.331053729058723</v>
          </cell>
          <cell r="J432">
            <v>23.184572189469446</v>
          </cell>
          <cell r="K432">
            <v>26.187910774866172</v>
          </cell>
          <cell r="L432">
            <v>26.111630716131522</v>
          </cell>
          <cell r="M432">
            <v>97.797011454543608</v>
          </cell>
          <cell r="N432">
            <v>24.31263378144131</v>
          </cell>
          <cell r="O432">
            <v>25.566659251575288</v>
          </cell>
          <cell r="P432">
            <v>26.980088536831261</v>
          </cell>
          <cell r="Q432">
            <v>26.874178918121835</v>
          </cell>
          <cell r="R432">
            <v>103.73220997314823</v>
          </cell>
          <cell r="S432">
            <v>25.358868541669363</v>
          </cell>
          <cell r="T432">
            <v>25.832894949957485</v>
          </cell>
          <cell r="U432">
            <v>26.788420056830063</v>
          </cell>
          <cell r="V432">
            <v>28.102126353053695</v>
          </cell>
          <cell r="W432">
            <v>106.0856266494513</v>
          </cell>
          <cell r="X432">
            <v>26.332428463379085</v>
          </cell>
          <cell r="Y432">
            <v>15.702259083791096</v>
          </cell>
          <cell r="Z432">
            <v>30.828910165085478</v>
          </cell>
          <cell r="AA432">
            <v>36.241660163719345</v>
          </cell>
          <cell r="AB432">
            <v>109.05346521678761</v>
          </cell>
          <cell r="AC432">
            <v>34.399857112220381</v>
          </cell>
          <cell r="AD432">
            <v>36.75552664112184</v>
          </cell>
          <cell r="AE432">
            <v>39.871625288328246</v>
          </cell>
          <cell r="AF432">
            <v>44.801447588759473</v>
          </cell>
          <cell r="AG432">
            <v>155.84273683386655</v>
          </cell>
          <cell r="AH432">
            <v>40.470038869969322</v>
          </cell>
          <cell r="AI432">
            <v>39.970359939764428</v>
          </cell>
          <cell r="AJ432">
            <v>45.977570272505304</v>
          </cell>
          <cell r="AK432">
            <v>55.741916218331461</v>
          </cell>
          <cell r="AL432">
            <v>182.10872140568642</v>
          </cell>
          <cell r="AM432">
            <v>51.074894742121913</v>
          </cell>
          <cell r="AN432">
            <v>52.235049903072145</v>
          </cell>
          <cell r="AO432">
            <v>55.919783639755899</v>
          </cell>
          <cell r="AP432">
            <v>72.671475217558452</v>
          </cell>
          <cell r="AQ432">
            <v>231.93965293845974</v>
          </cell>
          <cell r="BL432">
            <v>0</v>
          </cell>
        </row>
        <row r="433">
          <cell r="BL433">
            <v>0</v>
          </cell>
        </row>
        <row r="434">
          <cell r="A434" t="str">
            <v>GDP (millions MOP)</v>
          </cell>
          <cell r="BL434">
            <v>0</v>
          </cell>
        </row>
        <row r="435">
          <cell r="A435" t="str">
            <v>GDP (current prices)</v>
          </cell>
          <cell r="G435">
            <v>49360.446020834417</v>
          </cell>
          <cell r="H435">
            <v>47287.43250998178</v>
          </cell>
          <cell r="I435">
            <v>11271.528357578673</v>
          </cell>
          <cell r="J435">
            <v>11678.777279837988</v>
          </cell>
          <cell r="K435">
            <v>13017.267553577984</v>
          </cell>
          <cell r="L435">
            <v>13004.822467383059</v>
          </cell>
          <cell r="M435">
            <v>48972.395658377704</v>
          </cell>
          <cell r="N435">
            <v>11295.949188689237</v>
          </cell>
          <cell r="O435">
            <v>11857.329032152078</v>
          </cell>
          <cell r="P435">
            <v>12957.767817488828</v>
          </cell>
          <cell r="Q435">
            <v>13593.358922594663</v>
          </cell>
          <cell r="R435">
            <v>49704.404960924803</v>
          </cell>
          <cell r="S435">
            <v>12218.950106796745</v>
          </cell>
          <cell r="T435">
            <v>13188.649546200078</v>
          </cell>
          <cell r="U435">
            <v>13819.848311393567</v>
          </cell>
          <cell r="V435">
            <v>15591.296659160953</v>
          </cell>
          <cell r="W435">
            <v>54818.744623551342</v>
          </cell>
          <cell r="X435">
            <v>14484.623386747196</v>
          </cell>
          <cell r="Y435">
            <v>12878.082995155495</v>
          </cell>
          <cell r="Z435">
            <v>16978.384475455245</v>
          </cell>
          <cell r="AA435">
            <v>19225.248118827618</v>
          </cell>
          <cell r="AB435">
            <v>63566.338976185551</v>
          </cell>
          <cell r="AC435">
            <v>18105.358190081708</v>
          </cell>
          <cell r="AD435">
            <v>19545.865529080569</v>
          </cell>
          <cell r="AE435">
            <v>21813.962385827497</v>
          </cell>
          <cell r="AF435">
            <v>23434.1248184414</v>
          </cell>
          <cell r="AG435">
            <v>82899.310923431171</v>
          </cell>
          <cell r="AH435">
            <v>20255.655999999999</v>
          </cell>
          <cell r="AI435">
            <v>21921.989000000001</v>
          </cell>
          <cell r="AJ435">
            <v>23472.812000000002</v>
          </cell>
          <cell r="AK435">
            <v>26940.527999999998</v>
          </cell>
          <cell r="AL435">
            <v>92590.985000000015</v>
          </cell>
          <cell r="AM435">
            <v>25157.226999999999</v>
          </cell>
          <cell r="AN435">
            <v>26885.973000000002</v>
          </cell>
          <cell r="AO435">
            <v>27444.161</v>
          </cell>
          <cell r="AP435">
            <v>34761.017999999996</v>
          </cell>
          <cell r="AQ435">
            <v>114248.379</v>
          </cell>
          <cell r="BL435">
            <v>0</v>
          </cell>
        </row>
        <row r="436">
          <cell r="A436" t="str">
            <v xml:space="preserve">  Year-over-Year growth</v>
          </cell>
          <cell r="H436">
            <v>-4.1997463109989863E-2</v>
          </cell>
          <cell r="M436">
            <v>3.5632366972773388E-2</v>
          </cell>
          <cell r="N436">
            <v>2.1665944791013914E-3</v>
          </cell>
          <cell r="O436">
            <v>1.5288565578036817E-2</v>
          </cell>
          <cell r="P436">
            <v>-4.5708314624601787E-3</v>
          </cell>
          <cell r="Q436">
            <v>4.5255247173707547E-2</v>
          </cell>
          <cell r="R436">
            <v>1.4947386026476162E-2</v>
          </cell>
          <cell r="S436">
            <v>8.1710788769457254E-2</v>
          </cell>
          <cell r="T436">
            <v>0.11227828041526222</v>
          </cell>
          <cell r="U436">
            <v>6.6530015512487273E-2</v>
          </cell>
          <cell r="V436">
            <v>0.14697895847106257</v>
          </cell>
          <cell r="W436">
            <v>0.10289509886794113</v>
          </cell>
          <cell r="X436">
            <v>0.18542290950923679</v>
          </cell>
          <cell r="Y436">
            <v>-2.354801755529734E-2</v>
          </cell>
          <cell r="Z436">
            <v>0.22855071147616512</v>
          </cell>
          <cell r="AA436">
            <v>0.23307564079549925</v>
          </cell>
          <cell r="AB436">
            <v>0.15957305138425304</v>
          </cell>
          <cell r="AC436">
            <v>0.24997093170177465</v>
          </cell>
          <cell r="AD436">
            <v>0.51776204085913835</v>
          </cell>
          <cell r="AE436">
            <v>0.28480789308092258</v>
          </cell>
          <cell r="AF436">
            <v>0.21892444110991516</v>
          </cell>
          <cell r="AG436">
            <v>0.30413851511078072</v>
          </cell>
          <cell r="AH436">
            <v>0.11876582541715441</v>
          </cell>
          <cell r="AI436">
            <v>0.12156655162618457</v>
          </cell>
          <cell r="AJ436">
            <v>7.6045313768866585E-2</v>
          </cell>
          <cell r="AK436">
            <v>0.14962808334959643</v>
          </cell>
          <cell r="AL436">
            <v>0.11690898233786795</v>
          </cell>
          <cell r="AM436">
            <v>0.24198530030328325</v>
          </cell>
          <cell r="AN436">
            <v>0.22643857726595895</v>
          </cell>
          <cell r="AO436">
            <v>0.1691893157070401</v>
          </cell>
          <cell r="AP436">
            <v>0.29028718368103257</v>
          </cell>
          <cell r="AQ436">
            <v>0.23390391623979356</v>
          </cell>
          <cell r="BL436">
            <v>0</v>
          </cell>
        </row>
        <row r="437">
          <cell r="A437" t="str">
            <v xml:space="preserve">  Total Gaming as % of GDP</v>
          </cell>
          <cell r="G437">
            <v>0.31843465532764537</v>
          </cell>
          <cell r="H437">
            <v>0.29751816268475301</v>
          </cell>
          <cell r="I437">
            <v>0.40183864928292762</v>
          </cell>
          <cell r="J437">
            <v>0.35213896795120536</v>
          </cell>
          <cell r="K437">
            <v>0.33665765872545228</v>
          </cell>
          <cell r="L437">
            <v>0.31604291736585094</v>
          </cell>
          <cell r="M437">
            <v>0.34987737333396435</v>
          </cell>
          <cell r="N437">
            <v>0.42146557093165937</v>
          </cell>
          <cell r="O437">
            <v>0.40858914604890034</v>
          </cell>
          <cell r="P437">
            <v>0.37782101912737143</v>
          </cell>
          <cell r="Q437">
            <v>0.37072760077792649</v>
          </cell>
          <cell r="R437">
            <v>0.39313980351162064</v>
          </cell>
          <cell r="S437">
            <v>0.42553573828989744</v>
          </cell>
          <cell r="T437">
            <v>0.42712916982106675</v>
          </cell>
          <cell r="U437">
            <v>0.40971511831604629</v>
          </cell>
          <cell r="V437">
            <v>0.40712260604093736</v>
          </cell>
          <cell r="W437">
            <v>0.41669372687871264</v>
          </cell>
          <cell r="X437">
            <v>0.49068911287697037</v>
          </cell>
          <cell r="Y437">
            <v>0.42688271244004522</v>
          </cell>
          <cell r="Z437">
            <v>0.47580098163511486</v>
          </cell>
          <cell r="AA437">
            <v>0.45734879184155819</v>
          </cell>
          <cell r="AB437">
            <v>0.46370224358906076</v>
          </cell>
          <cell r="AC437">
            <v>0.54171593276585361</v>
          </cell>
          <cell r="AD437">
            <v>0.50724548295131844</v>
          </cell>
          <cell r="AE437">
            <v>0.51852010193933074</v>
          </cell>
          <cell r="AF437">
            <v>0.48101429378448235</v>
          </cell>
          <cell r="AG437">
            <v>0.51032559292410806</v>
          </cell>
          <cell r="AH437">
            <v>0.54075661632484284</v>
          </cell>
          <cell r="AI437">
            <v>0.53004401197354856</v>
          </cell>
          <cell r="AJ437">
            <v>0.49437583362402421</v>
          </cell>
          <cell r="AK437">
            <v>0.43143400901422579</v>
          </cell>
          <cell r="AL437">
            <v>0.49465344817316709</v>
          </cell>
          <cell r="AM437">
            <v>0.5004175142196714</v>
          </cell>
          <cell r="AN437">
            <v>0.47980580803231482</v>
          </cell>
          <cell r="AO437">
            <v>0.5014810618550154</v>
          </cell>
          <cell r="AP437">
            <v>0.47846426707065953</v>
          </cell>
          <cell r="AQ437">
            <v>0.48914300131995742</v>
          </cell>
          <cell r="BL437">
            <v>0</v>
          </cell>
        </row>
        <row r="438">
          <cell r="BL438">
            <v>0</v>
          </cell>
        </row>
        <row r="439">
          <cell r="A439" t="str">
            <v>GDP in USD</v>
          </cell>
          <cell r="G439">
            <v>6150.7278591479126</v>
          </cell>
          <cell r="H439">
            <v>5882.2498610190805</v>
          </cell>
          <cell r="I439">
            <v>1409.9346327928874</v>
          </cell>
          <cell r="J439">
            <v>1457.1324851623867</v>
          </cell>
          <cell r="K439">
            <v>1640.4162498815349</v>
          </cell>
          <cell r="L439">
            <v>1620.0648792608333</v>
          </cell>
          <cell r="M439">
            <v>6126.3591789527181</v>
          </cell>
          <cell r="N439">
            <v>1404.3070264019996</v>
          </cell>
          <cell r="O439">
            <v>1481.2635390186836</v>
          </cell>
          <cell r="P439">
            <v>1615.5415140721041</v>
          </cell>
          <cell r="Q439">
            <v>1691.1635846995498</v>
          </cell>
          <cell r="R439">
            <v>6192.3343644498336</v>
          </cell>
          <cell r="S439">
            <v>1518.6494437920339</v>
          </cell>
          <cell r="T439">
            <v>1661.126860276195</v>
          </cell>
          <cell r="U439">
            <v>1726.9745073378801</v>
          </cell>
          <cell r="V439">
            <v>1948.2304752303742</v>
          </cell>
          <cell r="W439">
            <v>6854.6131571655751</v>
          </cell>
          <cell r="X439">
            <v>1802.6350698356259</v>
          </cell>
          <cell r="Y439">
            <v>1607.3944655499165</v>
          </cell>
          <cell r="Z439">
            <v>2112.3966186987768</v>
          </cell>
          <cell r="AA439">
            <v>2416.2547315589127</v>
          </cell>
          <cell r="AB439">
            <v>7935.6799084544746</v>
          </cell>
          <cell r="AC439">
            <v>2266.6196092808882</v>
          </cell>
          <cell r="AD439">
            <v>2434.3664508761417</v>
          </cell>
          <cell r="AE439">
            <v>2715.4001475351006</v>
          </cell>
          <cell r="AF439">
            <v>2923.8856527041985</v>
          </cell>
          <cell r="AG439">
            <v>10341.427496691658</v>
          </cell>
          <cell r="AH439">
            <v>2522.1085728148632</v>
          </cell>
          <cell r="AI439">
            <v>2732.4611108341219</v>
          </cell>
          <cell r="AJ439">
            <v>2932.9852734891865</v>
          </cell>
          <cell r="AK439">
            <v>3372.7667800250579</v>
          </cell>
          <cell r="AL439">
            <v>11557.711331616067</v>
          </cell>
          <cell r="AM439">
            <v>3148.3608197351441</v>
          </cell>
          <cell r="AN439">
            <v>3364.6146175075478</v>
          </cell>
          <cell r="AO439">
            <v>3426.0802729275638</v>
          </cell>
          <cell r="AP439">
            <v>4337.3369861475348</v>
          </cell>
          <cell r="AQ439">
            <v>14278.317348417138</v>
          </cell>
          <cell r="BL439">
            <v>0</v>
          </cell>
        </row>
        <row r="440">
          <cell r="BL440">
            <v>0</v>
          </cell>
        </row>
        <row r="441">
          <cell r="A441" t="str">
            <v>Per-Capita GDP</v>
          </cell>
          <cell r="G441">
            <v>114645.36213261305</v>
          </cell>
          <cell r="H441">
            <v>108096.67853832229</v>
          </cell>
          <cell r="I441">
            <v>103720.63049892036</v>
          </cell>
          <cell r="J441">
            <v>106733.72293245039</v>
          </cell>
          <cell r="K441">
            <v>119137.28652791536</v>
          </cell>
          <cell r="L441">
            <v>118791.80976045433</v>
          </cell>
          <cell r="M441">
            <v>111833.88937362315</v>
          </cell>
          <cell r="N441">
            <v>104398.79102300589</v>
          </cell>
          <cell r="O441">
            <v>109258.96366875907</v>
          </cell>
          <cell r="P441">
            <v>119042.42367927266</v>
          </cell>
          <cell r="Q441">
            <v>124509.81380897334</v>
          </cell>
          <cell r="R441">
            <v>113818.19317821115</v>
          </cell>
          <cell r="S441">
            <v>111895.14749813869</v>
          </cell>
          <cell r="T441">
            <v>120115.20533879854</v>
          </cell>
          <cell r="U441">
            <v>125692.11742968229</v>
          </cell>
          <cell r="V441">
            <v>141225.5132170376</v>
          </cell>
          <cell r="W441">
            <v>124136.64996275213</v>
          </cell>
          <cell r="X441">
            <v>130668.68188315019</v>
          </cell>
          <cell r="Y441">
            <v>115732.04219416306</v>
          </cell>
          <cell r="Z441">
            <v>151999.86101571392</v>
          </cell>
          <cell r="AA441">
            <v>171462.63651128311</v>
          </cell>
          <cell r="AB441">
            <v>141730.96761691314</v>
          </cell>
          <cell r="AC441">
            <v>160472.92878423849</v>
          </cell>
          <cell r="AD441">
            <v>172096.5487922568</v>
          </cell>
          <cell r="AE441">
            <v>189234.113084602</v>
          </cell>
          <cell r="AF441">
            <v>201439.61265108126</v>
          </cell>
          <cell r="AG441">
            <v>178150.50925558936</v>
          </cell>
          <cell r="AH441">
            <v>172022.55626326962</v>
          </cell>
          <cell r="AI441">
            <v>183947.88336479967</v>
          </cell>
          <cell r="AJ441">
            <v>194633.59867330018</v>
          </cell>
          <cell r="AK441">
            <v>220778.75845113705</v>
          </cell>
          <cell r="AL441">
            <v>189696.75271460769</v>
          </cell>
          <cell r="AM441">
            <v>201863.40621865596</v>
          </cell>
          <cell r="AN441">
            <v>213804.95427435389</v>
          </cell>
          <cell r="AO441">
            <v>215883.27236971486</v>
          </cell>
          <cell r="AP441">
            <v>270815.66025939415</v>
          </cell>
          <cell r="AQ441">
            <v>222521.17438311581</v>
          </cell>
          <cell r="BL441">
            <v>0</v>
          </cell>
        </row>
        <row r="442">
          <cell r="A442" t="str">
            <v xml:space="preserve">  In USD</v>
          </cell>
          <cell r="G442">
            <v>14285.77899181722</v>
          </cell>
          <cell r="H442">
            <v>13446.525610677852</v>
          </cell>
          <cell r="I442">
            <v>12974.221812360935</v>
          </cell>
          <cell r="J442">
            <v>13316.905633237022</v>
          </cell>
          <cell r="K442">
            <v>15013.499567615998</v>
          </cell>
          <cell r="L442">
            <v>14798.390321699857</v>
          </cell>
          <cell r="M442">
            <v>13990.219703799055</v>
          </cell>
          <cell r="N442">
            <v>12978.808007412195</v>
          </cell>
          <cell r="O442">
            <v>13649.053573081626</v>
          </cell>
          <cell r="P442">
            <v>14841.906422343631</v>
          </cell>
          <cell r="Q442">
            <v>15490.392348976871</v>
          </cell>
          <cell r="R442">
            <v>14179.83596164377</v>
          </cell>
          <cell r="S442">
            <v>13907.04618857174</v>
          </cell>
          <cell r="T442">
            <v>15128.659929655692</v>
          </cell>
          <cell r="U442">
            <v>15706.907752049841</v>
          </cell>
          <cell r="V442">
            <v>17647.015174188167</v>
          </cell>
          <cell r="W442">
            <v>15522.221823291611</v>
          </cell>
          <cell r="X442">
            <v>16261.931166762526</v>
          </cell>
          <cell r="Y442">
            <v>14445.243455851865</v>
          </cell>
          <cell r="Z442">
            <v>18911.339469102746</v>
          </cell>
          <cell r="AA442">
            <v>21549.652009444038</v>
          </cell>
          <cell r="AB442">
            <v>17693.823653187232</v>
          </cell>
          <cell r="AC442">
            <v>20089.692969473857</v>
          </cell>
          <cell r="AD442">
            <v>21433.999127238756</v>
          </cell>
          <cell r="AE442">
            <v>23555.845999003257</v>
          </cell>
          <cell r="AF442">
            <v>25133.705563148957</v>
          </cell>
          <cell r="AG442">
            <v>22223.713978358846</v>
          </cell>
          <cell r="AH442">
            <v>21419.181085476543</v>
          </cell>
          <cell r="AI442">
            <v>22928.140220970181</v>
          </cell>
          <cell r="AJ442">
            <v>24319.944224620118</v>
          </cell>
          <cell r="AK442">
            <v>27639.965417128111</v>
          </cell>
          <cell r="AL442">
            <v>23678.982445433448</v>
          </cell>
          <cell r="AM442">
            <v>25262.67458162603</v>
          </cell>
          <cell r="AN442">
            <v>26756.378668052068</v>
          </cell>
          <cell r="AO442">
            <v>26950.483956165695</v>
          </cell>
          <cell r="AP442">
            <v>33791.265252100369</v>
          </cell>
          <cell r="AQ442">
            <v>27809.829534514425</v>
          </cell>
          <cell r="BL442">
            <v>0</v>
          </cell>
        </row>
        <row r="443">
          <cell r="BL443">
            <v>0</v>
          </cell>
        </row>
        <row r="444">
          <cell r="A444" t="str">
            <v>GDP (2002 prices)</v>
          </cell>
          <cell r="G444">
            <v>46862.140508086508</v>
          </cell>
          <cell r="H444">
            <v>45756.818956452487</v>
          </cell>
          <cell r="I444">
            <v>10740.974410156836</v>
          </cell>
          <cell r="J444">
            <v>11465.103403203426</v>
          </cell>
          <cell r="K444">
            <v>13096.406597553228</v>
          </cell>
          <cell r="L444">
            <v>13083.914989173929</v>
          </cell>
          <cell r="M444">
            <v>48386.399400087415</v>
          </cell>
          <cell r="N444">
            <v>11282.722429767848</v>
          </cell>
          <cell r="O444">
            <v>11966.771783262002</v>
          </cell>
          <cell r="P444">
            <v>13030.034975302638</v>
          </cell>
          <cell r="Q444">
            <v>13504.447791149545</v>
          </cell>
          <cell r="R444">
            <v>49783.976979482031</v>
          </cell>
          <cell r="S444">
            <v>12147.810408237641</v>
          </cell>
          <cell r="T444">
            <v>13146.655732570704</v>
          </cell>
          <cell r="U444">
            <v>13962.678910758203</v>
          </cell>
          <cell r="V444">
            <v>15561.599571983794</v>
          </cell>
          <cell r="W444">
            <v>54818.744623550345</v>
          </cell>
          <cell r="X444">
            <v>14119.041775763426</v>
          </cell>
          <cell r="Y444">
            <v>12740.602962244455</v>
          </cell>
          <cell r="Z444">
            <v>17001.791032110676</v>
          </cell>
          <cell r="AA444">
            <v>18722.139730899755</v>
          </cell>
          <cell r="AB444">
            <v>62583.575501018313</v>
          </cell>
          <cell r="AC444">
            <v>17802.330233789475</v>
          </cell>
          <cell r="AD444">
            <v>19100.097500563003</v>
          </cell>
          <cell r="AE444">
            <v>21157.86938615502</v>
          </cell>
          <cell r="AF444">
            <v>22221.969232500334</v>
          </cell>
          <cell r="AG444">
            <v>80282.266353007828</v>
          </cell>
          <cell r="AH444">
            <v>19199.673933649286</v>
          </cell>
          <cell r="AI444">
            <v>20564.717636022517</v>
          </cell>
          <cell r="AJ444">
            <v>21673.879963065563</v>
          </cell>
          <cell r="AK444">
            <v>24205.326145552557</v>
          </cell>
          <cell r="AL444">
            <v>85643.597678289923</v>
          </cell>
          <cell r="AM444">
            <v>22891.016378525928</v>
          </cell>
          <cell r="AN444">
            <v>23898.64266666667</v>
          </cell>
          <cell r="AO444">
            <v>24031.664623467601</v>
          </cell>
          <cell r="AP444">
            <v>29433.546147332767</v>
          </cell>
          <cell r="AQ444">
            <v>100254.86981599298</v>
          </cell>
          <cell r="BL444">
            <v>0</v>
          </cell>
        </row>
        <row r="445">
          <cell r="A445" t="str">
            <v>GDP Deflator</v>
          </cell>
          <cell r="G445">
            <v>105.331180961136</v>
          </cell>
          <cell r="H445">
            <v>103.34510481374591</v>
          </cell>
          <cell r="I445">
            <v>104.93953273848355</v>
          </cell>
          <cell r="J445">
            <v>101.8636890494582</v>
          </cell>
          <cell r="K445">
            <v>99.39571940298471</v>
          </cell>
          <cell r="L445">
            <v>99.395498045834813</v>
          </cell>
          <cell r="M445">
            <v>101.21107638831508</v>
          </cell>
          <cell r="N445">
            <v>100.11723020754719</v>
          </cell>
          <cell r="O445">
            <v>99.085444653812132</v>
          </cell>
          <cell r="P445">
            <v>99.445380170116309</v>
          </cell>
          <cell r="Q445">
            <v>100.65838405849803</v>
          </cell>
          <cell r="R445">
            <v>99.840165403840629</v>
          </cell>
          <cell r="S445">
            <v>100.58561745835992</v>
          </cell>
          <cell r="T445">
            <v>100.31942582572795</v>
          </cell>
          <cell r="U445">
            <v>98.97705447301675</v>
          </cell>
          <cell r="V445">
            <v>100.19083569808996</v>
          </cell>
          <cell r="W445">
            <v>100.00000000000182</v>
          </cell>
          <cell r="X445">
            <v>102.5892806097601</v>
          </cell>
          <cell r="Y445">
            <v>101.07907006692265</v>
          </cell>
          <cell r="Z445">
            <v>99.862328876932892</v>
          </cell>
          <cell r="AA445">
            <v>102.68723765103363</v>
          </cell>
          <cell r="AB445">
            <v>101.57032171348415</v>
          </cell>
          <cell r="AC445">
            <v>101.70218141284153</v>
          </cell>
          <cell r="AD445">
            <v>102.33385210994041</v>
          </cell>
          <cell r="AE445">
            <v>103.10094077857292</v>
          </cell>
          <cell r="AF445">
            <v>105.45476223667995</v>
          </cell>
          <cell r="AG445">
            <v>103.25980405051843</v>
          </cell>
          <cell r="AH445">
            <v>105.5</v>
          </cell>
          <cell r="AI445">
            <v>106.6</v>
          </cell>
          <cell r="AJ445">
            <v>108.3</v>
          </cell>
          <cell r="AK445">
            <v>111.3</v>
          </cell>
          <cell r="AL445">
            <v>108.11197510385672</v>
          </cell>
          <cell r="AM445">
            <v>109.9</v>
          </cell>
          <cell r="AN445">
            <v>112.5</v>
          </cell>
          <cell r="AO445">
            <v>114.2</v>
          </cell>
          <cell r="AP445">
            <v>118.1</v>
          </cell>
          <cell r="AQ445">
            <v>113.95793462172024</v>
          </cell>
          <cell r="BL445">
            <v>0</v>
          </cell>
        </row>
        <row r="446">
          <cell r="A446" t="str">
            <v xml:space="preserve">  Year-over-Year growth in deflator</v>
          </cell>
          <cell r="H446">
            <v>-1.8855538590447307E-2</v>
          </cell>
          <cell r="M446">
            <v>-2.0649535643481931E-2</v>
          </cell>
          <cell r="N446">
            <v>-4.5953154212663216E-2</v>
          </cell>
          <cell r="O446">
            <v>-2.7274138817976024E-2</v>
          </cell>
          <cell r="P446">
            <v>4.9962681924209384E-4</v>
          </cell>
          <cell r="Q446">
            <v>1.2705666126657578E-2</v>
          </cell>
          <cell r="R446">
            <v>-1.3545068715747011E-2</v>
          </cell>
          <cell r="S446">
            <v>4.6783880241367815E-3</v>
          </cell>
          <cell r="T446">
            <v>1.2453707769361388E-2</v>
          </cell>
          <cell r="U446">
            <v>-4.709376104736207E-3</v>
          </cell>
          <cell r="V446">
            <v>-4.6449023077537177E-3</v>
          </cell>
          <cell r="W446">
            <v>1.6009047612719485E-3</v>
          </cell>
          <cell r="X446">
            <v>1.9919976653020477E-2</v>
          </cell>
          <cell r="Y446">
            <v>7.5722546749255049E-3</v>
          </cell>
          <cell r="Z446">
            <v>8.9442387291640557E-3</v>
          </cell>
          <cell r="AA446">
            <v>2.4916470009953784E-2</v>
          </cell>
          <cell r="AB446">
            <v>1.5703217134823033E-2</v>
          </cell>
          <cell r="AC446">
            <v>-8.6470944298070451E-3</v>
          </cell>
          <cell r="AD446">
            <v>1.241386611676365E-2</v>
          </cell>
          <cell r="AE446">
            <v>3.2430766817296952E-2</v>
          </cell>
          <cell r="AF446">
            <v>2.6951008216340666E-2</v>
          </cell>
          <cell r="AG446">
            <v>1.6633621992456327E-2</v>
          </cell>
          <cell r="AH446">
            <v>3.7342547961109362E-2</v>
          </cell>
          <cell r="AI446">
            <v>4.168853025757624E-2</v>
          </cell>
          <cell r="AJ446">
            <v>5.0426884392771543E-2</v>
          </cell>
          <cell r="AK446">
            <v>5.5428864845393555E-2</v>
          </cell>
          <cell r="AL446">
            <v>4.6989930863750695E-2</v>
          </cell>
          <cell r="AM446">
            <v>4.1706161137440745E-2</v>
          </cell>
          <cell r="AN446">
            <v>5.5347091932457904E-2</v>
          </cell>
          <cell r="AO446">
            <v>5.4478301015697284E-2</v>
          </cell>
          <cell r="AP446">
            <v>6.1096136567834636E-2</v>
          </cell>
          <cell r="AQ446">
            <v>5.4073191357827399E-2</v>
          </cell>
          <cell r="BL446">
            <v>0</v>
          </cell>
        </row>
        <row r="447">
          <cell r="BL447">
            <v>0</v>
          </cell>
        </row>
        <row r="448">
          <cell r="A448" t="str">
            <v>Total Average Positions</v>
          </cell>
          <cell r="BL448">
            <v>0</v>
          </cell>
        </row>
        <row r="449">
          <cell r="A449" t="str">
            <v>Average Tables</v>
          </cell>
          <cell r="BL449">
            <v>0</v>
          </cell>
        </row>
        <row r="450">
          <cell r="A450" t="str">
            <v>Casa Real Casino (SJM)</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70</v>
          </cell>
          <cell r="AF450">
            <v>70</v>
          </cell>
          <cell r="AG450">
            <v>35</v>
          </cell>
          <cell r="AH450">
            <v>70</v>
          </cell>
          <cell r="AI450">
            <v>70</v>
          </cell>
          <cell r="AJ450">
            <v>70</v>
          </cell>
          <cell r="AK450">
            <v>70</v>
          </cell>
          <cell r="AL450">
            <v>70</v>
          </cell>
          <cell r="AM450">
            <v>70</v>
          </cell>
          <cell r="AN450">
            <v>49</v>
          </cell>
          <cell r="AO450">
            <v>49</v>
          </cell>
          <cell r="AP450">
            <v>49</v>
          </cell>
          <cell r="AQ450">
            <v>54.25</v>
          </cell>
          <cell r="AR450">
            <v>71</v>
          </cell>
          <cell r="AS450">
            <v>71</v>
          </cell>
          <cell r="AT450">
            <v>71</v>
          </cell>
          <cell r="AU450">
            <v>71</v>
          </cell>
          <cell r="AV450">
            <v>71</v>
          </cell>
          <cell r="AW450">
            <v>71</v>
          </cell>
          <cell r="AX450">
            <v>71</v>
          </cell>
          <cell r="AY450">
            <v>71</v>
          </cell>
          <cell r="AZ450">
            <v>71</v>
          </cell>
          <cell r="BA450">
            <v>71</v>
          </cell>
          <cell r="BK450">
            <v>49</v>
          </cell>
          <cell r="BL450">
            <v>22</v>
          </cell>
        </row>
        <row r="451">
          <cell r="A451" t="str">
            <v>Casino Lisboa (SJM)</v>
          </cell>
          <cell r="B451">
            <v>146</v>
          </cell>
          <cell r="C451">
            <v>146</v>
          </cell>
          <cell r="D451">
            <v>146</v>
          </cell>
          <cell r="E451">
            <v>146</v>
          </cell>
          <cell r="F451">
            <v>146</v>
          </cell>
          <cell r="G451">
            <v>146</v>
          </cell>
          <cell r="H451">
            <v>146</v>
          </cell>
          <cell r="I451">
            <v>146</v>
          </cell>
          <cell r="J451">
            <v>146</v>
          </cell>
          <cell r="K451">
            <v>146</v>
          </cell>
          <cell r="L451">
            <v>146</v>
          </cell>
          <cell r="M451">
            <v>146</v>
          </cell>
          <cell r="N451">
            <v>146</v>
          </cell>
          <cell r="O451">
            <v>146</v>
          </cell>
          <cell r="P451">
            <v>146</v>
          </cell>
          <cell r="Q451">
            <v>146</v>
          </cell>
          <cell r="R451">
            <v>146</v>
          </cell>
          <cell r="S451">
            <v>146</v>
          </cell>
          <cell r="T451">
            <v>146</v>
          </cell>
          <cell r="U451">
            <v>146</v>
          </cell>
          <cell r="V451">
            <v>146</v>
          </cell>
          <cell r="W451">
            <v>146</v>
          </cell>
          <cell r="X451">
            <v>146</v>
          </cell>
          <cell r="Y451">
            <v>146</v>
          </cell>
          <cell r="Z451">
            <v>146</v>
          </cell>
          <cell r="AA451">
            <v>146</v>
          </cell>
          <cell r="AB451">
            <v>146</v>
          </cell>
          <cell r="AC451">
            <v>146</v>
          </cell>
          <cell r="AD451">
            <v>146</v>
          </cell>
          <cell r="AE451">
            <v>146</v>
          </cell>
          <cell r="AF451">
            <v>146</v>
          </cell>
          <cell r="AG451">
            <v>146</v>
          </cell>
          <cell r="AH451">
            <v>146</v>
          </cell>
          <cell r="AI451">
            <v>146</v>
          </cell>
          <cell r="AJ451">
            <v>146</v>
          </cell>
          <cell r="AK451">
            <v>146</v>
          </cell>
          <cell r="AL451">
            <v>146</v>
          </cell>
          <cell r="AM451">
            <v>146</v>
          </cell>
          <cell r="AN451">
            <v>260</v>
          </cell>
          <cell r="AO451">
            <v>260</v>
          </cell>
          <cell r="AP451">
            <v>260</v>
          </cell>
          <cell r="AQ451">
            <v>231.5</v>
          </cell>
          <cell r="AR451">
            <v>271</v>
          </cell>
          <cell r="AS451">
            <v>271</v>
          </cell>
          <cell r="AT451">
            <v>271</v>
          </cell>
          <cell r="AU451">
            <v>271</v>
          </cell>
          <cell r="AV451">
            <v>271</v>
          </cell>
          <cell r="AW451">
            <v>271</v>
          </cell>
          <cell r="AX451">
            <v>271</v>
          </cell>
          <cell r="AY451">
            <v>271</v>
          </cell>
          <cell r="AZ451">
            <v>271</v>
          </cell>
          <cell r="BA451">
            <v>271</v>
          </cell>
          <cell r="BK451">
            <v>260</v>
          </cell>
          <cell r="BL451">
            <v>11</v>
          </cell>
        </row>
        <row r="452">
          <cell r="A452" t="str">
            <v>Casino Macau Palace (SJM)</v>
          </cell>
          <cell r="B452">
            <v>12</v>
          </cell>
          <cell r="C452">
            <v>12</v>
          </cell>
          <cell r="D452">
            <v>12</v>
          </cell>
          <cell r="E452">
            <v>12</v>
          </cell>
          <cell r="F452">
            <v>12</v>
          </cell>
          <cell r="G452">
            <v>12</v>
          </cell>
          <cell r="H452">
            <v>12</v>
          </cell>
          <cell r="I452">
            <v>12</v>
          </cell>
          <cell r="J452">
            <v>12</v>
          </cell>
          <cell r="K452">
            <v>12</v>
          </cell>
          <cell r="L452">
            <v>12</v>
          </cell>
          <cell r="M452">
            <v>12</v>
          </cell>
          <cell r="N452">
            <v>12</v>
          </cell>
          <cell r="O452">
            <v>12</v>
          </cell>
          <cell r="P452">
            <v>12</v>
          </cell>
          <cell r="Q452">
            <v>12</v>
          </cell>
          <cell r="R452">
            <v>12</v>
          </cell>
          <cell r="S452">
            <v>12</v>
          </cell>
          <cell r="T452">
            <v>12</v>
          </cell>
          <cell r="U452">
            <v>12</v>
          </cell>
          <cell r="V452">
            <v>12</v>
          </cell>
          <cell r="W452">
            <v>12</v>
          </cell>
          <cell r="X452">
            <v>12</v>
          </cell>
          <cell r="Y452">
            <v>12</v>
          </cell>
          <cell r="Z452">
            <v>12</v>
          </cell>
          <cell r="AA452">
            <v>12</v>
          </cell>
          <cell r="AB452">
            <v>12</v>
          </cell>
          <cell r="AC452">
            <v>12</v>
          </cell>
          <cell r="AD452">
            <v>12</v>
          </cell>
          <cell r="AE452">
            <v>12</v>
          </cell>
          <cell r="AF452">
            <v>12</v>
          </cell>
          <cell r="AG452">
            <v>12</v>
          </cell>
          <cell r="AH452">
            <v>12</v>
          </cell>
          <cell r="AI452">
            <v>12</v>
          </cell>
          <cell r="AJ452">
            <v>12</v>
          </cell>
          <cell r="AK452">
            <v>12</v>
          </cell>
          <cell r="AL452">
            <v>12</v>
          </cell>
          <cell r="AM452">
            <v>12</v>
          </cell>
          <cell r="AN452">
            <v>25</v>
          </cell>
          <cell r="AO452">
            <v>25</v>
          </cell>
          <cell r="AP452">
            <v>25</v>
          </cell>
          <cell r="AQ452">
            <v>21.75</v>
          </cell>
          <cell r="AR452">
            <v>11</v>
          </cell>
          <cell r="AS452">
            <v>11</v>
          </cell>
          <cell r="AT452">
            <v>11</v>
          </cell>
          <cell r="AU452">
            <v>11</v>
          </cell>
          <cell r="AV452">
            <v>11</v>
          </cell>
          <cell r="AW452">
            <v>11</v>
          </cell>
          <cell r="AX452">
            <v>11</v>
          </cell>
          <cell r="AY452">
            <v>11</v>
          </cell>
          <cell r="AZ452">
            <v>11</v>
          </cell>
          <cell r="BA452">
            <v>11</v>
          </cell>
          <cell r="BK452">
            <v>25</v>
          </cell>
          <cell r="BL452">
            <v>-14</v>
          </cell>
        </row>
        <row r="453">
          <cell r="A453" t="str">
            <v>Casino Marina (SJM)</v>
          </cell>
          <cell r="B453">
            <v>20</v>
          </cell>
          <cell r="C453">
            <v>20</v>
          </cell>
          <cell r="D453">
            <v>20</v>
          </cell>
          <cell r="E453">
            <v>20</v>
          </cell>
          <cell r="F453">
            <v>20</v>
          </cell>
          <cell r="G453">
            <v>20</v>
          </cell>
          <cell r="H453">
            <v>20</v>
          </cell>
          <cell r="I453">
            <v>20</v>
          </cell>
          <cell r="J453">
            <v>20</v>
          </cell>
          <cell r="K453">
            <v>20</v>
          </cell>
          <cell r="L453">
            <v>20</v>
          </cell>
          <cell r="M453">
            <v>20</v>
          </cell>
          <cell r="N453">
            <v>20</v>
          </cell>
          <cell r="O453">
            <v>20</v>
          </cell>
          <cell r="P453">
            <v>20</v>
          </cell>
          <cell r="Q453">
            <v>20</v>
          </cell>
          <cell r="R453">
            <v>20</v>
          </cell>
          <cell r="S453">
            <v>20</v>
          </cell>
          <cell r="T453">
            <v>20</v>
          </cell>
          <cell r="U453">
            <v>20</v>
          </cell>
          <cell r="V453">
            <v>20</v>
          </cell>
          <cell r="W453">
            <v>20</v>
          </cell>
          <cell r="X453">
            <v>20</v>
          </cell>
          <cell r="Y453">
            <v>20</v>
          </cell>
          <cell r="Z453">
            <v>20</v>
          </cell>
          <cell r="AA453">
            <v>20</v>
          </cell>
          <cell r="AB453">
            <v>20</v>
          </cell>
          <cell r="AC453">
            <v>20</v>
          </cell>
          <cell r="AD453">
            <v>20</v>
          </cell>
          <cell r="AE453">
            <v>20</v>
          </cell>
          <cell r="AF453">
            <v>20</v>
          </cell>
          <cell r="AG453">
            <v>20</v>
          </cell>
          <cell r="AH453">
            <v>20</v>
          </cell>
          <cell r="AI453">
            <v>20</v>
          </cell>
          <cell r="AJ453">
            <v>20</v>
          </cell>
          <cell r="AK453">
            <v>20</v>
          </cell>
          <cell r="AL453">
            <v>20</v>
          </cell>
          <cell r="AM453">
            <v>20</v>
          </cell>
          <cell r="AN453">
            <v>20</v>
          </cell>
          <cell r="AO453">
            <v>20</v>
          </cell>
          <cell r="AP453">
            <v>20</v>
          </cell>
          <cell r="AQ453">
            <v>20</v>
          </cell>
          <cell r="AR453">
            <v>20</v>
          </cell>
          <cell r="AS453">
            <v>20</v>
          </cell>
          <cell r="AT453">
            <v>20</v>
          </cell>
          <cell r="AU453">
            <v>20</v>
          </cell>
          <cell r="AV453">
            <v>20</v>
          </cell>
          <cell r="AW453">
            <v>20</v>
          </cell>
          <cell r="AX453">
            <v>20</v>
          </cell>
          <cell r="AY453">
            <v>20</v>
          </cell>
          <cell r="AZ453">
            <v>20</v>
          </cell>
          <cell r="BA453">
            <v>20</v>
          </cell>
          <cell r="BK453">
            <v>20</v>
          </cell>
          <cell r="BL453">
            <v>0</v>
          </cell>
        </row>
        <row r="454">
          <cell r="A454" t="str">
            <v>Casino Taipa (SJM)</v>
          </cell>
          <cell r="B454">
            <v>8</v>
          </cell>
          <cell r="C454">
            <v>8</v>
          </cell>
          <cell r="D454">
            <v>8</v>
          </cell>
          <cell r="E454">
            <v>8</v>
          </cell>
          <cell r="F454">
            <v>8</v>
          </cell>
          <cell r="G454">
            <v>8</v>
          </cell>
          <cell r="H454">
            <v>8</v>
          </cell>
          <cell r="I454">
            <v>8</v>
          </cell>
          <cell r="J454">
            <v>8</v>
          </cell>
          <cell r="K454">
            <v>8</v>
          </cell>
          <cell r="L454">
            <v>8</v>
          </cell>
          <cell r="M454">
            <v>8</v>
          </cell>
          <cell r="N454">
            <v>8</v>
          </cell>
          <cell r="O454">
            <v>8</v>
          </cell>
          <cell r="P454">
            <v>8</v>
          </cell>
          <cell r="Q454">
            <v>8</v>
          </cell>
          <cell r="R454">
            <v>8</v>
          </cell>
          <cell r="S454">
            <v>8</v>
          </cell>
          <cell r="T454">
            <v>8</v>
          </cell>
          <cell r="U454">
            <v>8</v>
          </cell>
          <cell r="V454">
            <v>8</v>
          </cell>
          <cell r="W454">
            <v>8</v>
          </cell>
          <cell r="X454">
            <v>8</v>
          </cell>
          <cell r="Y454">
            <v>8</v>
          </cell>
          <cell r="Z454">
            <v>8</v>
          </cell>
          <cell r="AA454">
            <v>8</v>
          </cell>
          <cell r="AB454">
            <v>8</v>
          </cell>
          <cell r="AC454">
            <v>8</v>
          </cell>
          <cell r="AD454">
            <v>8</v>
          </cell>
          <cell r="AE454">
            <v>8</v>
          </cell>
          <cell r="AF454">
            <v>8</v>
          </cell>
          <cell r="AG454">
            <v>8</v>
          </cell>
          <cell r="AH454">
            <v>8</v>
          </cell>
          <cell r="AI454">
            <v>8</v>
          </cell>
          <cell r="AJ454">
            <v>8</v>
          </cell>
          <cell r="AK454">
            <v>8</v>
          </cell>
          <cell r="AL454">
            <v>8</v>
          </cell>
          <cell r="AM454">
            <v>8</v>
          </cell>
          <cell r="AN454">
            <v>8</v>
          </cell>
          <cell r="AO454">
            <v>8</v>
          </cell>
          <cell r="AP454">
            <v>8</v>
          </cell>
          <cell r="AQ454">
            <v>8</v>
          </cell>
          <cell r="AR454">
            <v>8</v>
          </cell>
          <cell r="AS454">
            <v>8</v>
          </cell>
          <cell r="AT454">
            <v>8</v>
          </cell>
          <cell r="AU454">
            <v>8</v>
          </cell>
          <cell r="AV454">
            <v>8</v>
          </cell>
          <cell r="AW454">
            <v>8</v>
          </cell>
          <cell r="AX454">
            <v>8</v>
          </cell>
          <cell r="AY454">
            <v>8</v>
          </cell>
          <cell r="AZ454">
            <v>8</v>
          </cell>
          <cell r="BA454">
            <v>8</v>
          </cell>
          <cell r="BK454">
            <v>8</v>
          </cell>
          <cell r="BL454">
            <v>0</v>
          </cell>
        </row>
        <row r="455">
          <cell r="A455" t="str">
            <v>Diamond Casino (SJM)</v>
          </cell>
          <cell r="B455">
            <v>6</v>
          </cell>
          <cell r="C455">
            <v>6</v>
          </cell>
          <cell r="D455">
            <v>6</v>
          </cell>
          <cell r="E455">
            <v>6</v>
          </cell>
          <cell r="F455">
            <v>6</v>
          </cell>
          <cell r="G455">
            <v>6</v>
          </cell>
          <cell r="H455">
            <v>6</v>
          </cell>
          <cell r="I455">
            <v>6</v>
          </cell>
          <cell r="J455">
            <v>6</v>
          </cell>
          <cell r="K455">
            <v>6</v>
          </cell>
          <cell r="L455">
            <v>6</v>
          </cell>
          <cell r="M455">
            <v>6</v>
          </cell>
          <cell r="N455">
            <v>6</v>
          </cell>
          <cell r="O455">
            <v>6</v>
          </cell>
          <cell r="P455">
            <v>6</v>
          </cell>
          <cell r="Q455">
            <v>6</v>
          </cell>
          <cell r="R455">
            <v>6</v>
          </cell>
          <cell r="S455">
            <v>6</v>
          </cell>
          <cell r="T455">
            <v>6</v>
          </cell>
          <cell r="U455">
            <v>6</v>
          </cell>
          <cell r="V455">
            <v>6</v>
          </cell>
          <cell r="W455">
            <v>6</v>
          </cell>
          <cell r="X455">
            <v>6</v>
          </cell>
          <cell r="Y455">
            <v>6</v>
          </cell>
          <cell r="Z455">
            <v>6</v>
          </cell>
          <cell r="AA455">
            <v>6</v>
          </cell>
          <cell r="AB455">
            <v>6</v>
          </cell>
          <cell r="AC455">
            <v>6</v>
          </cell>
          <cell r="AD455">
            <v>6</v>
          </cell>
          <cell r="AE455">
            <v>6</v>
          </cell>
          <cell r="AF455">
            <v>6</v>
          </cell>
          <cell r="AG455">
            <v>6</v>
          </cell>
          <cell r="AH455">
            <v>6</v>
          </cell>
          <cell r="AI455">
            <v>6</v>
          </cell>
          <cell r="AJ455">
            <v>6</v>
          </cell>
          <cell r="AK455">
            <v>6</v>
          </cell>
          <cell r="AL455">
            <v>6</v>
          </cell>
          <cell r="AM455">
            <v>52</v>
          </cell>
          <cell r="AN455">
            <v>54</v>
          </cell>
          <cell r="AO455">
            <v>54</v>
          </cell>
          <cell r="AP455">
            <v>54</v>
          </cell>
          <cell r="AQ455">
            <v>53.5</v>
          </cell>
          <cell r="AR455">
            <v>54</v>
          </cell>
          <cell r="AS455">
            <v>54</v>
          </cell>
          <cell r="AT455">
            <v>54</v>
          </cell>
          <cell r="AU455">
            <v>54</v>
          </cell>
          <cell r="AV455">
            <v>54</v>
          </cell>
          <cell r="AW455">
            <v>54</v>
          </cell>
          <cell r="AX455">
            <v>54</v>
          </cell>
          <cell r="AY455">
            <v>54</v>
          </cell>
          <cell r="AZ455">
            <v>54</v>
          </cell>
          <cell r="BA455">
            <v>54</v>
          </cell>
          <cell r="BK455">
            <v>54</v>
          </cell>
          <cell r="BL455">
            <v>0</v>
          </cell>
        </row>
        <row r="456">
          <cell r="A456" t="str">
            <v>Golden Dragon (SJM)</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70</v>
          </cell>
          <cell r="AI456">
            <v>70</v>
          </cell>
          <cell r="AJ456">
            <v>70</v>
          </cell>
          <cell r="AK456">
            <v>70</v>
          </cell>
          <cell r="AL456">
            <v>70</v>
          </cell>
          <cell r="AM456">
            <v>70</v>
          </cell>
          <cell r="AN456">
            <v>90</v>
          </cell>
          <cell r="AO456">
            <v>90</v>
          </cell>
          <cell r="AP456">
            <v>90</v>
          </cell>
          <cell r="AQ456">
            <v>85</v>
          </cell>
          <cell r="AR456">
            <v>79</v>
          </cell>
          <cell r="AS456">
            <v>79</v>
          </cell>
          <cell r="AT456">
            <v>79</v>
          </cell>
          <cell r="AU456">
            <v>79</v>
          </cell>
          <cell r="AV456">
            <v>79</v>
          </cell>
          <cell r="AW456">
            <v>79</v>
          </cell>
          <cell r="AX456">
            <v>79</v>
          </cell>
          <cell r="AY456">
            <v>79</v>
          </cell>
          <cell r="AZ456">
            <v>79</v>
          </cell>
          <cell r="BA456">
            <v>79</v>
          </cell>
          <cell r="BK456">
            <v>90</v>
          </cell>
          <cell r="BL456">
            <v>-11</v>
          </cell>
        </row>
        <row r="457">
          <cell r="A457" t="str">
            <v>Greek Mythology Casino (SJM)</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22.304347826086957</v>
          </cell>
          <cell r="AG457">
            <v>5.5760869565217392</v>
          </cell>
          <cell r="AH457">
            <v>228</v>
          </cell>
          <cell r="AI457">
            <v>228</v>
          </cell>
          <cell r="AJ457">
            <v>228</v>
          </cell>
          <cell r="AK457">
            <v>228</v>
          </cell>
          <cell r="AL457">
            <v>228</v>
          </cell>
          <cell r="AM457">
            <v>228</v>
          </cell>
          <cell r="AN457">
            <v>228</v>
          </cell>
          <cell r="AO457">
            <v>228</v>
          </cell>
          <cell r="AP457">
            <v>228</v>
          </cell>
          <cell r="AQ457">
            <v>228</v>
          </cell>
          <cell r="AR457">
            <v>120</v>
          </cell>
          <cell r="AS457">
            <v>120</v>
          </cell>
          <cell r="AT457">
            <v>120</v>
          </cell>
          <cell r="AU457">
            <v>120</v>
          </cell>
          <cell r="AV457">
            <v>120</v>
          </cell>
          <cell r="AW457">
            <v>120</v>
          </cell>
          <cell r="AX457">
            <v>120</v>
          </cell>
          <cell r="AY457">
            <v>120</v>
          </cell>
          <cell r="AZ457">
            <v>120</v>
          </cell>
          <cell r="BA457">
            <v>120</v>
          </cell>
          <cell r="BK457">
            <v>228</v>
          </cell>
          <cell r="BL457">
            <v>-108</v>
          </cell>
        </row>
        <row r="458">
          <cell r="A458" t="str">
            <v>Hotel Fortuna Casino (SJM)</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20.611111111111111</v>
          </cell>
          <cell r="AI458">
            <v>35</v>
          </cell>
          <cell r="AJ458">
            <v>35</v>
          </cell>
          <cell r="AK458">
            <v>35</v>
          </cell>
          <cell r="AL458">
            <v>31.402777777777779</v>
          </cell>
          <cell r="AM458">
            <v>35</v>
          </cell>
          <cell r="AN458">
            <v>40</v>
          </cell>
          <cell r="AO458">
            <v>40</v>
          </cell>
          <cell r="AP458">
            <v>40</v>
          </cell>
          <cell r="AQ458">
            <v>38.75</v>
          </cell>
          <cell r="AR458">
            <v>45</v>
          </cell>
          <cell r="AS458">
            <v>45</v>
          </cell>
          <cell r="AT458">
            <v>45</v>
          </cell>
          <cell r="AU458">
            <v>45</v>
          </cell>
          <cell r="AV458">
            <v>45</v>
          </cell>
          <cell r="AW458">
            <v>45</v>
          </cell>
          <cell r="AX458">
            <v>45</v>
          </cell>
          <cell r="AY458">
            <v>45</v>
          </cell>
          <cell r="AZ458">
            <v>45</v>
          </cell>
          <cell r="BA458">
            <v>45</v>
          </cell>
          <cell r="BK458">
            <v>40</v>
          </cell>
          <cell r="BL458">
            <v>5</v>
          </cell>
        </row>
        <row r="459">
          <cell r="A459" t="str">
            <v>Jai Alai Casino (SJM)</v>
          </cell>
          <cell r="B459">
            <v>59</v>
          </cell>
          <cell r="C459">
            <v>59</v>
          </cell>
          <cell r="D459">
            <v>59</v>
          </cell>
          <cell r="E459">
            <v>59</v>
          </cell>
          <cell r="F459">
            <v>59</v>
          </cell>
          <cell r="G459">
            <v>59</v>
          </cell>
          <cell r="H459">
            <v>59</v>
          </cell>
          <cell r="I459">
            <v>59</v>
          </cell>
          <cell r="J459">
            <v>59</v>
          </cell>
          <cell r="K459">
            <v>59</v>
          </cell>
          <cell r="L459">
            <v>59</v>
          </cell>
          <cell r="M459">
            <v>59</v>
          </cell>
          <cell r="N459">
            <v>59</v>
          </cell>
          <cell r="O459">
            <v>59</v>
          </cell>
          <cell r="P459">
            <v>59</v>
          </cell>
          <cell r="Q459">
            <v>59</v>
          </cell>
          <cell r="R459">
            <v>59</v>
          </cell>
          <cell r="S459">
            <v>59</v>
          </cell>
          <cell r="T459">
            <v>59</v>
          </cell>
          <cell r="U459">
            <v>59</v>
          </cell>
          <cell r="V459">
            <v>59</v>
          </cell>
          <cell r="W459">
            <v>59</v>
          </cell>
          <cell r="X459">
            <v>59</v>
          </cell>
          <cell r="Y459">
            <v>59</v>
          </cell>
          <cell r="Z459">
            <v>59</v>
          </cell>
          <cell r="AA459">
            <v>59</v>
          </cell>
          <cell r="AB459">
            <v>59</v>
          </cell>
          <cell r="AC459">
            <v>59</v>
          </cell>
          <cell r="AD459">
            <v>59</v>
          </cell>
          <cell r="AE459">
            <v>59</v>
          </cell>
          <cell r="AF459">
            <v>59</v>
          </cell>
          <cell r="AG459">
            <v>59</v>
          </cell>
          <cell r="AH459">
            <v>59</v>
          </cell>
          <cell r="AI459">
            <v>59</v>
          </cell>
          <cell r="AJ459">
            <v>59</v>
          </cell>
          <cell r="AK459">
            <v>59</v>
          </cell>
          <cell r="AL459">
            <v>59</v>
          </cell>
          <cell r="AM459">
            <v>59</v>
          </cell>
          <cell r="AN459">
            <v>116</v>
          </cell>
          <cell r="AO459">
            <v>116</v>
          </cell>
          <cell r="AP459">
            <v>116</v>
          </cell>
          <cell r="AQ459">
            <v>101.75</v>
          </cell>
          <cell r="AR459">
            <v>90</v>
          </cell>
          <cell r="AS459">
            <v>90</v>
          </cell>
          <cell r="AT459">
            <v>90</v>
          </cell>
          <cell r="AU459">
            <v>90</v>
          </cell>
          <cell r="AV459">
            <v>90</v>
          </cell>
          <cell r="AW459">
            <v>0</v>
          </cell>
          <cell r="AX459">
            <v>0</v>
          </cell>
          <cell r="AY459">
            <v>0</v>
          </cell>
          <cell r="AZ459">
            <v>0</v>
          </cell>
          <cell r="BA459">
            <v>0</v>
          </cell>
          <cell r="BK459">
            <v>116</v>
          </cell>
          <cell r="BL459">
            <v>-26</v>
          </cell>
        </row>
        <row r="460">
          <cell r="A460" t="str">
            <v>Kam Pek Casino (SJM)</v>
          </cell>
          <cell r="B460">
            <v>24</v>
          </cell>
          <cell r="C460">
            <v>24</v>
          </cell>
          <cell r="D460">
            <v>24</v>
          </cell>
          <cell r="E460">
            <v>24</v>
          </cell>
          <cell r="F460">
            <v>24</v>
          </cell>
          <cell r="G460">
            <v>24</v>
          </cell>
          <cell r="H460">
            <v>24</v>
          </cell>
          <cell r="I460">
            <v>24</v>
          </cell>
          <cell r="J460">
            <v>24</v>
          </cell>
          <cell r="K460">
            <v>24</v>
          </cell>
          <cell r="L460">
            <v>24</v>
          </cell>
          <cell r="M460">
            <v>24</v>
          </cell>
          <cell r="N460">
            <v>24</v>
          </cell>
          <cell r="O460">
            <v>24</v>
          </cell>
          <cell r="P460">
            <v>24</v>
          </cell>
          <cell r="Q460">
            <v>24</v>
          </cell>
          <cell r="R460">
            <v>24</v>
          </cell>
          <cell r="S460">
            <v>24</v>
          </cell>
          <cell r="T460">
            <v>24</v>
          </cell>
          <cell r="U460">
            <v>24</v>
          </cell>
          <cell r="V460">
            <v>24</v>
          </cell>
          <cell r="W460">
            <v>24</v>
          </cell>
          <cell r="X460">
            <v>24</v>
          </cell>
          <cell r="Y460">
            <v>24</v>
          </cell>
          <cell r="Z460">
            <v>24</v>
          </cell>
          <cell r="AA460">
            <v>24</v>
          </cell>
          <cell r="AB460">
            <v>24</v>
          </cell>
          <cell r="AC460">
            <v>24</v>
          </cell>
          <cell r="AD460">
            <v>24</v>
          </cell>
          <cell r="AE460">
            <v>24</v>
          </cell>
          <cell r="AF460">
            <v>24</v>
          </cell>
          <cell r="AG460">
            <v>24</v>
          </cell>
          <cell r="AH460">
            <v>24</v>
          </cell>
          <cell r="AI460">
            <v>36.666666666666671</v>
          </cell>
          <cell r="AJ460">
            <v>62</v>
          </cell>
          <cell r="AK460">
            <v>62</v>
          </cell>
          <cell r="AL460">
            <v>46.166666666666671</v>
          </cell>
          <cell r="AM460">
            <v>62</v>
          </cell>
          <cell r="AN460">
            <v>67</v>
          </cell>
          <cell r="AO460">
            <v>67</v>
          </cell>
          <cell r="AP460">
            <v>67</v>
          </cell>
          <cell r="AQ460">
            <v>65.75</v>
          </cell>
          <cell r="AR460">
            <v>84</v>
          </cell>
          <cell r="AS460">
            <v>84</v>
          </cell>
          <cell r="AT460">
            <v>84</v>
          </cell>
          <cell r="AU460">
            <v>84</v>
          </cell>
          <cell r="AV460">
            <v>84</v>
          </cell>
          <cell r="AW460">
            <v>84</v>
          </cell>
          <cell r="AX460">
            <v>84</v>
          </cell>
          <cell r="AY460">
            <v>84</v>
          </cell>
          <cell r="AZ460">
            <v>84</v>
          </cell>
          <cell r="BA460">
            <v>84</v>
          </cell>
          <cell r="BK460">
            <v>67</v>
          </cell>
          <cell r="BL460">
            <v>17</v>
          </cell>
        </row>
        <row r="461">
          <cell r="A461" t="str">
            <v>Kingsway Hotel &amp; Casino (SJM)</v>
          </cell>
          <cell r="B461">
            <v>8</v>
          </cell>
          <cell r="C461">
            <v>8</v>
          </cell>
          <cell r="D461">
            <v>8</v>
          </cell>
          <cell r="E461">
            <v>8</v>
          </cell>
          <cell r="F461">
            <v>8</v>
          </cell>
          <cell r="G461">
            <v>8</v>
          </cell>
          <cell r="H461">
            <v>8</v>
          </cell>
          <cell r="I461">
            <v>8</v>
          </cell>
          <cell r="J461">
            <v>8</v>
          </cell>
          <cell r="K461">
            <v>8</v>
          </cell>
          <cell r="L461">
            <v>8</v>
          </cell>
          <cell r="M461">
            <v>8</v>
          </cell>
          <cell r="N461">
            <v>8</v>
          </cell>
          <cell r="O461">
            <v>8</v>
          </cell>
          <cell r="P461">
            <v>8</v>
          </cell>
          <cell r="Q461">
            <v>8</v>
          </cell>
          <cell r="R461">
            <v>8</v>
          </cell>
          <cell r="S461">
            <v>8</v>
          </cell>
          <cell r="T461">
            <v>8</v>
          </cell>
          <cell r="U461">
            <v>8</v>
          </cell>
          <cell r="V461">
            <v>8</v>
          </cell>
          <cell r="W461">
            <v>8</v>
          </cell>
          <cell r="X461">
            <v>8</v>
          </cell>
          <cell r="Y461">
            <v>8</v>
          </cell>
          <cell r="Z461">
            <v>8</v>
          </cell>
          <cell r="AA461">
            <v>8</v>
          </cell>
          <cell r="AB461">
            <v>8</v>
          </cell>
          <cell r="AC461">
            <v>8</v>
          </cell>
          <cell r="AD461">
            <v>8</v>
          </cell>
          <cell r="AE461">
            <v>8</v>
          </cell>
          <cell r="AF461">
            <v>8</v>
          </cell>
          <cell r="AG461">
            <v>8</v>
          </cell>
          <cell r="AH461">
            <v>8</v>
          </cell>
          <cell r="AI461">
            <v>8</v>
          </cell>
          <cell r="AJ461">
            <v>8</v>
          </cell>
          <cell r="AK461">
            <v>8</v>
          </cell>
          <cell r="AL461">
            <v>8</v>
          </cell>
          <cell r="AM461">
            <v>8</v>
          </cell>
          <cell r="AN461">
            <v>9</v>
          </cell>
          <cell r="AO461">
            <v>9</v>
          </cell>
          <cell r="AP461">
            <v>9</v>
          </cell>
          <cell r="AQ461">
            <v>8.75</v>
          </cell>
          <cell r="AR461">
            <v>8</v>
          </cell>
          <cell r="AS461">
            <v>8</v>
          </cell>
          <cell r="AT461">
            <v>8</v>
          </cell>
          <cell r="AU461">
            <v>8</v>
          </cell>
          <cell r="AV461">
            <v>8</v>
          </cell>
          <cell r="AW461">
            <v>8</v>
          </cell>
          <cell r="AX461">
            <v>8</v>
          </cell>
          <cell r="AY461">
            <v>8</v>
          </cell>
          <cell r="AZ461">
            <v>8</v>
          </cell>
          <cell r="BA461">
            <v>8</v>
          </cell>
          <cell r="BK461">
            <v>9</v>
          </cell>
          <cell r="BL461">
            <v>-1</v>
          </cell>
        </row>
        <row r="462">
          <cell r="A462" t="str">
            <v>Macau Jockey Club (MJC) Casino (SJM)</v>
          </cell>
          <cell r="B462">
            <v>13</v>
          </cell>
          <cell r="C462">
            <v>13</v>
          </cell>
          <cell r="D462">
            <v>13</v>
          </cell>
          <cell r="E462">
            <v>13</v>
          </cell>
          <cell r="F462">
            <v>13</v>
          </cell>
          <cell r="G462">
            <v>13</v>
          </cell>
          <cell r="H462">
            <v>13</v>
          </cell>
          <cell r="I462">
            <v>13</v>
          </cell>
          <cell r="J462">
            <v>13</v>
          </cell>
          <cell r="K462">
            <v>13</v>
          </cell>
          <cell r="L462">
            <v>13</v>
          </cell>
          <cell r="M462">
            <v>13</v>
          </cell>
          <cell r="N462">
            <v>13</v>
          </cell>
          <cell r="O462">
            <v>13</v>
          </cell>
          <cell r="P462">
            <v>13</v>
          </cell>
          <cell r="Q462">
            <v>13</v>
          </cell>
          <cell r="R462">
            <v>13</v>
          </cell>
          <cell r="S462">
            <v>13</v>
          </cell>
          <cell r="T462">
            <v>13</v>
          </cell>
          <cell r="U462">
            <v>13</v>
          </cell>
          <cell r="V462">
            <v>13</v>
          </cell>
          <cell r="W462">
            <v>13</v>
          </cell>
          <cell r="X462">
            <v>13</v>
          </cell>
          <cell r="Y462">
            <v>13</v>
          </cell>
          <cell r="Z462">
            <v>13</v>
          </cell>
          <cell r="AA462">
            <v>13</v>
          </cell>
          <cell r="AB462">
            <v>13</v>
          </cell>
          <cell r="AC462">
            <v>13</v>
          </cell>
          <cell r="AD462">
            <v>13</v>
          </cell>
          <cell r="AE462">
            <v>13</v>
          </cell>
          <cell r="AF462">
            <v>13</v>
          </cell>
          <cell r="AG462">
            <v>13</v>
          </cell>
          <cell r="AH462">
            <v>13</v>
          </cell>
          <cell r="AI462">
            <v>13</v>
          </cell>
          <cell r="AJ462">
            <v>51</v>
          </cell>
          <cell r="AK462">
            <v>51</v>
          </cell>
          <cell r="AL462">
            <v>32</v>
          </cell>
          <cell r="AM462">
            <v>51</v>
          </cell>
          <cell r="AN462">
            <v>21</v>
          </cell>
          <cell r="AO462">
            <v>21</v>
          </cell>
          <cell r="AP462">
            <v>21</v>
          </cell>
          <cell r="AQ462">
            <v>28.5</v>
          </cell>
          <cell r="AR462">
            <v>49</v>
          </cell>
          <cell r="AS462">
            <v>49</v>
          </cell>
          <cell r="AT462">
            <v>49</v>
          </cell>
          <cell r="AU462">
            <v>49</v>
          </cell>
          <cell r="AV462">
            <v>49</v>
          </cell>
          <cell r="AW462">
            <v>49</v>
          </cell>
          <cell r="AX462">
            <v>49</v>
          </cell>
          <cell r="AY462">
            <v>49</v>
          </cell>
          <cell r="AZ462">
            <v>49</v>
          </cell>
          <cell r="BA462">
            <v>49</v>
          </cell>
          <cell r="BK462">
            <v>21</v>
          </cell>
          <cell r="BL462">
            <v>28</v>
          </cell>
        </row>
        <row r="463">
          <cell r="A463" t="str">
            <v>Mandarin Oriental Casino (SJM)</v>
          </cell>
          <cell r="B463">
            <v>11</v>
          </cell>
          <cell r="C463">
            <v>11</v>
          </cell>
          <cell r="D463">
            <v>11</v>
          </cell>
          <cell r="E463">
            <v>11</v>
          </cell>
          <cell r="F463">
            <v>11</v>
          </cell>
          <cell r="G463">
            <v>11</v>
          </cell>
          <cell r="H463">
            <v>11</v>
          </cell>
          <cell r="I463">
            <v>11</v>
          </cell>
          <cell r="J463">
            <v>11</v>
          </cell>
          <cell r="K463">
            <v>11</v>
          </cell>
          <cell r="L463">
            <v>11</v>
          </cell>
          <cell r="M463">
            <v>11</v>
          </cell>
          <cell r="N463">
            <v>11</v>
          </cell>
          <cell r="O463">
            <v>11</v>
          </cell>
          <cell r="P463">
            <v>11</v>
          </cell>
          <cell r="Q463">
            <v>11</v>
          </cell>
          <cell r="R463">
            <v>11</v>
          </cell>
          <cell r="S463">
            <v>11</v>
          </cell>
          <cell r="T463">
            <v>11</v>
          </cell>
          <cell r="U463">
            <v>11</v>
          </cell>
          <cell r="V463">
            <v>11</v>
          </cell>
          <cell r="W463">
            <v>11</v>
          </cell>
          <cell r="X463">
            <v>11</v>
          </cell>
          <cell r="Y463">
            <v>11</v>
          </cell>
          <cell r="Z463">
            <v>11</v>
          </cell>
          <cell r="AA463">
            <v>11</v>
          </cell>
          <cell r="AB463">
            <v>11</v>
          </cell>
          <cell r="AC463">
            <v>11</v>
          </cell>
          <cell r="AD463">
            <v>11</v>
          </cell>
          <cell r="AE463">
            <v>11</v>
          </cell>
          <cell r="AF463">
            <v>11</v>
          </cell>
          <cell r="AG463">
            <v>11</v>
          </cell>
          <cell r="AH463">
            <v>11</v>
          </cell>
          <cell r="AI463">
            <v>11</v>
          </cell>
          <cell r="AJ463">
            <v>11</v>
          </cell>
          <cell r="AK463">
            <v>11</v>
          </cell>
          <cell r="AL463">
            <v>11</v>
          </cell>
          <cell r="AM463">
            <v>11</v>
          </cell>
          <cell r="AN463">
            <v>13</v>
          </cell>
          <cell r="AO463">
            <v>13</v>
          </cell>
          <cell r="AP463">
            <v>13</v>
          </cell>
          <cell r="AQ463">
            <v>12.5</v>
          </cell>
          <cell r="AR463">
            <v>25</v>
          </cell>
          <cell r="AS463">
            <v>25</v>
          </cell>
          <cell r="AT463">
            <v>25</v>
          </cell>
          <cell r="AU463">
            <v>25</v>
          </cell>
          <cell r="AV463">
            <v>25</v>
          </cell>
          <cell r="AW463">
            <v>25</v>
          </cell>
          <cell r="AX463">
            <v>25</v>
          </cell>
          <cell r="AY463">
            <v>25</v>
          </cell>
          <cell r="AZ463">
            <v>25</v>
          </cell>
          <cell r="BA463">
            <v>25</v>
          </cell>
          <cell r="BK463">
            <v>13</v>
          </cell>
          <cell r="BL463">
            <v>12</v>
          </cell>
        </row>
        <row r="464">
          <cell r="A464" t="str">
            <v>New Century Casino (SJM)</v>
          </cell>
          <cell r="B464">
            <v>34</v>
          </cell>
          <cell r="C464">
            <v>34</v>
          </cell>
          <cell r="D464">
            <v>34</v>
          </cell>
          <cell r="E464">
            <v>34</v>
          </cell>
          <cell r="F464">
            <v>34</v>
          </cell>
          <cell r="G464">
            <v>34</v>
          </cell>
          <cell r="H464">
            <v>34</v>
          </cell>
          <cell r="I464">
            <v>34</v>
          </cell>
          <cell r="J464">
            <v>34</v>
          </cell>
          <cell r="K464">
            <v>34</v>
          </cell>
          <cell r="L464">
            <v>34</v>
          </cell>
          <cell r="M464">
            <v>34</v>
          </cell>
          <cell r="N464">
            <v>34</v>
          </cell>
          <cell r="O464">
            <v>34</v>
          </cell>
          <cell r="P464">
            <v>34</v>
          </cell>
          <cell r="Q464">
            <v>34</v>
          </cell>
          <cell r="R464">
            <v>34</v>
          </cell>
          <cell r="S464">
            <v>34</v>
          </cell>
          <cell r="T464">
            <v>34</v>
          </cell>
          <cell r="U464">
            <v>34</v>
          </cell>
          <cell r="V464">
            <v>34</v>
          </cell>
          <cell r="W464">
            <v>34</v>
          </cell>
          <cell r="X464">
            <v>34</v>
          </cell>
          <cell r="Y464">
            <v>34</v>
          </cell>
          <cell r="Z464">
            <v>34</v>
          </cell>
          <cell r="AA464">
            <v>34</v>
          </cell>
          <cell r="AB464">
            <v>34</v>
          </cell>
          <cell r="AC464">
            <v>34</v>
          </cell>
          <cell r="AD464">
            <v>34</v>
          </cell>
          <cell r="AE464">
            <v>34</v>
          </cell>
          <cell r="AF464">
            <v>0</v>
          </cell>
          <cell r="AG464">
            <v>25.5</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K464">
            <v>0</v>
          </cell>
          <cell r="BL464">
            <v>0</v>
          </cell>
        </row>
        <row r="465">
          <cell r="A465" t="str">
            <v>Pharoh's Palace &amp; Legend Club (SJM)</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100</v>
          </cell>
          <cell r="Y465">
            <v>100</v>
          </cell>
          <cell r="Z465">
            <v>100</v>
          </cell>
          <cell r="AA465">
            <v>100</v>
          </cell>
          <cell r="AB465">
            <v>100</v>
          </cell>
          <cell r="AC465">
            <v>100</v>
          </cell>
          <cell r="AD465">
            <v>100</v>
          </cell>
          <cell r="AE465">
            <v>100</v>
          </cell>
          <cell r="AF465">
            <v>100</v>
          </cell>
          <cell r="AG465">
            <v>100</v>
          </cell>
          <cell r="AH465">
            <v>100</v>
          </cell>
          <cell r="AI465">
            <v>100</v>
          </cell>
          <cell r="AJ465">
            <v>100</v>
          </cell>
          <cell r="AK465">
            <v>100</v>
          </cell>
          <cell r="AL465">
            <v>100</v>
          </cell>
          <cell r="AM465">
            <v>100</v>
          </cell>
          <cell r="AN465">
            <v>103</v>
          </cell>
          <cell r="AO465">
            <v>103</v>
          </cell>
          <cell r="AP465">
            <v>103</v>
          </cell>
          <cell r="AQ465">
            <v>102.25</v>
          </cell>
          <cell r="AR465">
            <v>118</v>
          </cell>
          <cell r="AS465">
            <v>118</v>
          </cell>
          <cell r="AT465">
            <v>118</v>
          </cell>
          <cell r="AU465">
            <v>118</v>
          </cell>
          <cell r="AV465">
            <v>118</v>
          </cell>
          <cell r="AW465">
            <v>118</v>
          </cell>
          <cell r="AX465">
            <v>118</v>
          </cell>
          <cell r="AY465">
            <v>118</v>
          </cell>
          <cell r="AZ465">
            <v>118</v>
          </cell>
          <cell r="BA465">
            <v>118</v>
          </cell>
          <cell r="BK465">
            <v>103</v>
          </cell>
          <cell r="BL465">
            <v>15</v>
          </cell>
        </row>
        <row r="466">
          <cell r="A466" t="str">
            <v>Hotel Emperor Casino (SJM)</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86</v>
          </cell>
          <cell r="AN466">
            <v>86</v>
          </cell>
          <cell r="AO466">
            <v>86</v>
          </cell>
          <cell r="AP466">
            <v>86</v>
          </cell>
          <cell r="AQ466">
            <v>86</v>
          </cell>
          <cell r="AR466">
            <v>76</v>
          </cell>
          <cell r="AS466">
            <v>100</v>
          </cell>
          <cell r="AT466">
            <v>100</v>
          </cell>
          <cell r="AU466">
            <v>100</v>
          </cell>
          <cell r="AV466">
            <v>94</v>
          </cell>
          <cell r="AW466">
            <v>100</v>
          </cell>
          <cell r="AX466">
            <v>100</v>
          </cell>
          <cell r="AY466">
            <v>100</v>
          </cell>
          <cell r="AZ466">
            <v>100</v>
          </cell>
          <cell r="BA466">
            <v>100</v>
          </cell>
          <cell r="BK466">
            <v>100</v>
          </cell>
          <cell r="BL466">
            <v>-6</v>
          </cell>
        </row>
        <row r="467">
          <cell r="A467" t="str">
            <v>Ponte 16 (SJM)</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174</v>
          </cell>
          <cell r="AU467">
            <v>174</v>
          </cell>
          <cell r="AV467">
            <v>87</v>
          </cell>
          <cell r="AW467">
            <v>174</v>
          </cell>
          <cell r="AX467">
            <v>174</v>
          </cell>
          <cell r="AY467">
            <v>174</v>
          </cell>
          <cell r="AZ467">
            <v>174</v>
          </cell>
          <cell r="BA467">
            <v>174</v>
          </cell>
          <cell r="BK467">
            <v>87</v>
          </cell>
          <cell r="BL467">
            <v>0</v>
          </cell>
        </row>
        <row r="468">
          <cell r="A468" t="str">
            <v>Grand Lisboa (SJM)</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120</v>
          </cell>
          <cell r="AS468">
            <v>240</v>
          </cell>
          <cell r="AT468">
            <v>270</v>
          </cell>
          <cell r="AU468">
            <v>270</v>
          </cell>
          <cell r="AV468">
            <v>225</v>
          </cell>
          <cell r="AW468">
            <v>270</v>
          </cell>
          <cell r="AX468">
            <v>270</v>
          </cell>
          <cell r="AY468">
            <v>270</v>
          </cell>
          <cell r="AZ468">
            <v>270</v>
          </cell>
          <cell r="BA468">
            <v>270</v>
          </cell>
          <cell r="BK468">
            <v>500</v>
          </cell>
          <cell r="BL468">
            <v>-275</v>
          </cell>
        </row>
        <row r="469">
          <cell r="A469" t="str">
            <v>Babylon at Fisherman's Wharf (SJM)</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7.8260869565217392</v>
          </cell>
          <cell r="AQ469">
            <v>1.9565217391304348</v>
          </cell>
          <cell r="AR469">
            <v>78</v>
          </cell>
          <cell r="AS469">
            <v>78</v>
          </cell>
          <cell r="AT469">
            <v>78</v>
          </cell>
          <cell r="AU469">
            <v>100</v>
          </cell>
          <cell r="AV469">
            <v>83.5</v>
          </cell>
          <cell r="AW469">
            <v>100</v>
          </cell>
          <cell r="AX469">
            <v>100</v>
          </cell>
          <cell r="AY469">
            <v>100</v>
          </cell>
          <cell r="AZ469">
            <v>100</v>
          </cell>
          <cell r="BA469">
            <v>100</v>
          </cell>
          <cell r="BK469">
            <v>50</v>
          </cell>
          <cell r="BL469">
            <v>33.5</v>
          </cell>
        </row>
        <row r="470">
          <cell r="A470" t="str">
            <v>Arc de Triomphe (SJM)</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100</v>
          </cell>
          <cell r="AX470">
            <v>100</v>
          </cell>
          <cell r="AY470">
            <v>100</v>
          </cell>
          <cell r="AZ470">
            <v>100</v>
          </cell>
          <cell r="BA470">
            <v>100</v>
          </cell>
          <cell r="BK470">
            <v>0</v>
          </cell>
          <cell r="BL470">
            <v>0</v>
          </cell>
        </row>
        <row r="471">
          <cell r="A471" t="str">
            <v>Oceanus (SJM)</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600</v>
          </cell>
          <cell r="AY471">
            <v>600</v>
          </cell>
          <cell r="AZ471">
            <v>600</v>
          </cell>
          <cell r="BA471">
            <v>600</v>
          </cell>
          <cell r="BK471">
            <v>0</v>
          </cell>
          <cell r="BL471">
            <v>0</v>
          </cell>
        </row>
        <row r="472">
          <cell r="A472" t="str">
            <v>Shun Tak Nam Van (SJM)</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180</v>
          </cell>
          <cell r="AZ472">
            <v>180</v>
          </cell>
          <cell r="BA472">
            <v>180</v>
          </cell>
          <cell r="BK472">
            <v>0</v>
          </cell>
          <cell r="BL472">
            <v>0</v>
          </cell>
        </row>
        <row r="473">
          <cell r="A473" t="str">
            <v>Shun Tak Cotai (SJM)</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600</v>
          </cell>
          <cell r="BA473">
            <v>600</v>
          </cell>
          <cell r="BK473">
            <v>0</v>
          </cell>
          <cell r="BL473">
            <v>0</v>
          </cell>
        </row>
        <row r="474">
          <cell r="A474" t="str">
            <v>Crown Macau (Melco/PBL)</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146.66666666666666</v>
          </cell>
          <cell r="AT474">
            <v>220</v>
          </cell>
          <cell r="AU474">
            <v>220</v>
          </cell>
          <cell r="AV474">
            <v>146.66666666666666</v>
          </cell>
          <cell r="AW474">
            <v>220</v>
          </cell>
          <cell r="AX474">
            <v>220</v>
          </cell>
          <cell r="AY474">
            <v>220</v>
          </cell>
          <cell r="AZ474">
            <v>220</v>
          </cell>
          <cell r="BA474">
            <v>220</v>
          </cell>
          <cell r="BK474">
            <v>110</v>
          </cell>
          <cell r="BL474">
            <v>36.666666666666657</v>
          </cell>
        </row>
        <row r="475">
          <cell r="A475" t="str">
            <v>Penninsula Project (Melco/PBL)</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100</v>
          </cell>
          <cell r="AY475">
            <v>200</v>
          </cell>
          <cell r="AZ475">
            <v>200</v>
          </cell>
          <cell r="BA475">
            <v>200</v>
          </cell>
          <cell r="BK475">
            <v>0</v>
          </cell>
          <cell r="BL475">
            <v>0</v>
          </cell>
        </row>
        <row r="476">
          <cell r="A476" t="str">
            <v>City of Dreams (Melco/PBL)</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450</v>
          </cell>
          <cell r="AY476">
            <v>450</v>
          </cell>
          <cell r="AZ476">
            <v>450</v>
          </cell>
          <cell r="BA476">
            <v>450</v>
          </cell>
          <cell r="BK476">
            <v>0</v>
          </cell>
          <cell r="BL476">
            <v>0</v>
          </cell>
        </row>
        <row r="477">
          <cell r="A477" t="str">
            <v>Galaxy Waldo Hotel and Casino (Galaxy)</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38</v>
          </cell>
          <cell r="AF477">
            <v>38</v>
          </cell>
          <cell r="AG477">
            <v>19</v>
          </cell>
          <cell r="AH477">
            <v>63</v>
          </cell>
          <cell r="AI477">
            <v>63</v>
          </cell>
          <cell r="AJ477">
            <v>63</v>
          </cell>
          <cell r="AK477">
            <v>63</v>
          </cell>
          <cell r="AL477">
            <v>63</v>
          </cell>
          <cell r="AM477">
            <v>63</v>
          </cell>
          <cell r="AN477">
            <v>63</v>
          </cell>
          <cell r="AO477">
            <v>63</v>
          </cell>
          <cell r="AP477">
            <v>63</v>
          </cell>
          <cell r="AQ477">
            <v>63</v>
          </cell>
          <cell r="AR477">
            <v>63</v>
          </cell>
          <cell r="AS477">
            <v>63</v>
          </cell>
          <cell r="AT477">
            <v>63</v>
          </cell>
          <cell r="AU477">
            <v>63</v>
          </cell>
          <cell r="AV477">
            <v>63</v>
          </cell>
          <cell r="AW477">
            <v>63</v>
          </cell>
          <cell r="AX477">
            <v>63</v>
          </cell>
          <cell r="AY477">
            <v>63</v>
          </cell>
          <cell r="AZ477">
            <v>63</v>
          </cell>
          <cell r="BA477">
            <v>63</v>
          </cell>
          <cell r="BK477">
            <v>63</v>
          </cell>
          <cell r="BL477">
            <v>0</v>
          </cell>
        </row>
        <row r="478">
          <cell r="A478" t="str">
            <v>Galaxy Rio Hotel City Club (Galaxy)</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45</v>
          </cell>
          <cell r="AN478">
            <v>90</v>
          </cell>
          <cell r="AO478">
            <v>90</v>
          </cell>
          <cell r="AP478">
            <v>90</v>
          </cell>
          <cell r="AQ478">
            <v>78.75</v>
          </cell>
          <cell r="AR478">
            <v>90</v>
          </cell>
          <cell r="AS478">
            <v>90</v>
          </cell>
          <cell r="AT478">
            <v>90</v>
          </cell>
          <cell r="AU478">
            <v>90</v>
          </cell>
          <cell r="AV478">
            <v>90</v>
          </cell>
          <cell r="AW478">
            <v>90</v>
          </cell>
          <cell r="AX478">
            <v>90</v>
          </cell>
          <cell r="AY478">
            <v>90</v>
          </cell>
          <cell r="AZ478">
            <v>90</v>
          </cell>
          <cell r="BA478">
            <v>90</v>
          </cell>
          <cell r="BK478">
            <v>90</v>
          </cell>
          <cell r="BL478">
            <v>0</v>
          </cell>
        </row>
        <row r="479">
          <cell r="A479" t="str">
            <v>Hotel Presidente Casino (Galaxy)</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50</v>
          </cell>
          <cell r="AO479">
            <v>75</v>
          </cell>
          <cell r="AP479">
            <v>75</v>
          </cell>
          <cell r="AQ479">
            <v>50</v>
          </cell>
          <cell r="AR479">
            <v>75</v>
          </cell>
          <cell r="AS479">
            <v>75</v>
          </cell>
          <cell r="AT479">
            <v>75</v>
          </cell>
          <cell r="AU479">
            <v>75</v>
          </cell>
          <cell r="AV479">
            <v>75</v>
          </cell>
          <cell r="AW479">
            <v>75</v>
          </cell>
          <cell r="AX479">
            <v>75</v>
          </cell>
          <cell r="AY479">
            <v>75</v>
          </cell>
          <cell r="AZ479">
            <v>75</v>
          </cell>
          <cell r="BA479">
            <v>75</v>
          </cell>
          <cell r="BK479">
            <v>75</v>
          </cell>
          <cell r="BL479">
            <v>0</v>
          </cell>
        </row>
        <row r="480">
          <cell r="A480" t="str">
            <v>Galaxy Grand Waldo (Galaxy)</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84</v>
          </cell>
          <cell r="AO480">
            <v>168</v>
          </cell>
          <cell r="AP480">
            <v>168</v>
          </cell>
          <cell r="AQ480">
            <v>105</v>
          </cell>
          <cell r="AR480">
            <v>168</v>
          </cell>
          <cell r="AS480">
            <v>168</v>
          </cell>
          <cell r="AT480">
            <v>168</v>
          </cell>
          <cell r="AU480">
            <v>168</v>
          </cell>
          <cell r="AV480">
            <v>168</v>
          </cell>
          <cell r="AW480">
            <v>168</v>
          </cell>
          <cell r="AX480">
            <v>168</v>
          </cell>
          <cell r="AY480">
            <v>168</v>
          </cell>
          <cell r="AZ480">
            <v>168</v>
          </cell>
          <cell r="BA480">
            <v>168</v>
          </cell>
          <cell r="BK480">
            <v>168</v>
          </cell>
          <cell r="BL480">
            <v>0</v>
          </cell>
        </row>
        <row r="481">
          <cell r="A481" t="str">
            <v>Galaxy StarWorld (Galaxy)</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135.44444444444446</v>
          </cell>
          <cell r="AQ481">
            <v>33.861111111111114</v>
          </cell>
          <cell r="AR481">
            <v>211</v>
          </cell>
          <cell r="AS481">
            <v>289</v>
          </cell>
          <cell r="AT481">
            <v>289</v>
          </cell>
          <cell r="AU481">
            <v>289</v>
          </cell>
          <cell r="AV481">
            <v>269.5</v>
          </cell>
          <cell r="AW481">
            <v>289</v>
          </cell>
          <cell r="AX481">
            <v>289</v>
          </cell>
          <cell r="AY481">
            <v>289</v>
          </cell>
          <cell r="AZ481">
            <v>289</v>
          </cell>
          <cell r="BA481">
            <v>289</v>
          </cell>
          <cell r="BK481">
            <v>290</v>
          </cell>
          <cell r="BL481">
            <v>-20.5</v>
          </cell>
        </row>
        <row r="482">
          <cell r="A482" t="str">
            <v>Galaxy Cotai Mega Resort (Galaxy)</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225</v>
          </cell>
          <cell r="AX482">
            <v>450</v>
          </cell>
          <cell r="AY482">
            <v>450</v>
          </cell>
          <cell r="AZ482">
            <v>450</v>
          </cell>
          <cell r="BA482">
            <v>450</v>
          </cell>
          <cell r="BK482">
            <v>0</v>
          </cell>
          <cell r="BL482">
            <v>0</v>
          </cell>
        </row>
        <row r="483">
          <cell r="A483" t="str">
            <v>Sands Macao (LVS)</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113.87912087912088</v>
          </cell>
          <cell r="AE483">
            <v>281</v>
          </cell>
          <cell r="AF483">
            <v>300</v>
          </cell>
          <cell r="AG483">
            <v>173.7197802197802</v>
          </cell>
          <cell r="AH483">
            <v>336</v>
          </cell>
          <cell r="AI483">
            <v>356</v>
          </cell>
          <cell r="AJ483">
            <v>362</v>
          </cell>
          <cell r="AK483">
            <v>390</v>
          </cell>
          <cell r="AL483">
            <v>361</v>
          </cell>
          <cell r="AM483">
            <v>434</v>
          </cell>
          <cell r="AN483">
            <v>454</v>
          </cell>
          <cell r="AO483">
            <v>581</v>
          </cell>
          <cell r="AP483">
            <v>772</v>
          </cell>
          <cell r="AQ483">
            <v>560.25</v>
          </cell>
          <cell r="AR483">
            <v>772</v>
          </cell>
          <cell r="AS483">
            <v>772</v>
          </cell>
          <cell r="AT483">
            <v>772</v>
          </cell>
          <cell r="AU483">
            <v>772</v>
          </cell>
          <cell r="AV483">
            <v>772</v>
          </cell>
          <cell r="AW483">
            <v>772</v>
          </cell>
          <cell r="AX483">
            <v>772</v>
          </cell>
          <cell r="AY483">
            <v>772</v>
          </cell>
          <cell r="AZ483">
            <v>772</v>
          </cell>
          <cell r="BA483">
            <v>772</v>
          </cell>
          <cell r="BK483">
            <v>740</v>
          </cell>
          <cell r="BL483">
            <v>32</v>
          </cell>
        </row>
        <row r="484">
          <cell r="A484" t="str">
            <v>Venetian Macao (LVS)</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750</v>
          </cell>
          <cell r="AU484">
            <v>750</v>
          </cell>
          <cell r="AV484">
            <v>375</v>
          </cell>
          <cell r="AW484">
            <v>850</v>
          </cell>
          <cell r="AX484">
            <v>850</v>
          </cell>
          <cell r="AY484">
            <v>850</v>
          </cell>
          <cell r="AZ484">
            <v>1150</v>
          </cell>
          <cell r="BA484">
            <v>1150</v>
          </cell>
          <cell r="BK484">
            <v>375</v>
          </cell>
          <cell r="BL484">
            <v>0</v>
          </cell>
        </row>
        <row r="485">
          <cell r="A485" t="str">
            <v>Cotai Site 2 - Four Seasons (LVS)</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130</v>
          </cell>
          <cell r="AX485">
            <v>130</v>
          </cell>
          <cell r="AY485">
            <v>130</v>
          </cell>
          <cell r="AZ485">
            <v>130</v>
          </cell>
          <cell r="BA485">
            <v>130</v>
          </cell>
          <cell r="BK485">
            <v>0</v>
          </cell>
          <cell r="BL485">
            <v>0</v>
          </cell>
        </row>
        <row r="486">
          <cell r="A486" t="str">
            <v>Cotai Site 3 - Far East (LVS)</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162.5</v>
          </cell>
          <cell r="AY486">
            <v>325</v>
          </cell>
          <cell r="AZ486">
            <v>325</v>
          </cell>
          <cell r="BA486">
            <v>325</v>
          </cell>
          <cell r="BK486">
            <v>0</v>
          </cell>
          <cell r="BL486">
            <v>0</v>
          </cell>
        </row>
        <row r="487">
          <cell r="A487" t="str">
            <v>Cotai Site 5 - Shangri-La/St.Regis/Traders (LVS)</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162.5</v>
          </cell>
          <cell r="AX487">
            <v>325</v>
          </cell>
          <cell r="AY487">
            <v>325</v>
          </cell>
          <cell r="AZ487">
            <v>325</v>
          </cell>
          <cell r="BA487">
            <v>325</v>
          </cell>
          <cell r="BK487">
            <v>0</v>
          </cell>
          <cell r="BL487">
            <v>0</v>
          </cell>
        </row>
        <row r="488">
          <cell r="A488" t="str">
            <v>Cotai Site 6 - Starwood (LVS)</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162.5</v>
          </cell>
          <cell r="AX488">
            <v>325</v>
          </cell>
          <cell r="AY488">
            <v>325</v>
          </cell>
          <cell r="AZ488">
            <v>325</v>
          </cell>
          <cell r="BA488">
            <v>325</v>
          </cell>
          <cell r="BK488">
            <v>0</v>
          </cell>
          <cell r="BL488">
            <v>0</v>
          </cell>
        </row>
        <row r="489">
          <cell r="A489" t="str">
            <v>Cotai Site 7 - Hilton (LVS)</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162.5</v>
          </cell>
          <cell r="AY489">
            <v>325</v>
          </cell>
          <cell r="AZ489">
            <v>325</v>
          </cell>
          <cell r="BA489">
            <v>325</v>
          </cell>
          <cell r="BK489">
            <v>0</v>
          </cell>
          <cell r="BL489">
            <v>0</v>
          </cell>
        </row>
        <row r="490">
          <cell r="A490" t="str">
            <v>Cotai Site 8 - FHR/Raffles (LVS)</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162.5</v>
          </cell>
          <cell r="AY490">
            <v>325</v>
          </cell>
          <cell r="AZ490">
            <v>325</v>
          </cell>
          <cell r="BA490">
            <v>325</v>
          </cell>
          <cell r="BK490">
            <v>0</v>
          </cell>
          <cell r="BL490">
            <v>0</v>
          </cell>
        </row>
        <row r="491">
          <cell r="A491" t="str">
            <v>Wynn Macau (WYNN)</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57.065217391304351</v>
          </cell>
          <cell r="AP491">
            <v>224</v>
          </cell>
          <cell r="AQ491">
            <v>70.266304347826093</v>
          </cell>
          <cell r="AR491">
            <v>249</v>
          </cell>
          <cell r="AS491">
            <v>314</v>
          </cell>
          <cell r="AT491">
            <v>420</v>
          </cell>
          <cell r="AU491">
            <v>420</v>
          </cell>
          <cell r="AV491">
            <v>350.75</v>
          </cell>
          <cell r="AW491">
            <v>420</v>
          </cell>
          <cell r="AX491">
            <v>450</v>
          </cell>
          <cell r="AY491">
            <v>450</v>
          </cell>
          <cell r="AZ491">
            <v>450</v>
          </cell>
          <cell r="BA491">
            <v>450</v>
          </cell>
          <cell r="BK491">
            <v>317.5</v>
          </cell>
          <cell r="BL491">
            <v>33.25</v>
          </cell>
        </row>
        <row r="492">
          <cell r="A492" t="str">
            <v>Wynn Cotai (WYNN)</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500</v>
          </cell>
          <cell r="AZ492">
            <v>500</v>
          </cell>
          <cell r="BA492">
            <v>500</v>
          </cell>
          <cell r="BK492">
            <v>0</v>
          </cell>
          <cell r="BL492">
            <v>0</v>
          </cell>
        </row>
        <row r="493">
          <cell r="A493" t="str">
            <v>Wynn Cotai #2 (WYNN)</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500</v>
          </cell>
          <cell r="AZ493">
            <v>500</v>
          </cell>
          <cell r="BA493">
            <v>500</v>
          </cell>
        </row>
        <row r="494">
          <cell r="A494" t="str">
            <v>MGM Grand (MGM)</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347</v>
          </cell>
          <cell r="AV494">
            <v>86.75</v>
          </cell>
          <cell r="AW494">
            <v>347</v>
          </cell>
          <cell r="AX494">
            <v>347</v>
          </cell>
          <cell r="AY494">
            <v>347</v>
          </cell>
          <cell r="AZ494">
            <v>347</v>
          </cell>
          <cell r="BA494">
            <v>347</v>
          </cell>
          <cell r="BK494">
            <v>92.5</v>
          </cell>
          <cell r="BL494">
            <v>-5.75</v>
          </cell>
        </row>
        <row r="495">
          <cell r="A495" t="str">
            <v>MGM Cotai #1 (MGM)</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500</v>
          </cell>
          <cell r="BA495">
            <v>500</v>
          </cell>
        </row>
        <row r="496">
          <cell r="A496" t="str">
            <v>Mocha Slot Lounges (Melco)</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K496">
            <v>0</v>
          </cell>
          <cell r="BL496">
            <v>0</v>
          </cell>
        </row>
        <row r="497">
          <cell r="A497" t="str">
            <v>Macau Studio City (eSun)</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400</v>
          </cell>
          <cell r="AY497">
            <v>400</v>
          </cell>
          <cell r="AZ497">
            <v>650</v>
          </cell>
          <cell r="BA497">
            <v>650</v>
          </cell>
          <cell r="BK497">
            <v>0</v>
          </cell>
          <cell r="BL497">
            <v>0</v>
          </cell>
        </row>
        <row r="498">
          <cell r="A498" t="str">
            <v>Adjustment</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30</v>
          </cell>
          <cell r="AE498">
            <v>-150</v>
          </cell>
          <cell r="AF498">
            <v>98.999999999999972</v>
          </cell>
          <cell r="AG498">
            <v>-5.2500000000000071</v>
          </cell>
          <cell r="AH498">
            <v>-35.611111111111086</v>
          </cell>
          <cell r="AI498">
            <v>-6.1666666666665151</v>
          </cell>
          <cell r="AJ498">
            <v>-40.5</v>
          </cell>
          <cell r="AK498">
            <v>3</v>
          </cell>
          <cell r="AL498">
            <v>-19.8194444444444</v>
          </cell>
          <cell r="AM498">
            <v>1</v>
          </cell>
          <cell r="AN498">
            <v>-40</v>
          </cell>
          <cell r="AO498">
            <v>-40.565217391304486</v>
          </cell>
          <cell r="AP498">
            <v>-100</v>
          </cell>
          <cell r="AQ498">
            <v>-44.891304347826122</v>
          </cell>
          <cell r="AR498">
            <v>-100</v>
          </cell>
          <cell r="AS498">
            <v>-100</v>
          </cell>
          <cell r="AT498">
            <v>-100</v>
          </cell>
          <cell r="AU498">
            <v>-100</v>
          </cell>
          <cell r="AV498">
            <v>-100</v>
          </cell>
          <cell r="AW498">
            <v>-100</v>
          </cell>
          <cell r="AX498">
            <v>-100</v>
          </cell>
          <cell r="AY498">
            <v>-100</v>
          </cell>
          <cell r="AZ498">
            <v>-100</v>
          </cell>
          <cell r="BA498">
            <v>-100</v>
          </cell>
          <cell r="BK498">
            <v>-56.565217391304486</v>
          </cell>
          <cell r="BL498">
            <v>-43.434782608695514</v>
          </cell>
        </row>
        <row r="499">
          <cell r="B499" t="str">
            <v>______</v>
          </cell>
          <cell r="C499" t="str">
            <v>______</v>
          </cell>
          <cell r="D499" t="str">
            <v>______</v>
          </cell>
          <cell r="E499" t="str">
            <v>______</v>
          </cell>
          <cell r="F499" t="str">
            <v>______</v>
          </cell>
          <cell r="G499" t="str">
            <v>______</v>
          </cell>
          <cell r="H499" t="str">
            <v>______</v>
          </cell>
          <cell r="I499" t="str">
            <v>______</v>
          </cell>
          <cell r="J499" t="str">
            <v>______</v>
          </cell>
          <cell r="K499" t="str">
            <v>______</v>
          </cell>
          <cell r="L499" t="str">
            <v>______</v>
          </cell>
          <cell r="M499" t="str">
            <v>______</v>
          </cell>
          <cell r="N499" t="str">
            <v>______</v>
          </cell>
          <cell r="O499" t="str">
            <v>______</v>
          </cell>
          <cell r="P499" t="str">
            <v>______</v>
          </cell>
          <cell r="Q499" t="str">
            <v>______</v>
          </cell>
          <cell r="R499" t="str">
            <v>______</v>
          </cell>
          <cell r="S499" t="str">
            <v>______</v>
          </cell>
          <cell r="T499" t="str">
            <v>______</v>
          </cell>
          <cell r="U499" t="str">
            <v>______</v>
          </cell>
          <cell r="V499" t="str">
            <v>______</v>
          </cell>
          <cell r="W499" t="str">
            <v>______</v>
          </cell>
          <cell r="X499" t="str">
            <v>______</v>
          </cell>
          <cell r="Y499" t="str">
            <v>______</v>
          </cell>
          <cell r="Z499" t="str">
            <v>______</v>
          </cell>
          <cell r="AA499" t="str">
            <v>______</v>
          </cell>
          <cell r="AB499" t="str">
            <v>______</v>
          </cell>
          <cell r="AC499" t="str">
            <v>______</v>
          </cell>
          <cell r="AD499" t="str">
            <v>______</v>
          </cell>
          <cell r="AE499" t="str">
            <v>______</v>
          </cell>
          <cell r="AF499" t="str">
            <v>______</v>
          </cell>
          <cell r="AG499" t="str">
            <v>______</v>
          </cell>
          <cell r="AH499" t="str">
            <v>______</v>
          </cell>
          <cell r="AI499" t="str">
            <v>______</v>
          </cell>
          <cell r="AJ499" t="str">
            <v>______</v>
          </cell>
          <cell r="AK499" t="str">
            <v>______</v>
          </cell>
          <cell r="AL499" t="str">
            <v>______</v>
          </cell>
          <cell r="AM499" t="str">
            <v>______</v>
          </cell>
          <cell r="AN499" t="str">
            <v>______</v>
          </cell>
          <cell r="AO499" t="str">
            <v>______</v>
          </cell>
          <cell r="AP499" t="str">
            <v>______</v>
          </cell>
          <cell r="AQ499" t="str">
            <v>______</v>
          </cell>
          <cell r="AR499" t="str">
            <v>______</v>
          </cell>
          <cell r="AS499" t="str">
            <v>______</v>
          </cell>
          <cell r="AT499" t="str">
            <v>______</v>
          </cell>
          <cell r="AU499" t="str">
            <v>______</v>
          </cell>
          <cell r="AV499" t="str">
            <v>______</v>
          </cell>
          <cell r="AW499" t="str">
            <v>______</v>
          </cell>
          <cell r="AX499" t="str">
            <v>______</v>
          </cell>
          <cell r="AY499" t="str">
            <v>______</v>
          </cell>
          <cell r="AZ499" t="str">
            <v>______</v>
          </cell>
          <cell r="BA499" t="str">
            <v>______</v>
          </cell>
          <cell r="BK499" t="str">
            <v>______</v>
          </cell>
        </row>
        <row r="500">
          <cell r="A500" t="str">
            <v>Total Average Tables</v>
          </cell>
          <cell r="B500">
            <v>341</v>
          </cell>
          <cell r="C500">
            <v>341</v>
          </cell>
          <cell r="D500">
            <v>341</v>
          </cell>
          <cell r="E500">
            <v>341</v>
          </cell>
          <cell r="F500">
            <v>341</v>
          </cell>
          <cell r="G500">
            <v>341</v>
          </cell>
          <cell r="H500">
            <v>341</v>
          </cell>
          <cell r="I500">
            <v>341</v>
          </cell>
          <cell r="J500">
            <v>341</v>
          </cell>
          <cell r="K500">
            <v>341</v>
          </cell>
          <cell r="L500">
            <v>341</v>
          </cell>
          <cell r="M500">
            <v>341</v>
          </cell>
          <cell r="N500">
            <v>341</v>
          </cell>
          <cell r="O500">
            <v>341</v>
          </cell>
          <cell r="P500">
            <v>341</v>
          </cell>
          <cell r="Q500">
            <v>341</v>
          </cell>
          <cell r="R500">
            <v>341</v>
          </cell>
          <cell r="S500">
            <v>341</v>
          </cell>
          <cell r="T500">
            <v>341</v>
          </cell>
          <cell r="U500">
            <v>341</v>
          </cell>
          <cell r="V500">
            <v>341</v>
          </cell>
          <cell r="W500">
            <v>341</v>
          </cell>
          <cell r="X500">
            <v>441</v>
          </cell>
          <cell r="Y500">
            <v>441</v>
          </cell>
          <cell r="Z500">
            <v>441</v>
          </cell>
          <cell r="AA500">
            <v>441</v>
          </cell>
          <cell r="AB500">
            <v>441</v>
          </cell>
          <cell r="AC500">
            <v>441</v>
          </cell>
          <cell r="AD500">
            <v>584.87912087912082</v>
          </cell>
          <cell r="AE500">
            <v>680</v>
          </cell>
          <cell r="AF500">
            <v>936.304347826087</v>
          </cell>
          <cell r="AG500">
            <v>660.54586717630195</v>
          </cell>
          <cell r="AH500">
            <v>1159</v>
          </cell>
          <cell r="AI500">
            <v>1235.5</v>
          </cell>
          <cell r="AJ500">
            <v>1270.5</v>
          </cell>
          <cell r="AK500">
            <v>1342</v>
          </cell>
          <cell r="AL500">
            <v>1251.75</v>
          </cell>
          <cell r="AM500">
            <v>1561</v>
          </cell>
          <cell r="AN500">
            <v>1890</v>
          </cell>
          <cell r="AO500">
            <v>2182.5</v>
          </cell>
          <cell r="AP500">
            <v>2624.2705314009663</v>
          </cell>
          <cell r="AQ500">
            <v>2064.4426328502418</v>
          </cell>
          <cell r="AR500">
            <v>2855</v>
          </cell>
          <cell r="AS500">
            <v>3288.666666666667</v>
          </cell>
          <cell r="AT500">
            <v>4422</v>
          </cell>
          <cell r="AU500">
            <v>4791</v>
          </cell>
          <cell r="AV500">
            <v>3839.166666666667</v>
          </cell>
          <cell r="AW500">
            <v>5581</v>
          </cell>
          <cell r="AX500">
            <v>8198.5</v>
          </cell>
          <cell r="AY500">
            <v>9966</v>
          </cell>
          <cell r="AZ500">
            <v>11616</v>
          </cell>
          <cell r="BA500">
            <v>11616</v>
          </cell>
          <cell r="BK500">
            <v>4104.434782608696</v>
          </cell>
          <cell r="BL500">
            <v>-265.268115942029</v>
          </cell>
        </row>
        <row r="501">
          <cell r="A501" t="str">
            <v xml:space="preserve">  Growth</v>
          </cell>
          <cell r="AC501">
            <v>0</v>
          </cell>
          <cell r="AD501">
            <v>0.32625650992997923</v>
          </cell>
          <cell r="AE501">
            <v>0.54195011337868482</v>
          </cell>
          <cell r="AF501">
            <v>1.1231391107167505</v>
          </cell>
          <cell r="AG501">
            <v>0.49783643350635365</v>
          </cell>
          <cell r="AH501">
            <v>1.6281179138321997</v>
          </cell>
          <cell r="AI501">
            <v>1.112402299714415</v>
          </cell>
          <cell r="AJ501">
            <v>0.86838235294117649</v>
          </cell>
          <cell r="AK501">
            <v>0.43329463663803103</v>
          </cell>
          <cell r="AL501">
            <v>0.89502358912784419</v>
          </cell>
          <cell r="AM501">
            <v>0.34685073339085415</v>
          </cell>
          <cell r="AN501">
            <v>0.52974504249291776</v>
          </cell>
          <cell r="AO501">
            <v>0.71782762691853597</v>
          </cell>
          <cell r="AP501">
            <v>0.95549219925556361</v>
          </cell>
          <cell r="AQ501">
            <v>0.6492451630519207</v>
          </cell>
          <cell r="AR501">
            <v>0.82895579756566296</v>
          </cell>
          <cell r="AS501">
            <v>0.74003527336860686</v>
          </cell>
          <cell r="AT501">
            <v>1.0261168384879724</v>
          </cell>
          <cell r="AU501">
            <v>0.82565019218591207</v>
          </cell>
          <cell r="AV501">
            <v>0.85966255762030008</v>
          </cell>
          <cell r="AW501">
            <v>0.45370088995007585</v>
          </cell>
          <cell r="AX501">
            <v>0.46900197097294383</v>
          </cell>
          <cell r="AY501">
            <v>0.21558821735683353</v>
          </cell>
          <cell r="AZ501">
            <v>0.16556291390728473</v>
          </cell>
          <cell r="BA501">
            <v>0</v>
          </cell>
          <cell r="BK501">
            <v>0.90824031392313787</v>
          </cell>
          <cell r="BL501">
            <v>-4.8577756302837782E-2</v>
          </cell>
        </row>
        <row r="502">
          <cell r="BL502">
            <v>0</v>
          </cell>
        </row>
        <row r="503">
          <cell r="A503" t="str">
            <v>Period-end total tables</v>
          </cell>
          <cell r="AA503">
            <v>424</v>
          </cell>
          <cell r="AB503">
            <v>424</v>
          </cell>
          <cell r="AC503">
            <v>441</v>
          </cell>
          <cell r="AD503">
            <v>584.87912087912082</v>
          </cell>
          <cell r="AE503">
            <v>680</v>
          </cell>
          <cell r="AF503">
            <v>1092</v>
          </cell>
          <cell r="AG503">
            <v>1092</v>
          </cell>
          <cell r="AH503">
            <v>1226</v>
          </cell>
          <cell r="AI503">
            <v>1245</v>
          </cell>
          <cell r="AJ503">
            <v>1296</v>
          </cell>
          <cell r="AK503">
            <v>1388</v>
          </cell>
          <cell r="AL503">
            <v>1388</v>
          </cell>
          <cell r="AM503">
            <v>1648</v>
          </cell>
          <cell r="AN503">
            <v>1925</v>
          </cell>
          <cell r="AO503">
            <v>2440</v>
          </cell>
          <cell r="AP503">
            <v>2762</v>
          </cell>
          <cell r="AQ503">
            <v>2762</v>
          </cell>
          <cell r="BL503">
            <v>0</v>
          </cell>
        </row>
        <row r="504">
          <cell r="BL504">
            <v>0</v>
          </cell>
        </row>
        <row r="505">
          <cell r="A505" t="str">
            <v>Average Slots</v>
          </cell>
          <cell r="BL505">
            <v>0</v>
          </cell>
        </row>
        <row r="506">
          <cell r="A506" t="str">
            <v>Casa Real Casino (SJM)</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123</v>
          </cell>
          <cell r="AF506">
            <v>123</v>
          </cell>
          <cell r="AG506">
            <v>61.5</v>
          </cell>
          <cell r="AH506">
            <v>123</v>
          </cell>
          <cell r="AI506">
            <v>123</v>
          </cell>
          <cell r="AJ506">
            <v>123</v>
          </cell>
          <cell r="AK506">
            <v>123</v>
          </cell>
          <cell r="AL506">
            <v>123</v>
          </cell>
          <cell r="AM506">
            <v>123</v>
          </cell>
          <cell r="AN506">
            <v>123</v>
          </cell>
          <cell r="AO506">
            <v>123</v>
          </cell>
          <cell r="AP506">
            <v>123</v>
          </cell>
          <cell r="AQ506">
            <v>123</v>
          </cell>
          <cell r="AR506">
            <v>0</v>
          </cell>
          <cell r="AS506">
            <v>0</v>
          </cell>
          <cell r="AT506">
            <v>0</v>
          </cell>
          <cell r="AU506">
            <v>0</v>
          </cell>
          <cell r="AV506">
            <v>0</v>
          </cell>
          <cell r="AW506">
            <v>0</v>
          </cell>
          <cell r="AX506">
            <v>0</v>
          </cell>
          <cell r="AY506">
            <v>0</v>
          </cell>
          <cell r="AZ506">
            <v>0</v>
          </cell>
          <cell r="BA506">
            <v>0</v>
          </cell>
          <cell r="BK506">
            <v>123</v>
          </cell>
          <cell r="BL506">
            <v>-123</v>
          </cell>
        </row>
        <row r="507">
          <cell r="A507" t="str">
            <v>Casino Lisboa (SJM)</v>
          </cell>
          <cell r="B507">
            <v>107</v>
          </cell>
          <cell r="C507">
            <v>107</v>
          </cell>
          <cell r="D507">
            <v>107</v>
          </cell>
          <cell r="E507">
            <v>107</v>
          </cell>
          <cell r="F507">
            <v>107</v>
          </cell>
          <cell r="G507">
            <v>107</v>
          </cell>
          <cell r="H507">
            <v>107</v>
          </cell>
          <cell r="I507">
            <v>107</v>
          </cell>
          <cell r="J507">
            <v>107</v>
          </cell>
          <cell r="K507">
            <v>107</v>
          </cell>
          <cell r="L507">
            <v>107</v>
          </cell>
          <cell r="M507">
            <v>107</v>
          </cell>
          <cell r="N507">
            <v>107</v>
          </cell>
          <cell r="O507">
            <v>107</v>
          </cell>
          <cell r="P507">
            <v>107</v>
          </cell>
          <cell r="Q507">
            <v>107</v>
          </cell>
          <cell r="R507">
            <v>107</v>
          </cell>
          <cell r="S507">
            <v>107</v>
          </cell>
          <cell r="T507">
            <v>107</v>
          </cell>
          <cell r="U507">
            <v>107</v>
          </cell>
          <cell r="V507">
            <v>107</v>
          </cell>
          <cell r="W507">
            <v>107</v>
          </cell>
          <cell r="X507">
            <v>107</v>
          </cell>
          <cell r="Y507">
            <v>107</v>
          </cell>
          <cell r="Z507">
            <v>107</v>
          </cell>
          <cell r="AA507">
            <v>107</v>
          </cell>
          <cell r="AB507">
            <v>107</v>
          </cell>
          <cell r="AC507">
            <v>107</v>
          </cell>
          <cell r="AD507">
            <v>107</v>
          </cell>
          <cell r="AE507">
            <v>107</v>
          </cell>
          <cell r="AF507">
            <v>107</v>
          </cell>
          <cell r="AG507">
            <v>107</v>
          </cell>
          <cell r="AH507">
            <v>107</v>
          </cell>
          <cell r="AI507">
            <v>107</v>
          </cell>
          <cell r="AJ507">
            <v>107</v>
          </cell>
          <cell r="AK507">
            <v>107</v>
          </cell>
          <cell r="AL507">
            <v>107</v>
          </cell>
          <cell r="AM507">
            <v>107</v>
          </cell>
          <cell r="AN507">
            <v>217</v>
          </cell>
          <cell r="AO507">
            <v>217</v>
          </cell>
          <cell r="AP507">
            <v>217</v>
          </cell>
          <cell r="AQ507">
            <v>189.5</v>
          </cell>
          <cell r="AR507">
            <v>227</v>
          </cell>
          <cell r="AS507">
            <v>227</v>
          </cell>
          <cell r="AT507">
            <v>227</v>
          </cell>
          <cell r="AU507">
            <v>227</v>
          </cell>
          <cell r="AV507">
            <v>227</v>
          </cell>
          <cell r="AW507">
            <v>227</v>
          </cell>
          <cell r="AX507">
            <v>227</v>
          </cell>
          <cell r="AY507">
            <v>227</v>
          </cell>
          <cell r="AZ507">
            <v>227</v>
          </cell>
          <cell r="BA507">
            <v>227</v>
          </cell>
          <cell r="BK507">
            <v>217</v>
          </cell>
          <cell r="BL507">
            <v>10</v>
          </cell>
        </row>
        <row r="508">
          <cell r="A508" t="str">
            <v>Casino Macau Palace (SJM)</v>
          </cell>
          <cell r="B508">
            <v>51</v>
          </cell>
          <cell r="C508">
            <v>51</v>
          </cell>
          <cell r="D508">
            <v>51</v>
          </cell>
          <cell r="E508">
            <v>51</v>
          </cell>
          <cell r="F508">
            <v>51</v>
          </cell>
          <cell r="G508">
            <v>51</v>
          </cell>
          <cell r="H508">
            <v>51</v>
          </cell>
          <cell r="I508">
            <v>51</v>
          </cell>
          <cell r="J508">
            <v>51</v>
          </cell>
          <cell r="K508">
            <v>51</v>
          </cell>
          <cell r="L508">
            <v>51</v>
          </cell>
          <cell r="M508">
            <v>51</v>
          </cell>
          <cell r="N508">
            <v>51</v>
          </cell>
          <cell r="O508">
            <v>51</v>
          </cell>
          <cell r="P508">
            <v>51</v>
          </cell>
          <cell r="Q508">
            <v>51</v>
          </cell>
          <cell r="R508">
            <v>51</v>
          </cell>
          <cell r="S508">
            <v>51</v>
          </cell>
          <cell r="T508">
            <v>51</v>
          </cell>
          <cell r="U508">
            <v>51</v>
          </cell>
          <cell r="V508">
            <v>51</v>
          </cell>
          <cell r="W508">
            <v>51</v>
          </cell>
          <cell r="X508">
            <v>51</v>
          </cell>
          <cell r="Y508">
            <v>51</v>
          </cell>
          <cell r="Z508">
            <v>51</v>
          </cell>
          <cell r="AA508">
            <v>51</v>
          </cell>
          <cell r="AB508">
            <v>51</v>
          </cell>
          <cell r="AC508">
            <v>51</v>
          </cell>
          <cell r="AD508">
            <v>51</v>
          </cell>
          <cell r="AE508">
            <v>51</v>
          </cell>
          <cell r="AF508">
            <v>51</v>
          </cell>
          <cell r="AG508">
            <v>51</v>
          </cell>
          <cell r="AH508">
            <v>51</v>
          </cell>
          <cell r="AI508">
            <v>51</v>
          </cell>
          <cell r="AJ508">
            <v>51</v>
          </cell>
          <cell r="AK508">
            <v>51</v>
          </cell>
          <cell r="AL508">
            <v>51</v>
          </cell>
          <cell r="AM508">
            <v>51</v>
          </cell>
          <cell r="AN508">
            <v>51</v>
          </cell>
          <cell r="AO508">
            <v>51</v>
          </cell>
          <cell r="AP508">
            <v>51</v>
          </cell>
          <cell r="AQ508">
            <v>51</v>
          </cell>
          <cell r="AR508">
            <v>49</v>
          </cell>
          <cell r="AS508">
            <v>49</v>
          </cell>
          <cell r="AT508">
            <v>49</v>
          </cell>
          <cell r="AU508">
            <v>49</v>
          </cell>
          <cell r="AV508">
            <v>49</v>
          </cell>
          <cell r="AW508">
            <v>49</v>
          </cell>
          <cell r="AX508">
            <v>49</v>
          </cell>
          <cell r="AY508">
            <v>49</v>
          </cell>
          <cell r="AZ508">
            <v>49</v>
          </cell>
          <cell r="BA508">
            <v>49</v>
          </cell>
          <cell r="BK508">
            <v>51</v>
          </cell>
          <cell r="BL508">
            <v>-2</v>
          </cell>
        </row>
        <row r="509">
          <cell r="A509" t="str">
            <v>Casino Marina (SJM)</v>
          </cell>
          <cell r="B509">
            <v>37</v>
          </cell>
          <cell r="C509">
            <v>37</v>
          </cell>
          <cell r="D509">
            <v>37</v>
          </cell>
          <cell r="E509">
            <v>37</v>
          </cell>
          <cell r="F509">
            <v>37</v>
          </cell>
          <cell r="G509">
            <v>37</v>
          </cell>
          <cell r="H509">
            <v>37</v>
          </cell>
          <cell r="I509">
            <v>37</v>
          </cell>
          <cell r="J509">
            <v>37</v>
          </cell>
          <cell r="K509">
            <v>37</v>
          </cell>
          <cell r="L509">
            <v>37</v>
          </cell>
          <cell r="M509">
            <v>37</v>
          </cell>
          <cell r="N509">
            <v>37</v>
          </cell>
          <cell r="O509">
            <v>37</v>
          </cell>
          <cell r="P509">
            <v>37</v>
          </cell>
          <cell r="Q509">
            <v>37</v>
          </cell>
          <cell r="R509">
            <v>37</v>
          </cell>
          <cell r="S509">
            <v>37</v>
          </cell>
          <cell r="T509">
            <v>37</v>
          </cell>
          <cell r="U509">
            <v>37</v>
          </cell>
          <cell r="V509">
            <v>37</v>
          </cell>
          <cell r="W509">
            <v>37</v>
          </cell>
          <cell r="X509">
            <v>37</v>
          </cell>
          <cell r="Y509">
            <v>37</v>
          </cell>
          <cell r="Z509">
            <v>37</v>
          </cell>
          <cell r="AA509">
            <v>37</v>
          </cell>
          <cell r="AB509">
            <v>37</v>
          </cell>
          <cell r="AC509">
            <v>37</v>
          </cell>
          <cell r="AD509">
            <v>37</v>
          </cell>
          <cell r="AE509">
            <v>37</v>
          </cell>
          <cell r="AF509">
            <v>37</v>
          </cell>
          <cell r="AG509">
            <v>37</v>
          </cell>
          <cell r="AH509">
            <v>37</v>
          </cell>
          <cell r="AI509">
            <v>37</v>
          </cell>
          <cell r="AJ509">
            <v>37</v>
          </cell>
          <cell r="AK509">
            <v>37</v>
          </cell>
          <cell r="AL509">
            <v>37</v>
          </cell>
          <cell r="AM509">
            <v>37</v>
          </cell>
          <cell r="AN509">
            <v>37</v>
          </cell>
          <cell r="AO509">
            <v>37</v>
          </cell>
          <cell r="AP509">
            <v>37</v>
          </cell>
          <cell r="AQ509">
            <v>37</v>
          </cell>
          <cell r="AR509">
            <v>0</v>
          </cell>
          <cell r="AS509">
            <v>0</v>
          </cell>
          <cell r="AT509">
            <v>0</v>
          </cell>
          <cell r="AU509">
            <v>0</v>
          </cell>
          <cell r="AV509">
            <v>0</v>
          </cell>
          <cell r="AW509">
            <v>0</v>
          </cell>
          <cell r="AX509">
            <v>0</v>
          </cell>
          <cell r="AY509">
            <v>0</v>
          </cell>
          <cell r="AZ509">
            <v>0</v>
          </cell>
          <cell r="BA509">
            <v>0</v>
          </cell>
          <cell r="BK509">
            <v>37</v>
          </cell>
          <cell r="BL509">
            <v>-37</v>
          </cell>
        </row>
        <row r="510">
          <cell r="A510" t="str">
            <v>Casino Taipa (SJM)</v>
          </cell>
          <cell r="B510">
            <v>10</v>
          </cell>
          <cell r="C510">
            <v>10</v>
          </cell>
          <cell r="D510">
            <v>10</v>
          </cell>
          <cell r="E510">
            <v>10</v>
          </cell>
          <cell r="F510">
            <v>10</v>
          </cell>
          <cell r="G510">
            <v>10</v>
          </cell>
          <cell r="H510">
            <v>10</v>
          </cell>
          <cell r="I510">
            <v>10</v>
          </cell>
          <cell r="J510">
            <v>10</v>
          </cell>
          <cell r="K510">
            <v>10</v>
          </cell>
          <cell r="L510">
            <v>10</v>
          </cell>
          <cell r="M510">
            <v>10</v>
          </cell>
          <cell r="N510">
            <v>10</v>
          </cell>
          <cell r="O510">
            <v>10</v>
          </cell>
          <cell r="P510">
            <v>10</v>
          </cell>
          <cell r="Q510">
            <v>10</v>
          </cell>
          <cell r="R510">
            <v>10</v>
          </cell>
          <cell r="S510">
            <v>10</v>
          </cell>
          <cell r="T510">
            <v>10</v>
          </cell>
          <cell r="U510">
            <v>10</v>
          </cell>
          <cell r="V510">
            <v>10</v>
          </cell>
          <cell r="W510">
            <v>10</v>
          </cell>
          <cell r="X510">
            <v>10</v>
          </cell>
          <cell r="Y510">
            <v>10</v>
          </cell>
          <cell r="Z510">
            <v>10</v>
          </cell>
          <cell r="AA510">
            <v>10</v>
          </cell>
          <cell r="AB510">
            <v>10</v>
          </cell>
          <cell r="AC510">
            <v>10</v>
          </cell>
          <cell r="AD510">
            <v>10</v>
          </cell>
          <cell r="AE510">
            <v>10</v>
          </cell>
          <cell r="AF510">
            <v>10</v>
          </cell>
          <cell r="AG510">
            <v>10</v>
          </cell>
          <cell r="AH510">
            <v>10</v>
          </cell>
          <cell r="AI510">
            <v>10</v>
          </cell>
          <cell r="AJ510">
            <v>10</v>
          </cell>
          <cell r="AK510">
            <v>10</v>
          </cell>
          <cell r="AL510">
            <v>10</v>
          </cell>
          <cell r="AM510">
            <v>10</v>
          </cell>
          <cell r="AN510">
            <v>10</v>
          </cell>
          <cell r="AO510">
            <v>10</v>
          </cell>
          <cell r="AP510">
            <v>10</v>
          </cell>
          <cell r="AQ510">
            <v>10</v>
          </cell>
          <cell r="AR510">
            <v>0</v>
          </cell>
          <cell r="AS510">
            <v>0</v>
          </cell>
          <cell r="AT510">
            <v>0</v>
          </cell>
          <cell r="AU510">
            <v>0</v>
          </cell>
          <cell r="AV510">
            <v>0</v>
          </cell>
          <cell r="AW510">
            <v>0</v>
          </cell>
          <cell r="AX510">
            <v>0</v>
          </cell>
          <cell r="AY510">
            <v>0</v>
          </cell>
          <cell r="AZ510">
            <v>0</v>
          </cell>
          <cell r="BA510">
            <v>0</v>
          </cell>
          <cell r="BK510">
            <v>10</v>
          </cell>
          <cell r="BL510">
            <v>-10</v>
          </cell>
        </row>
        <row r="511">
          <cell r="A511" t="str">
            <v>Diamond Casino (SJM)</v>
          </cell>
          <cell r="B511">
            <v>32</v>
          </cell>
          <cell r="C511">
            <v>32</v>
          </cell>
          <cell r="D511">
            <v>32</v>
          </cell>
          <cell r="E511">
            <v>32</v>
          </cell>
          <cell r="F511">
            <v>32</v>
          </cell>
          <cell r="G511">
            <v>32</v>
          </cell>
          <cell r="H511">
            <v>32</v>
          </cell>
          <cell r="I511">
            <v>32</v>
          </cell>
          <cell r="J511">
            <v>32</v>
          </cell>
          <cell r="K511">
            <v>32</v>
          </cell>
          <cell r="L511">
            <v>32</v>
          </cell>
          <cell r="M511">
            <v>32</v>
          </cell>
          <cell r="N511">
            <v>32</v>
          </cell>
          <cell r="O511">
            <v>32</v>
          </cell>
          <cell r="P511">
            <v>32</v>
          </cell>
          <cell r="Q511">
            <v>32</v>
          </cell>
          <cell r="R511">
            <v>32</v>
          </cell>
          <cell r="S511">
            <v>32</v>
          </cell>
          <cell r="T511">
            <v>32</v>
          </cell>
          <cell r="U511">
            <v>32</v>
          </cell>
          <cell r="V511">
            <v>32</v>
          </cell>
          <cell r="W511">
            <v>32</v>
          </cell>
          <cell r="X511">
            <v>32</v>
          </cell>
          <cell r="Y511">
            <v>32</v>
          </cell>
          <cell r="Z511">
            <v>32</v>
          </cell>
          <cell r="AA511">
            <v>32</v>
          </cell>
          <cell r="AB511">
            <v>32</v>
          </cell>
          <cell r="AC511">
            <v>32</v>
          </cell>
          <cell r="AD511">
            <v>32</v>
          </cell>
          <cell r="AE511">
            <v>32</v>
          </cell>
          <cell r="AF511">
            <v>32</v>
          </cell>
          <cell r="AG511">
            <v>32</v>
          </cell>
          <cell r="AH511">
            <v>32</v>
          </cell>
          <cell r="AI511">
            <v>32</v>
          </cell>
          <cell r="AJ511">
            <v>32</v>
          </cell>
          <cell r="AK511">
            <v>32</v>
          </cell>
          <cell r="AL511">
            <v>32</v>
          </cell>
          <cell r="AM511">
            <v>47</v>
          </cell>
          <cell r="AN511">
            <v>47</v>
          </cell>
          <cell r="AO511">
            <v>47</v>
          </cell>
          <cell r="AP511">
            <v>47</v>
          </cell>
          <cell r="AQ511">
            <v>47</v>
          </cell>
          <cell r="AR511">
            <v>85</v>
          </cell>
          <cell r="AS511">
            <v>85</v>
          </cell>
          <cell r="AT511">
            <v>85</v>
          </cell>
          <cell r="AU511">
            <v>85</v>
          </cell>
          <cell r="AV511">
            <v>85</v>
          </cell>
          <cell r="AW511">
            <v>85</v>
          </cell>
          <cell r="AX511">
            <v>85</v>
          </cell>
          <cell r="AY511">
            <v>85</v>
          </cell>
          <cell r="AZ511">
            <v>85</v>
          </cell>
          <cell r="BA511">
            <v>85</v>
          </cell>
          <cell r="BK511">
            <v>47</v>
          </cell>
          <cell r="BL511">
            <v>38</v>
          </cell>
        </row>
        <row r="512">
          <cell r="A512" t="str">
            <v>Golden Dragon (SJM)</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123</v>
          </cell>
          <cell r="AI512">
            <v>123</v>
          </cell>
          <cell r="AJ512">
            <v>123</v>
          </cell>
          <cell r="AK512">
            <v>123</v>
          </cell>
          <cell r="AL512">
            <v>123</v>
          </cell>
          <cell r="AM512">
            <v>123</v>
          </cell>
          <cell r="AN512">
            <v>123</v>
          </cell>
          <cell r="AO512">
            <v>123</v>
          </cell>
          <cell r="AP512">
            <v>123</v>
          </cell>
          <cell r="AQ512">
            <v>123</v>
          </cell>
          <cell r="AR512">
            <v>129</v>
          </cell>
          <cell r="AS512">
            <v>129</v>
          </cell>
          <cell r="AT512">
            <v>129</v>
          </cell>
          <cell r="AU512">
            <v>129</v>
          </cell>
          <cell r="AV512">
            <v>129</v>
          </cell>
          <cell r="AW512">
            <v>129</v>
          </cell>
          <cell r="AX512">
            <v>129</v>
          </cell>
          <cell r="AY512">
            <v>129</v>
          </cell>
          <cell r="AZ512">
            <v>129</v>
          </cell>
          <cell r="BA512">
            <v>129</v>
          </cell>
          <cell r="BK512">
            <v>123</v>
          </cell>
          <cell r="BL512">
            <v>6</v>
          </cell>
        </row>
        <row r="513">
          <cell r="A513" t="str">
            <v>Greek Mythology Casino (SJM)</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9.7826086956521738</v>
          </cell>
          <cell r="AG513">
            <v>2.4456521739130435</v>
          </cell>
          <cell r="AH513">
            <v>100</v>
          </cell>
          <cell r="AI513">
            <v>100</v>
          </cell>
          <cell r="AJ513">
            <v>100</v>
          </cell>
          <cell r="AK513">
            <v>100</v>
          </cell>
          <cell r="AL513">
            <v>100</v>
          </cell>
          <cell r="AM513">
            <v>100</v>
          </cell>
          <cell r="AN513">
            <v>100</v>
          </cell>
          <cell r="AO513">
            <v>100</v>
          </cell>
          <cell r="AP513">
            <v>100</v>
          </cell>
          <cell r="AQ513">
            <v>100</v>
          </cell>
          <cell r="AR513">
            <v>202</v>
          </cell>
          <cell r="AS513">
            <v>202</v>
          </cell>
          <cell r="AT513">
            <v>202</v>
          </cell>
          <cell r="AU513">
            <v>202</v>
          </cell>
          <cell r="AV513">
            <v>202</v>
          </cell>
          <cell r="AW513">
            <v>202</v>
          </cell>
          <cell r="AX513">
            <v>202</v>
          </cell>
          <cell r="AY513">
            <v>202</v>
          </cell>
          <cell r="AZ513">
            <v>202</v>
          </cell>
          <cell r="BA513">
            <v>202</v>
          </cell>
          <cell r="BK513">
            <v>100</v>
          </cell>
          <cell r="BL513">
            <v>102</v>
          </cell>
        </row>
        <row r="514">
          <cell r="A514" t="str">
            <v>Hotel Fortuna Casino (SJM)</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K514">
            <v>0</v>
          </cell>
          <cell r="BL514">
            <v>0</v>
          </cell>
        </row>
        <row r="515">
          <cell r="A515" t="str">
            <v>Jai Alai Casino (SJM)</v>
          </cell>
          <cell r="B515">
            <v>208</v>
          </cell>
          <cell r="C515">
            <v>208</v>
          </cell>
          <cell r="D515">
            <v>208</v>
          </cell>
          <cell r="E515">
            <v>208</v>
          </cell>
          <cell r="F515">
            <v>208</v>
          </cell>
          <cell r="G515">
            <v>208</v>
          </cell>
          <cell r="H515">
            <v>208</v>
          </cell>
          <cell r="I515">
            <v>208</v>
          </cell>
          <cell r="J515">
            <v>208</v>
          </cell>
          <cell r="K515">
            <v>208</v>
          </cell>
          <cell r="L515">
            <v>208</v>
          </cell>
          <cell r="M515">
            <v>208</v>
          </cell>
          <cell r="N515">
            <v>208</v>
          </cell>
          <cell r="O515">
            <v>208</v>
          </cell>
          <cell r="P515">
            <v>208</v>
          </cell>
          <cell r="Q515">
            <v>208</v>
          </cell>
          <cell r="R515">
            <v>208</v>
          </cell>
          <cell r="S515">
            <v>208</v>
          </cell>
          <cell r="T515">
            <v>208</v>
          </cell>
          <cell r="U515">
            <v>208</v>
          </cell>
          <cell r="V515">
            <v>208</v>
          </cell>
          <cell r="W515">
            <v>208</v>
          </cell>
          <cell r="X515">
            <v>208</v>
          </cell>
          <cell r="Y515">
            <v>208</v>
          </cell>
          <cell r="Z515">
            <v>208</v>
          </cell>
          <cell r="AA515">
            <v>208</v>
          </cell>
          <cell r="AB515">
            <v>208</v>
          </cell>
          <cell r="AC515">
            <v>208</v>
          </cell>
          <cell r="AD515">
            <v>208</v>
          </cell>
          <cell r="AE515">
            <v>208</v>
          </cell>
          <cell r="AF515">
            <v>208</v>
          </cell>
          <cell r="AG515">
            <v>208</v>
          </cell>
          <cell r="AH515">
            <v>208</v>
          </cell>
          <cell r="AI515">
            <v>208</v>
          </cell>
          <cell r="AJ515">
            <v>208</v>
          </cell>
          <cell r="AK515">
            <v>208</v>
          </cell>
          <cell r="AL515">
            <v>208</v>
          </cell>
          <cell r="AM515">
            <v>208</v>
          </cell>
          <cell r="AN515">
            <v>208</v>
          </cell>
          <cell r="AO515">
            <v>208</v>
          </cell>
          <cell r="AP515">
            <v>208</v>
          </cell>
          <cell r="AQ515">
            <v>208</v>
          </cell>
          <cell r="AR515">
            <v>303</v>
          </cell>
          <cell r="AS515">
            <v>303</v>
          </cell>
          <cell r="AT515">
            <v>303</v>
          </cell>
          <cell r="AU515">
            <v>303</v>
          </cell>
          <cell r="AV515">
            <v>303</v>
          </cell>
          <cell r="AW515">
            <v>0</v>
          </cell>
          <cell r="AX515">
            <v>0</v>
          </cell>
          <cell r="AY515">
            <v>0</v>
          </cell>
          <cell r="AZ515">
            <v>0</v>
          </cell>
          <cell r="BA515">
            <v>0</v>
          </cell>
          <cell r="BK515">
            <v>208</v>
          </cell>
          <cell r="BL515">
            <v>95</v>
          </cell>
        </row>
        <row r="516">
          <cell r="A516" t="str">
            <v>Kam Pek Casino (SJM)</v>
          </cell>
          <cell r="B516">
            <v>71</v>
          </cell>
          <cell r="C516">
            <v>71</v>
          </cell>
          <cell r="D516">
            <v>71</v>
          </cell>
          <cell r="E516">
            <v>71</v>
          </cell>
          <cell r="F516">
            <v>71</v>
          </cell>
          <cell r="G516">
            <v>71</v>
          </cell>
          <cell r="H516">
            <v>71</v>
          </cell>
          <cell r="I516">
            <v>71</v>
          </cell>
          <cell r="J516">
            <v>71</v>
          </cell>
          <cell r="K516">
            <v>71</v>
          </cell>
          <cell r="L516">
            <v>71</v>
          </cell>
          <cell r="M516">
            <v>71</v>
          </cell>
          <cell r="N516">
            <v>71</v>
          </cell>
          <cell r="O516">
            <v>71</v>
          </cell>
          <cell r="P516">
            <v>71</v>
          </cell>
          <cell r="Q516">
            <v>71</v>
          </cell>
          <cell r="R516">
            <v>71</v>
          </cell>
          <cell r="S516">
            <v>71</v>
          </cell>
          <cell r="T516">
            <v>71</v>
          </cell>
          <cell r="U516">
            <v>71</v>
          </cell>
          <cell r="V516">
            <v>71</v>
          </cell>
          <cell r="W516">
            <v>71</v>
          </cell>
          <cell r="X516">
            <v>71</v>
          </cell>
          <cell r="Y516">
            <v>71</v>
          </cell>
          <cell r="Z516">
            <v>71</v>
          </cell>
          <cell r="AA516">
            <v>71</v>
          </cell>
          <cell r="AB516">
            <v>71</v>
          </cell>
          <cell r="AC516">
            <v>71</v>
          </cell>
          <cell r="AD516">
            <v>71</v>
          </cell>
          <cell r="AE516">
            <v>71</v>
          </cell>
          <cell r="AF516">
            <v>71</v>
          </cell>
          <cell r="AG516">
            <v>71</v>
          </cell>
          <cell r="AH516">
            <v>71</v>
          </cell>
          <cell r="AI516">
            <v>71</v>
          </cell>
          <cell r="AJ516">
            <v>71</v>
          </cell>
          <cell r="AK516">
            <v>71</v>
          </cell>
          <cell r="AL516">
            <v>71</v>
          </cell>
          <cell r="AM516">
            <v>71</v>
          </cell>
          <cell r="AN516">
            <v>71</v>
          </cell>
          <cell r="AO516">
            <v>71</v>
          </cell>
          <cell r="AP516">
            <v>71</v>
          </cell>
          <cell r="AQ516">
            <v>71</v>
          </cell>
          <cell r="AR516">
            <v>0</v>
          </cell>
          <cell r="AS516">
            <v>0</v>
          </cell>
          <cell r="AT516">
            <v>0</v>
          </cell>
          <cell r="AU516">
            <v>0</v>
          </cell>
          <cell r="AV516">
            <v>0</v>
          </cell>
          <cell r="AW516">
            <v>0</v>
          </cell>
          <cell r="AX516">
            <v>0</v>
          </cell>
          <cell r="AY516">
            <v>0</v>
          </cell>
          <cell r="AZ516">
            <v>0</v>
          </cell>
          <cell r="BA516">
            <v>0</v>
          </cell>
          <cell r="BK516">
            <v>71</v>
          </cell>
          <cell r="BL516">
            <v>-71</v>
          </cell>
        </row>
        <row r="517">
          <cell r="A517" t="str">
            <v>Kingsway Hotel &amp; Casino (SJM)</v>
          </cell>
          <cell r="B517">
            <v>20</v>
          </cell>
          <cell r="C517">
            <v>20</v>
          </cell>
          <cell r="D517">
            <v>20</v>
          </cell>
          <cell r="E517">
            <v>20</v>
          </cell>
          <cell r="F517">
            <v>20</v>
          </cell>
          <cell r="G517">
            <v>20</v>
          </cell>
          <cell r="H517">
            <v>20</v>
          </cell>
          <cell r="I517">
            <v>20</v>
          </cell>
          <cell r="J517">
            <v>20</v>
          </cell>
          <cell r="K517">
            <v>20</v>
          </cell>
          <cell r="L517">
            <v>20</v>
          </cell>
          <cell r="M517">
            <v>20</v>
          </cell>
          <cell r="N517">
            <v>20</v>
          </cell>
          <cell r="O517">
            <v>20</v>
          </cell>
          <cell r="P517">
            <v>20</v>
          </cell>
          <cell r="Q517">
            <v>20</v>
          </cell>
          <cell r="R517">
            <v>20</v>
          </cell>
          <cell r="S517">
            <v>20</v>
          </cell>
          <cell r="T517">
            <v>20</v>
          </cell>
          <cell r="U517">
            <v>20</v>
          </cell>
          <cell r="V517">
            <v>20</v>
          </cell>
          <cell r="W517">
            <v>20</v>
          </cell>
          <cell r="X517">
            <v>20</v>
          </cell>
          <cell r="Y517">
            <v>20</v>
          </cell>
          <cell r="Z517">
            <v>20</v>
          </cell>
          <cell r="AA517">
            <v>20</v>
          </cell>
          <cell r="AB517">
            <v>20</v>
          </cell>
          <cell r="AC517">
            <v>20</v>
          </cell>
          <cell r="AD517">
            <v>20</v>
          </cell>
          <cell r="AE517">
            <v>20</v>
          </cell>
          <cell r="AF517">
            <v>20</v>
          </cell>
          <cell r="AG517">
            <v>20</v>
          </cell>
          <cell r="AH517">
            <v>20</v>
          </cell>
          <cell r="AI517">
            <v>20</v>
          </cell>
          <cell r="AJ517">
            <v>20</v>
          </cell>
          <cell r="AK517">
            <v>20</v>
          </cell>
          <cell r="AL517">
            <v>20</v>
          </cell>
          <cell r="AM517">
            <v>20</v>
          </cell>
          <cell r="AN517">
            <v>20</v>
          </cell>
          <cell r="AO517">
            <v>20</v>
          </cell>
          <cell r="AP517">
            <v>20</v>
          </cell>
          <cell r="AQ517">
            <v>20</v>
          </cell>
          <cell r="AR517">
            <v>0</v>
          </cell>
          <cell r="AS517">
            <v>0</v>
          </cell>
          <cell r="AT517">
            <v>0</v>
          </cell>
          <cell r="AU517">
            <v>0</v>
          </cell>
          <cell r="AV517">
            <v>0</v>
          </cell>
          <cell r="AW517">
            <v>0</v>
          </cell>
          <cell r="AX517">
            <v>0</v>
          </cell>
          <cell r="AY517">
            <v>0</v>
          </cell>
          <cell r="AZ517">
            <v>0</v>
          </cell>
          <cell r="BA517">
            <v>0</v>
          </cell>
          <cell r="BK517">
            <v>20</v>
          </cell>
          <cell r="BL517">
            <v>-20</v>
          </cell>
        </row>
        <row r="518">
          <cell r="A518" t="str">
            <v>Macau Jockey Club (MJC) Casino (SJM)</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294</v>
          </cell>
          <cell r="AS518">
            <v>294</v>
          </cell>
          <cell r="AT518">
            <v>294</v>
          </cell>
          <cell r="AU518">
            <v>294</v>
          </cell>
          <cell r="AV518">
            <v>294</v>
          </cell>
          <cell r="AW518">
            <v>294</v>
          </cell>
          <cell r="AX518">
            <v>294</v>
          </cell>
          <cell r="AY518">
            <v>294</v>
          </cell>
          <cell r="AZ518">
            <v>294</v>
          </cell>
          <cell r="BA518">
            <v>294</v>
          </cell>
          <cell r="BK518">
            <v>0</v>
          </cell>
          <cell r="BL518">
            <v>294</v>
          </cell>
        </row>
        <row r="519">
          <cell r="A519" t="str">
            <v>Mandarin Oriental Casino (SJM)</v>
          </cell>
          <cell r="B519">
            <v>59</v>
          </cell>
          <cell r="C519">
            <v>59</v>
          </cell>
          <cell r="D519">
            <v>59</v>
          </cell>
          <cell r="E519">
            <v>59</v>
          </cell>
          <cell r="F519">
            <v>59</v>
          </cell>
          <cell r="G519">
            <v>59</v>
          </cell>
          <cell r="H519">
            <v>59</v>
          </cell>
          <cell r="I519">
            <v>59</v>
          </cell>
          <cell r="J519">
            <v>59</v>
          </cell>
          <cell r="K519">
            <v>59</v>
          </cell>
          <cell r="L519">
            <v>59</v>
          </cell>
          <cell r="M519">
            <v>59</v>
          </cell>
          <cell r="N519">
            <v>59</v>
          </cell>
          <cell r="O519">
            <v>59</v>
          </cell>
          <cell r="P519">
            <v>59</v>
          </cell>
          <cell r="Q519">
            <v>59</v>
          </cell>
          <cell r="R519">
            <v>59</v>
          </cell>
          <cell r="S519">
            <v>59</v>
          </cell>
          <cell r="T519">
            <v>59</v>
          </cell>
          <cell r="U519">
            <v>59</v>
          </cell>
          <cell r="V519">
            <v>59</v>
          </cell>
          <cell r="W519">
            <v>59</v>
          </cell>
          <cell r="X519">
            <v>59</v>
          </cell>
          <cell r="Y519">
            <v>59</v>
          </cell>
          <cell r="Z519">
            <v>59</v>
          </cell>
          <cell r="AA519">
            <v>59</v>
          </cell>
          <cell r="AB519">
            <v>59</v>
          </cell>
          <cell r="AC519">
            <v>59</v>
          </cell>
          <cell r="AD519">
            <v>59</v>
          </cell>
          <cell r="AE519">
            <v>59</v>
          </cell>
          <cell r="AF519">
            <v>59</v>
          </cell>
          <cell r="AG519">
            <v>59</v>
          </cell>
          <cell r="AH519">
            <v>59</v>
          </cell>
          <cell r="AI519">
            <v>59</v>
          </cell>
          <cell r="AJ519">
            <v>59</v>
          </cell>
          <cell r="AK519">
            <v>59</v>
          </cell>
          <cell r="AL519">
            <v>59</v>
          </cell>
          <cell r="AM519">
            <v>59</v>
          </cell>
          <cell r="AN519">
            <v>59</v>
          </cell>
          <cell r="AO519">
            <v>59</v>
          </cell>
          <cell r="AP519">
            <v>59</v>
          </cell>
          <cell r="AQ519">
            <v>59</v>
          </cell>
          <cell r="AR519">
            <v>141</v>
          </cell>
          <cell r="AS519">
            <v>141</v>
          </cell>
          <cell r="AT519">
            <v>141</v>
          </cell>
          <cell r="AU519">
            <v>141</v>
          </cell>
          <cell r="AV519">
            <v>141</v>
          </cell>
          <cell r="AW519">
            <v>141</v>
          </cell>
          <cell r="AX519">
            <v>141</v>
          </cell>
          <cell r="AY519">
            <v>141</v>
          </cell>
          <cell r="AZ519">
            <v>141</v>
          </cell>
          <cell r="BA519">
            <v>141</v>
          </cell>
          <cell r="BK519">
            <v>59</v>
          </cell>
          <cell r="BL519">
            <v>82</v>
          </cell>
        </row>
        <row r="520">
          <cell r="A520" t="str">
            <v>New Century Casino (SJM)</v>
          </cell>
          <cell r="B520">
            <v>105</v>
          </cell>
          <cell r="C520">
            <v>105</v>
          </cell>
          <cell r="D520">
            <v>105</v>
          </cell>
          <cell r="E520">
            <v>105</v>
          </cell>
          <cell r="F520">
            <v>105</v>
          </cell>
          <cell r="G520">
            <v>105</v>
          </cell>
          <cell r="H520">
            <v>105</v>
          </cell>
          <cell r="I520">
            <v>105</v>
          </cell>
          <cell r="J520">
            <v>105</v>
          </cell>
          <cell r="K520">
            <v>105</v>
          </cell>
          <cell r="L520">
            <v>105</v>
          </cell>
          <cell r="M520">
            <v>105</v>
          </cell>
          <cell r="N520">
            <v>105</v>
          </cell>
          <cell r="O520">
            <v>105</v>
          </cell>
          <cell r="P520">
            <v>105</v>
          </cell>
          <cell r="Q520">
            <v>105</v>
          </cell>
          <cell r="R520">
            <v>105</v>
          </cell>
          <cell r="S520">
            <v>105</v>
          </cell>
          <cell r="T520">
            <v>105</v>
          </cell>
          <cell r="U520">
            <v>105</v>
          </cell>
          <cell r="V520">
            <v>105</v>
          </cell>
          <cell r="W520">
            <v>105</v>
          </cell>
          <cell r="X520">
            <v>105</v>
          </cell>
          <cell r="Y520">
            <v>105</v>
          </cell>
          <cell r="Z520">
            <v>105</v>
          </cell>
          <cell r="AA520">
            <v>105</v>
          </cell>
          <cell r="AB520">
            <v>105</v>
          </cell>
          <cell r="AC520">
            <v>105</v>
          </cell>
          <cell r="AD520">
            <v>105</v>
          </cell>
          <cell r="AE520">
            <v>105</v>
          </cell>
          <cell r="AF520">
            <v>0</v>
          </cell>
          <cell r="AG520">
            <v>78.75</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K520">
            <v>0</v>
          </cell>
          <cell r="BL520">
            <v>0</v>
          </cell>
        </row>
        <row r="521">
          <cell r="A521" t="str">
            <v>Pharoh's Palace &amp; Legend Club (SJM)</v>
          </cell>
          <cell r="B521">
            <v>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108</v>
          </cell>
          <cell r="Y521">
            <v>108</v>
          </cell>
          <cell r="Z521">
            <v>108</v>
          </cell>
          <cell r="AA521">
            <v>108</v>
          </cell>
          <cell r="AB521">
            <v>108</v>
          </cell>
          <cell r="AC521">
            <v>108</v>
          </cell>
          <cell r="AD521">
            <v>108</v>
          </cell>
          <cell r="AE521">
            <v>108</v>
          </cell>
          <cell r="AF521">
            <v>108</v>
          </cell>
          <cell r="AG521">
            <v>108</v>
          </cell>
          <cell r="AH521">
            <v>108</v>
          </cell>
          <cell r="AI521">
            <v>108</v>
          </cell>
          <cell r="AJ521">
            <v>108</v>
          </cell>
          <cell r="AK521">
            <v>383</v>
          </cell>
          <cell r="AL521">
            <v>176.75</v>
          </cell>
          <cell r="AM521">
            <v>383</v>
          </cell>
          <cell r="AN521">
            <v>383</v>
          </cell>
          <cell r="AO521">
            <v>383</v>
          </cell>
          <cell r="AP521">
            <v>383</v>
          </cell>
          <cell r="AQ521">
            <v>383</v>
          </cell>
          <cell r="AR521">
            <v>269</v>
          </cell>
          <cell r="AS521">
            <v>269</v>
          </cell>
          <cell r="AT521">
            <v>269</v>
          </cell>
          <cell r="AU521">
            <v>269</v>
          </cell>
          <cell r="AV521">
            <v>269</v>
          </cell>
          <cell r="AW521">
            <v>269</v>
          </cell>
          <cell r="AX521">
            <v>269</v>
          </cell>
          <cell r="AY521">
            <v>269</v>
          </cell>
          <cell r="AZ521">
            <v>269</v>
          </cell>
          <cell r="BA521">
            <v>269</v>
          </cell>
          <cell r="BK521">
            <v>383</v>
          </cell>
          <cell r="BL521">
            <v>-114</v>
          </cell>
        </row>
        <row r="522">
          <cell r="A522" t="str">
            <v>Hotel Emperor Casino (SJM)</v>
          </cell>
          <cell r="B522">
            <v>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333</v>
          </cell>
          <cell r="AN522">
            <v>333</v>
          </cell>
          <cell r="AO522">
            <v>333</v>
          </cell>
          <cell r="AP522">
            <v>333</v>
          </cell>
          <cell r="AQ522">
            <v>333</v>
          </cell>
          <cell r="AR522">
            <v>347</v>
          </cell>
          <cell r="AS522">
            <v>347</v>
          </cell>
          <cell r="AT522">
            <v>347</v>
          </cell>
          <cell r="AU522">
            <v>347</v>
          </cell>
          <cell r="AV522">
            <v>347</v>
          </cell>
          <cell r="AW522">
            <v>347</v>
          </cell>
          <cell r="AX522">
            <v>347</v>
          </cell>
          <cell r="AY522">
            <v>347</v>
          </cell>
          <cell r="AZ522">
            <v>347</v>
          </cell>
          <cell r="BA522">
            <v>347</v>
          </cell>
          <cell r="BK522">
            <v>333</v>
          </cell>
          <cell r="BL522">
            <v>14</v>
          </cell>
        </row>
        <row r="523">
          <cell r="A523" t="str">
            <v>Ponte 16 (SJM)</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300</v>
          </cell>
          <cell r="AU523">
            <v>300</v>
          </cell>
          <cell r="AV523">
            <v>150</v>
          </cell>
          <cell r="AW523">
            <v>300</v>
          </cell>
          <cell r="AX523">
            <v>300</v>
          </cell>
          <cell r="AY523">
            <v>300</v>
          </cell>
          <cell r="AZ523">
            <v>300</v>
          </cell>
          <cell r="BA523">
            <v>300</v>
          </cell>
          <cell r="BK523">
            <v>150</v>
          </cell>
          <cell r="BL523">
            <v>0</v>
          </cell>
        </row>
        <row r="524">
          <cell r="A524" t="str">
            <v>Grand Lisboa (SJM)</v>
          </cell>
          <cell r="B524">
            <v>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242</v>
          </cell>
          <cell r="AS524">
            <v>484</v>
          </cell>
          <cell r="AT524">
            <v>484</v>
          </cell>
          <cell r="AU524">
            <v>484</v>
          </cell>
          <cell r="AV524">
            <v>423.5</v>
          </cell>
          <cell r="AW524">
            <v>484</v>
          </cell>
          <cell r="AX524">
            <v>484</v>
          </cell>
          <cell r="AY524">
            <v>484</v>
          </cell>
          <cell r="AZ524">
            <v>484</v>
          </cell>
          <cell r="BA524">
            <v>484</v>
          </cell>
          <cell r="BK524">
            <v>100</v>
          </cell>
          <cell r="BL524">
            <v>323.5</v>
          </cell>
        </row>
        <row r="525">
          <cell r="A525" t="str">
            <v>Babylon at Fisherman's Wharf (SJM)</v>
          </cell>
          <cell r="B525">
            <v>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339</v>
          </cell>
          <cell r="AS525">
            <v>339</v>
          </cell>
          <cell r="AT525">
            <v>339</v>
          </cell>
          <cell r="AU525">
            <v>339</v>
          </cell>
          <cell r="AV525">
            <v>339</v>
          </cell>
          <cell r="AW525">
            <v>339</v>
          </cell>
          <cell r="AX525">
            <v>339</v>
          </cell>
          <cell r="AY525">
            <v>339</v>
          </cell>
          <cell r="AZ525">
            <v>339</v>
          </cell>
          <cell r="BA525">
            <v>339</v>
          </cell>
          <cell r="BK525">
            <v>100</v>
          </cell>
          <cell r="BL525">
            <v>239</v>
          </cell>
        </row>
        <row r="526">
          <cell r="A526" t="str">
            <v>TigerSlot at Macau Tower (SJM)</v>
          </cell>
          <cell r="AH526">
            <v>0</v>
          </cell>
          <cell r="AI526">
            <v>0</v>
          </cell>
          <cell r="AJ526">
            <v>0</v>
          </cell>
          <cell r="AK526">
            <v>0</v>
          </cell>
          <cell r="AL526">
            <v>0</v>
          </cell>
          <cell r="AM526">
            <v>0</v>
          </cell>
          <cell r="AN526">
            <v>0</v>
          </cell>
          <cell r="AO526">
            <v>0</v>
          </cell>
          <cell r="AP526">
            <v>0</v>
          </cell>
          <cell r="AQ526">
            <v>0</v>
          </cell>
          <cell r="AR526">
            <v>202</v>
          </cell>
          <cell r="AS526">
            <v>202</v>
          </cell>
          <cell r="AT526">
            <v>202</v>
          </cell>
          <cell r="AU526">
            <v>202</v>
          </cell>
          <cell r="AV526">
            <v>202</v>
          </cell>
          <cell r="AW526">
            <v>202</v>
          </cell>
          <cell r="AX526">
            <v>202</v>
          </cell>
          <cell r="AY526">
            <v>202</v>
          </cell>
          <cell r="AZ526">
            <v>202</v>
          </cell>
          <cell r="BA526">
            <v>202</v>
          </cell>
        </row>
        <row r="527">
          <cell r="A527" t="str">
            <v>Yat Yuen (Dog racing area) (SJM)</v>
          </cell>
          <cell r="AH527">
            <v>0</v>
          </cell>
          <cell r="AI527">
            <v>0</v>
          </cell>
          <cell r="AJ527">
            <v>0</v>
          </cell>
          <cell r="AK527">
            <v>0</v>
          </cell>
          <cell r="AL527">
            <v>0</v>
          </cell>
          <cell r="AM527">
            <v>0</v>
          </cell>
          <cell r="AN527">
            <v>0</v>
          </cell>
          <cell r="AO527">
            <v>0</v>
          </cell>
          <cell r="AP527">
            <v>0</v>
          </cell>
          <cell r="AQ527">
            <v>0</v>
          </cell>
          <cell r="AR527">
            <v>97</v>
          </cell>
          <cell r="AS527">
            <v>97</v>
          </cell>
          <cell r="AT527">
            <v>97</v>
          </cell>
          <cell r="AU527">
            <v>97</v>
          </cell>
          <cell r="AV527">
            <v>97</v>
          </cell>
          <cell r="AW527">
            <v>97</v>
          </cell>
          <cell r="AX527">
            <v>97</v>
          </cell>
          <cell r="AY527">
            <v>97</v>
          </cell>
          <cell r="AZ527">
            <v>97</v>
          </cell>
          <cell r="BA527">
            <v>97</v>
          </cell>
        </row>
        <row r="528">
          <cell r="A528" t="str">
            <v>Treasure Hunt at ZAPE (SJM)</v>
          </cell>
          <cell r="AH528">
            <v>0</v>
          </cell>
          <cell r="AI528">
            <v>0</v>
          </cell>
          <cell r="AJ528">
            <v>0</v>
          </cell>
          <cell r="AK528">
            <v>0</v>
          </cell>
          <cell r="AL528">
            <v>0</v>
          </cell>
          <cell r="AM528">
            <v>0</v>
          </cell>
          <cell r="AN528">
            <v>0</v>
          </cell>
          <cell r="AO528">
            <v>0</v>
          </cell>
          <cell r="AP528">
            <v>0</v>
          </cell>
          <cell r="AQ528">
            <v>0</v>
          </cell>
          <cell r="AR528">
            <v>114</v>
          </cell>
          <cell r="AS528">
            <v>114</v>
          </cell>
          <cell r="AT528">
            <v>114</v>
          </cell>
          <cell r="AU528">
            <v>114</v>
          </cell>
          <cell r="AV528">
            <v>114</v>
          </cell>
          <cell r="AW528">
            <v>114</v>
          </cell>
          <cell r="AX528">
            <v>114</v>
          </cell>
          <cell r="AY528">
            <v>114</v>
          </cell>
          <cell r="AZ528">
            <v>114</v>
          </cell>
          <cell r="BA528">
            <v>114</v>
          </cell>
        </row>
        <row r="529">
          <cell r="A529" t="str">
            <v>Arc de Triomphe (SJM)</v>
          </cell>
          <cell r="B529">
            <v>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200</v>
          </cell>
          <cell r="AX529">
            <v>200</v>
          </cell>
          <cell r="AY529">
            <v>200</v>
          </cell>
          <cell r="AZ529">
            <v>200</v>
          </cell>
          <cell r="BA529">
            <v>200</v>
          </cell>
          <cell r="BK529">
            <v>0</v>
          </cell>
          <cell r="BL529">
            <v>0</v>
          </cell>
        </row>
        <row r="530">
          <cell r="A530" t="str">
            <v>Oceanus (SJM)</v>
          </cell>
          <cell r="B530">
            <v>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1000</v>
          </cell>
          <cell r="AY530">
            <v>1000</v>
          </cell>
          <cell r="AZ530">
            <v>1000</v>
          </cell>
          <cell r="BA530">
            <v>1000</v>
          </cell>
          <cell r="BK530">
            <v>0</v>
          </cell>
          <cell r="BL530">
            <v>0</v>
          </cell>
        </row>
        <row r="531">
          <cell r="A531" t="str">
            <v>Shun Tak Nam Van (SJM)</v>
          </cell>
          <cell r="B531">
            <v>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300</v>
          </cell>
          <cell r="AZ531">
            <v>300</v>
          </cell>
          <cell r="BA531">
            <v>300</v>
          </cell>
          <cell r="BK531">
            <v>0</v>
          </cell>
          <cell r="BL531">
            <v>0</v>
          </cell>
        </row>
        <row r="532">
          <cell r="A532" t="str">
            <v>Shun Tak Cotai (SJM)</v>
          </cell>
          <cell r="B532">
            <v>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1000</v>
          </cell>
          <cell r="BA532">
            <v>1000</v>
          </cell>
          <cell r="BK532">
            <v>0</v>
          </cell>
          <cell r="BL532">
            <v>0</v>
          </cell>
        </row>
        <row r="533">
          <cell r="A533" t="str">
            <v>Crown Macau (Melco/PBL)</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333.33333333333331</v>
          </cell>
          <cell r="AT533">
            <v>500</v>
          </cell>
          <cell r="AU533">
            <v>500</v>
          </cell>
          <cell r="AV533">
            <v>333.33333333333331</v>
          </cell>
          <cell r="AW533">
            <v>500</v>
          </cell>
          <cell r="AX533">
            <v>500</v>
          </cell>
          <cell r="AY533">
            <v>500</v>
          </cell>
          <cell r="AZ533">
            <v>500</v>
          </cell>
          <cell r="BA533">
            <v>500</v>
          </cell>
          <cell r="BK533">
            <v>250</v>
          </cell>
          <cell r="BL533">
            <v>83.333333333333314</v>
          </cell>
        </row>
        <row r="534">
          <cell r="A534" t="str">
            <v>Penninsula Project (Melco/PBL)</v>
          </cell>
          <cell r="B534">
            <v>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250</v>
          </cell>
          <cell r="AY534">
            <v>500</v>
          </cell>
          <cell r="AZ534">
            <v>500</v>
          </cell>
          <cell r="BA534">
            <v>500</v>
          </cell>
          <cell r="BK534">
            <v>0</v>
          </cell>
          <cell r="BL534">
            <v>0</v>
          </cell>
        </row>
        <row r="535">
          <cell r="A535" t="str">
            <v>City of Dreams (Melco/PBL)</v>
          </cell>
          <cell r="B535">
            <v>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2500</v>
          </cell>
          <cell r="AY535">
            <v>2500</v>
          </cell>
          <cell r="AZ535">
            <v>2500</v>
          </cell>
          <cell r="BA535">
            <v>2500</v>
          </cell>
          <cell r="BK535">
            <v>0</v>
          </cell>
          <cell r="BL535">
            <v>0</v>
          </cell>
        </row>
        <row r="536">
          <cell r="A536" t="str">
            <v>Galaxy Waldo Hotel and Casino (Galaxy)</v>
          </cell>
          <cell r="B536">
            <v>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74</v>
          </cell>
          <cell r="AF536">
            <v>74</v>
          </cell>
          <cell r="AG536">
            <v>37</v>
          </cell>
          <cell r="AH536">
            <v>74</v>
          </cell>
          <cell r="AI536">
            <v>74</v>
          </cell>
          <cell r="AJ536">
            <v>74</v>
          </cell>
          <cell r="AK536">
            <v>75</v>
          </cell>
          <cell r="AL536">
            <v>74.25</v>
          </cell>
          <cell r="AM536">
            <v>75</v>
          </cell>
          <cell r="AN536">
            <v>75</v>
          </cell>
          <cell r="AO536">
            <v>75</v>
          </cell>
          <cell r="AP536">
            <v>75</v>
          </cell>
          <cell r="AQ536">
            <v>75</v>
          </cell>
          <cell r="AR536">
            <v>75</v>
          </cell>
          <cell r="AS536">
            <v>75</v>
          </cell>
          <cell r="AT536">
            <v>75</v>
          </cell>
          <cell r="AU536">
            <v>75</v>
          </cell>
          <cell r="AV536">
            <v>75</v>
          </cell>
          <cell r="AW536">
            <v>75</v>
          </cell>
          <cell r="AX536">
            <v>75</v>
          </cell>
          <cell r="AY536">
            <v>75</v>
          </cell>
          <cell r="AZ536">
            <v>75</v>
          </cell>
          <cell r="BA536">
            <v>75</v>
          </cell>
          <cell r="BK536">
            <v>75</v>
          </cell>
          <cell r="BL536">
            <v>0</v>
          </cell>
        </row>
        <row r="537">
          <cell r="A537" t="str">
            <v>Galaxy Rio Hotel City Club (Galaxy)</v>
          </cell>
          <cell r="B537">
            <v>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75</v>
          </cell>
          <cell r="AN537">
            <v>150</v>
          </cell>
          <cell r="AO537">
            <v>150</v>
          </cell>
          <cell r="AP537">
            <v>150</v>
          </cell>
          <cell r="AQ537">
            <v>131.25</v>
          </cell>
          <cell r="AR537">
            <v>150</v>
          </cell>
          <cell r="AS537">
            <v>150</v>
          </cell>
          <cell r="AT537">
            <v>150</v>
          </cell>
          <cell r="AU537">
            <v>150</v>
          </cell>
          <cell r="AV537">
            <v>150</v>
          </cell>
          <cell r="AW537">
            <v>150</v>
          </cell>
          <cell r="AX537">
            <v>150</v>
          </cell>
          <cell r="AY537">
            <v>150</v>
          </cell>
          <cell r="AZ537">
            <v>150</v>
          </cell>
          <cell r="BA537">
            <v>150</v>
          </cell>
          <cell r="BK537">
            <v>150</v>
          </cell>
          <cell r="BL537">
            <v>0</v>
          </cell>
        </row>
        <row r="538">
          <cell r="A538" t="str">
            <v>Hotel Presidente Casino (Galaxy)</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K538">
            <v>0</v>
          </cell>
          <cell r="BL538">
            <v>0</v>
          </cell>
        </row>
        <row r="539">
          <cell r="A539" t="str">
            <v>Galaxy Grand Waldo (Galaxy)</v>
          </cell>
          <cell r="B539">
            <v>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167</v>
          </cell>
          <cell r="AO539">
            <v>334</v>
          </cell>
          <cell r="AP539">
            <v>334</v>
          </cell>
          <cell r="AQ539">
            <v>208.75</v>
          </cell>
          <cell r="AR539">
            <v>334</v>
          </cell>
          <cell r="AS539">
            <v>334</v>
          </cell>
          <cell r="AT539">
            <v>334</v>
          </cell>
          <cell r="AU539">
            <v>334</v>
          </cell>
          <cell r="AV539">
            <v>334</v>
          </cell>
          <cell r="AW539">
            <v>334</v>
          </cell>
          <cell r="AX539">
            <v>334</v>
          </cell>
          <cell r="AY539">
            <v>334</v>
          </cell>
          <cell r="AZ539">
            <v>334</v>
          </cell>
          <cell r="BA539">
            <v>334</v>
          </cell>
          <cell r="BK539">
            <v>334</v>
          </cell>
          <cell r="BL539">
            <v>0</v>
          </cell>
        </row>
        <row r="540">
          <cell r="A540" t="str">
            <v>Galaxy StarWorld (Galaxy)</v>
          </cell>
          <cell r="B540">
            <v>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277.71739130434781</v>
          </cell>
          <cell r="AQ540">
            <v>69.429347826086953</v>
          </cell>
          <cell r="AR540">
            <v>350</v>
          </cell>
          <cell r="AS540">
            <v>350</v>
          </cell>
          <cell r="AT540">
            <v>350</v>
          </cell>
          <cell r="AU540">
            <v>350</v>
          </cell>
          <cell r="AV540">
            <v>350</v>
          </cell>
          <cell r="AW540">
            <v>350</v>
          </cell>
          <cell r="AX540">
            <v>350</v>
          </cell>
          <cell r="AY540">
            <v>350</v>
          </cell>
          <cell r="AZ540">
            <v>350</v>
          </cell>
          <cell r="BA540">
            <v>350</v>
          </cell>
          <cell r="BK540">
            <v>371</v>
          </cell>
          <cell r="BL540">
            <v>-21</v>
          </cell>
        </row>
        <row r="541">
          <cell r="A541" t="str">
            <v>Galaxy Cotai Mega Resort (Galaxy)</v>
          </cell>
          <cell r="B541">
            <v>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500</v>
          </cell>
          <cell r="AX541">
            <v>1000</v>
          </cell>
          <cell r="AY541">
            <v>1000</v>
          </cell>
          <cell r="AZ541">
            <v>1000</v>
          </cell>
          <cell r="BA541">
            <v>1000</v>
          </cell>
          <cell r="BK541">
            <v>0</v>
          </cell>
          <cell r="BL541">
            <v>0</v>
          </cell>
        </row>
        <row r="542">
          <cell r="A542" t="str">
            <v>Sands Macao (LVS)</v>
          </cell>
          <cell r="B542">
            <v>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113.87912087912088</v>
          </cell>
          <cell r="AE542">
            <v>519</v>
          </cell>
          <cell r="AF542">
            <v>666</v>
          </cell>
          <cell r="AG542">
            <v>324.7197802197802</v>
          </cell>
          <cell r="AH542">
            <v>764</v>
          </cell>
          <cell r="AI542">
            <v>822</v>
          </cell>
          <cell r="AJ542">
            <v>802</v>
          </cell>
          <cell r="AK542">
            <v>778</v>
          </cell>
          <cell r="AL542">
            <v>791.5</v>
          </cell>
          <cell r="AM542">
            <v>907</v>
          </cell>
          <cell r="AN542">
            <v>895</v>
          </cell>
          <cell r="AO542">
            <v>934</v>
          </cell>
          <cell r="AP542">
            <v>1233</v>
          </cell>
          <cell r="AQ542">
            <v>992.25</v>
          </cell>
          <cell r="AR542">
            <v>1233</v>
          </cell>
          <cell r="AS542">
            <v>1233</v>
          </cell>
          <cell r="AT542">
            <v>1233</v>
          </cell>
          <cell r="AU542">
            <v>1233</v>
          </cell>
          <cell r="AV542">
            <v>1233</v>
          </cell>
          <cell r="AW542">
            <v>1233</v>
          </cell>
          <cell r="AX542">
            <v>1233</v>
          </cell>
          <cell r="AY542">
            <v>1233</v>
          </cell>
          <cell r="AZ542">
            <v>1233</v>
          </cell>
          <cell r="BA542">
            <v>1233</v>
          </cell>
          <cell r="BK542">
            <v>1254</v>
          </cell>
          <cell r="BL542">
            <v>-21</v>
          </cell>
        </row>
        <row r="543">
          <cell r="A543" t="str">
            <v>Venetian Macao (LVS)</v>
          </cell>
          <cell r="B543">
            <v>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4100</v>
          </cell>
          <cell r="AU543">
            <v>4100</v>
          </cell>
          <cell r="AV543">
            <v>2050</v>
          </cell>
          <cell r="AW543">
            <v>4100</v>
          </cell>
          <cell r="AX543">
            <v>4100</v>
          </cell>
          <cell r="AY543">
            <v>4100</v>
          </cell>
          <cell r="AZ543">
            <v>7000</v>
          </cell>
          <cell r="BA543">
            <v>7000</v>
          </cell>
          <cell r="BK543">
            <v>2000</v>
          </cell>
          <cell r="BL543">
            <v>50</v>
          </cell>
        </row>
        <row r="544">
          <cell r="A544" t="str">
            <v>Cotai Site 2 - Four Seasons (LVS)</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400</v>
          </cell>
          <cell r="AX544">
            <v>400</v>
          </cell>
          <cell r="AY544">
            <v>400</v>
          </cell>
          <cell r="AZ544">
            <v>400</v>
          </cell>
          <cell r="BA544">
            <v>400</v>
          </cell>
          <cell r="BK544">
            <v>0</v>
          </cell>
          <cell r="BL544">
            <v>0</v>
          </cell>
        </row>
        <row r="545">
          <cell r="A545" t="str">
            <v>Cotai Site 3 - Far East (LVS)</v>
          </cell>
          <cell r="B545">
            <v>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875</v>
          </cell>
          <cell r="AY545">
            <v>1750</v>
          </cell>
          <cell r="AZ545">
            <v>1750</v>
          </cell>
          <cell r="BA545">
            <v>1750</v>
          </cell>
          <cell r="BK545">
            <v>0</v>
          </cell>
          <cell r="BL545">
            <v>0</v>
          </cell>
        </row>
        <row r="546">
          <cell r="A546" t="str">
            <v>Cotai Site 5 - Shangri-La/St.Regis/Traders (LVS)</v>
          </cell>
          <cell r="B546">
            <v>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875</v>
          </cell>
          <cell r="AX546">
            <v>1750</v>
          </cell>
          <cell r="AY546">
            <v>1750</v>
          </cell>
          <cell r="AZ546">
            <v>1750</v>
          </cell>
          <cell r="BA546">
            <v>1750</v>
          </cell>
          <cell r="BK546">
            <v>0</v>
          </cell>
          <cell r="BL546">
            <v>0</v>
          </cell>
        </row>
        <row r="547">
          <cell r="A547" t="str">
            <v>Cotai Site 6 - Starwood (LVS)</v>
          </cell>
          <cell r="B547">
            <v>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875</v>
          </cell>
          <cell r="AX547">
            <v>1750</v>
          </cell>
          <cell r="AY547">
            <v>1750</v>
          </cell>
          <cell r="AZ547">
            <v>1750</v>
          </cell>
          <cell r="BA547">
            <v>1750</v>
          </cell>
          <cell r="BK547">
            <v>0</v>
          </cell>
          <cell r="BL547">
            <v>0</v>
          </cell>
        </row>
        <row r="548">
          <cell r="A548" t="str">
            <v>Cotai Site 7 - Hilton (LVS)</v>
          </cell>
          <cell r="B548">
            <v>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875</v>
          </cell>
          <cell r="AY548">
            <v>1750</v>
          </cell>
          <cell r="AZ548">
            <v>1750</v>
          </cell>
          <cell r="BA548">
            <v>1750</v>
          </cell>
          <cell r="BK548">
            <v>0</v>
          </cell>
          <cell r="BL548">
            <v>0</v>
          </cell>
        </row>
        <row r="549">
          <cell r="A549" t="str">
            <v>Cotai Site 8 - FHR/Raffles (LVS)</v>
          </cell>
          <cell r="B549">
            <v>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875</v>
          </cell>
          <cell r="AY549">
            <v>1750</v>
          </cell>
          <cell r="AZ549">
            <v>1750</v>
          </cell>
          <cell r="BA549">
            <v>1750</v>
          </cell>
          <cell r="BK549">
            <v>0</v>
          </cell>
          <cell r="BL549">
            <v>0</v>
          </cell>
        </row>
        <row r="550">
          <cell r="A550" t="str">
            <v>Wynn Macau (WYNN)</v>
          </cell>
          <cell r="B550">
            <v>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101.90217391304348</v>
          </cell>
          <cell r="AP550">
            <v>366</v>
          </cell>
          <cell r="AQ550">
            <v>116.97554347826087</v>
          </cell>
          <cell r="AR550">
            <v>499</v>
          </cell>
          <cell r="AS550">
            <v>632</v>
          </cell>
          <cell r="AT550">
            <v>1280</v>
          </cell>
          <cell r="AU550">
            <v>1280</v>
          </cell>
          <cell r="AV550">
            <v>922.75</v>
          </cell>
          <cell r="AW550">
            <v>1280</v>
          </cell>
          <cell r="AX550">
            <v>1280</v>
          </cell>
          <cell r="AY550">
            <v>1280</v>
          </cell>
          <cell r="AZ550">
            <v>1280</v>
          </cell>
          <cell r="BA550">
            <v>1280</v>
          </cell>
          <cell r="BK550">
            <v>630</v>
          </cell>
          <cell r="BL550">
            <v>292.75</v>
          </cell>
        </row>
        <row r="551">
          <cell r="A551" t="str">
            <v>Wynn Cotai (WYNN)</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3500</v>
          </cell>
          <cell r="AZ551">
            <v>3500</v>
          </cell>
          <cell r="BA551">
            <v>3500</v>
          </cell>
          <cell r="BK551">
            <v>0</v>
          </cell>
          <cell r="BL551">
            <v>0</v>
          </cell>
        </row>
        <row r="552">
          <cell r="A552" t="str">
            <v>Wynn Cotai #2 (WYNN)</v>
          </cell>
          <cell r="B552">
            <v>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3500</v>
          </cell>
          <cell r="AZ552">
            <v>3500</v>
          </cell>
          <cell r="BA552">
            <v>3500</v>
          </cell>
          <cell r="BK552">
            <v>0</v>
          </cell>
          <cell r="BL552">
            <v>0</v>
          </cell>
        </row>
        <row r="553">
          <cell r="A553" t="str">
            <v>MGM Grand (MGM)</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1037</v>
          </cell>
          <cell r="AV553">
            <v>259.25</v>
          </cell>
          <cell r="AW553">
            <v>1037</v>
          </cell>
          <cell r="AX553">
            <v>1037</v>
          </cell>
          <cell r="AY553">
            <v>1037</v>
          </cell>
          <cell r="AZ553">
            <v>1037</v>
          </cell>
          <cell r="BA553">
            <v>1037</v>
          </cell>
          <cell r="BK553">
            <v>262.5</v>
          </cell>
          <cell r="BL553">
            <v>-3.25</v>
          </cell>
        </row>
        <row r="554">
          <cell r="A554" t="str">
            <v>MGM Cotai #1 (MGM)</v>
          </cell>
          <cell r="B554">
            <v>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3000</v>
          </cell>
          <cell r="BA554">
            <v>3000</v>
          </cell>
          <cell r="BK554">
            <v>262.5</v>
          </cell>
          <cell r="BL554">
            <v>-262.5</v>
          </cell>
        </row>
        <row r="555">
          <cell r="A555" t="str">
            <v>Mocha Slot Lounges (Melco)</v>
          </cell>
          <cell r="B555">
            <v>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65</v>
          </cell>
          <cell r="AB555">
            <v>16.25</v>
          </cell>
          <cell r="AC555">
            <v>65</v>
          </cell>
          <cell r="AD555">
            <v>209</v>
          </cell>
          <cell r="AE555">
            <v>503</v>
          </cell>
          <cell r="AF555">
            <v>503</v>
          </cell>
          <cell r="AG555">
            <v>320</v>
          </cell>
          <cell r="AH555">
            <v>503</v>
          </cell>
          <cell r="AI555">
            <v>647</v>
          </cell>
          <cell r="AJ555">
            <v>679</v>
          </cell>
          <cell r="AK555">
            <v>809</v>
          </cell>
          <cell r="AL555">
            <v>659.5</v>
          </cell>
          <cell r="AM555">
            <v>937</v>
          </cell>
          <cell r="AN555">
            <v>937</v>
          </cell>
          <cell r="AO555">
            <v>937</v>
          </cell>
          <cell r="AP555">
            <v>937</v>
          </cell>
          <cell r="AQ555">
            <v>937</v>
          </cell>
          <cell r="AR555">
            <v>1137</v>
          </cell>
          <cell r="AS555">
            <v>1137</v>
          </cell>
          <cell r="AT555">
            <v>1337</v>
          </cell>
          <cell r="AU555">
            <v>1537</v>
          </cell>
          <cell r="AV555">
            <v>1287</v>
          </cell>
          <cell r="AW555">
            <v>1987</v>
          </cell>
          <cell r="AX555">
            <v>2137</v>
          </cell>
          <cell r="AY555">
            <v>2737</v>
          </cell>
          <cell r="AZ555">
            <v>3337</v>
          </cell>
          <cell r="BA555">
            <v>3937</v>
          </cell>
          <cell r="BK555">
            <v>1775</v>
          </cell>
          <cell r="BL555">
            <v>-488</v>
          </cell>
        </row>
        <row r="556">
          <cell r="A556" t="str">
            <v>Macau Studio City (eSun)</v>
          </cell>
          <cell r="B556">
            <v>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1000</v>
          </cell>
          <cell r="AY556">
            <v>1000</v>
          </cell>
          <cell r="AZ556">
            <v>1600</v>
          </cell>
          <cell r="BA556">
            <v>1600</v>
          </cell>
          <cell r="BK556">
            <v>0</v>
          </cell>
          <cell r="BL556">
            <v>0</v>
          </cell>
        </row>
        <row r="557">
          <cell r="A557" t="str">
            <v>Adjustment</v>
          </cell>
          <cell r="B557">
            <v>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85.000000000000156</v>
          </cell>
          <cell r="AG557">
            <v>21.250000000000039</v>
          </cell>
          <cell r="AH557">
            <v>331</v>
          </cell>
          <cell r="AI557">
            <v>182.5</v>
          </cell>
          <cell r="AJ557">
            <v>323</v>
          </cell>
          <cell r="AK557">
            <v>265.5</v>
          </cell>
          <cell r="AL557">
            <v>275.5</v>
          </cell>
          <cell r="AM557">
            <v>322.5</v>
          </cell>
          <cell r="AN557">
            <v>372</v>
          </cell>
          <cell r="AO557">
            <v>535.09782608695605</v>
          </cell>
          <cell r="AP557">
            <v>700.78260869565202</v>
          </cell>
          <cell r="AQ557">
            <v>482.59510869565202</v>
          </cell>
          <cell r="AR557">
            <v>700.78260869565202</v>
          </cell>
          <cell r="AS557">
            <v>700.78260869565202</v>
          </cell>
          <cell r="AT557">
            <v>700.78260869565202</v>
          </cell>
          <cell r="AU557">
            <v>700.78260869565202</v>
          </cell>
          <cell r="AV557">
            <v>700.78260869565202</v>
          </cell>
          <cell r="AW557">
            <v>700.78260869565202</v>
          </cell>
          <cell r="AX557">
            <v>700.78260869565202</v>
          </cell>
          <cell r="AY557">
            <v>700.78260869565202</v>
          </cell>
          <cell r="AZ557">
            <v>700.78260869565202</v>
          </cell>
          <cell r="BA557">
            <v>700.78260869565202</v>
          </cell>
          <cell r="BK557">
            <v>155.23913043478206</v>
          </cell>
          <cell r="BL557">
            <v>545.54347826086996</v>
          </cell>
        </row>
        <row r="558">
          <cell r="B558" t="str">
            <v>______</v>
          </cell>
          <cell r="C558" t="str">
            <v>______</v>
          </cell>
          <cell r="D558" t="str">
            <v>______</v>
          </cell>
          <cell r="E558" t="str">
            <v>______</v>
          </cell>
          <cell r="F558" t="str">
            <v>______</v>
          </cell>
          <cell r="G558" t="str">
            <v>______</v>
          </cell>
          <cell r="H558" t="str">
            <v>______</v>
          </cell>
          <cell r="I558" t="str">
            <v>______</v>
          </cell>
          <cell r="J558" t="str">
            <v>______</v>
          </cell>
          <cell r="K558" t="str">
            <v>______</v>
          </cell>
          <cell r="L558" t="str">
            <v>______</v>
          </cell>
          <cell r="M558" t="str">
            <v>______</v>
          </cell>
          <cell r="N558" t="str">
            <v>______</v>
          </cell>
          <cell r="O558" t="str">
            <v>______</v>
          </cell>
          <cell r="P558" t="str">
            <v>______</v>
          </cell>
          <cell r="Q558" t="str">
            <v>______</v>
          </cell>
          <cell r="R558" t="str">
            <v>______</v>
          </cell>
          <cell r="S558" t="str">
            <v>______</v>
          </cell>
          <cell r="T558" t="str">
            <v>______</v>
          </cell>
          <cell r="U558" t="str">
            <v>______</v>
          </cell>
          <cell r="V558" t="str">
            <v>______</v>
          </cell>
          <cell r="W558" t="str">
            <v>______</v>
          </cell>
          <cell r="X558" t="str">
            <v>______</v>
          </cell>
          <cell r="Y558" t="str">
            <v>______</v>
          </cell>
          <cell r="Z558" t="str">
            <v>______</v>
          </cell>
          <cell r="AA558" t="str">
            <v>______</v>
          </cell>
          <cell r="AB558" t="str">
            <v>______</v>
          </cell>
          <cell r="AC558" t="str">
            <v>______</v>
          </cell>
          <cell r="AD558" t="str">
            <v>______</v>
          </cell>
          <cell r="AE558" t="str">
            <v>______</v>
          </cell>
          <cell r="AF558" t="str">
            <v>______</v>
          </cell>
          <cell r="AG558" t="str">
            <v>______</v>
          </cell>
          <cell r="AH558" t="str">
            <v>______</v>
          </cell>
          <cell r="AI558" t="str">
            <v>______</v>
          </cell>
          <cell r="AJ558" t="str">
            <v>______</v>
          </cell>
          <cell r="AK558" t="str">
            <v>______</v>
          </cell>
          <cell r="AL558" t="str">
            <v>______</v>
          </cell>
          <cell r="AM558" t="str">
            <v>______</v>
          </cell>
          <cell r="AN558" t="str">
            <v>______</v>
          </cell>
          <cell r="AO558" t="str">
            <v>______</v>
          </cell>
          <cell r="AP558" t="str">
            <v>______</v>
          </cell>
          <cell r="AQ558" t="str">
            <v>______</v>
          </cell>
          <cell r="AR558" t="str">
            <v>______</v>
          </cell>
          <cell r="AS558" t="str">
            <v>______</v>
          </cell>
          <cell r="AT558" t="str">
            <v>______</v>
          </cell>
          <cell r="AU558" t="str">
            <v>______</v>
          </cell>
          <cell r="AV558" t="str">
            <v>______</v>
          </cell>
          <cell r="AW558" t="str">
            <v>______</v>
          </cell>
          <cell r="AX558" t="str">
            <v>______</v>
          </cell>
          <cell r="AY558" t="str">
            <v>______</v>
          </cell>
          <cell r="AZ558" t="str">
            <v>______</v>
          </cell>
          <cell r="BA558" t="str">
            <v>______</v>
          </cell>
          <cell r="BK558" t="str">
            <v>______</v>
          </cell>
        </row>
        <row r="559">
          <cell r="A559" t="str">
            <v>Total Average Slots</v>
          </cell>
          <cell r="B559">
            <v>700</v>
          </cell>
          <cell r="C559">
            <v>700</v>
          </cell>
          <cell r="D559">
            <v>700</v>
          </cell>
          <cell r="E559">
            <v>700</v>
          </cell>
          <cell r="F559">
            <v>700</v>
          </cell>
          <cell r="G559">
            <v>700</v>
          </cell>
          <cell r="H559">
            <v>700</v>
          </cell>
          <cell r="I559">
            <v>700</v>
          </cell>
          <cell r="J559">
            <v>700</v>
          </cell>
          <cell r="K559">
            <v>700</v>
          </cell>
          <cell r="L559">
            <v>700</v>
          </cell>
          <cell r="M559">
            <v>700</v>
          </cell>
          <cell r="N559">
            <v>700</v>
          </cell>
          <cell r="O559">
            <v>700</v>
          </cell>
          <cell r="P559">
            <v>700</v>
          </cell>
          <cell r="Q559">
            <v>700</v>
          </cell>
          <cell r="R559">
            <v>700</v>
          </cell>
          <cell r="S559">
            <v>700</v>
          </cell>
          <cell r="T559">
            <v>700</v>
          </cell>
          <cell r="U559">
            <v>700</v>
          </cell>
          <cell r="V559">
            <v>700</v>
          </cell>
          <cell r="W559">
            <v>700</v>
          </cell>
          <cell r="X559">
            <v>808</v>
          </cell>
          <cell r="Y559">
            <v>808</v>
          </cell>
          <cell r="Z559">
            <v>808</v>
          </cell>
          <cell r="AA559">
            <v>873</v>
          </cell>
          <cell r="AB559">
            <v>824.25</v>
          </cell>
          <cell r="AC559">
            <v>873</v>
          </cell>
          <cell r="AD559">
            <v>1130.8791208791208</v>
          </cell>
          <cell r="AE559">
            <v>2027</v>
          </cell>
          <cell r="AF559">
            <v>2163.782608695652</v>
          </cell>
          <cell r="AG559">
            <v>1548.6654323936932</v>
          </cell>
          <cell r="AH559">
            <v>2721</v>
          </cell>
          <cell r="AI559">
            <v>2774.5</v>
          </cell>
          <cell r="AJ559">
            <v>2927</v>
          </cell>
          <cell r="AK559">
            <v>3251.5</v>
          </cell>
          <cell r="AL559">
            <v>2918.5</v>
          </cell>
          <cell r="AM559">
            <v>3988.5</v>
          </cell>
          <cell r="AN559">
            <v>4378</v>
          </cell>
          <cell r="AO559">
            <v>4849</v>
          </cell>
          <cell r="AP559">
            <v>5855.5</v>
          </cell>
          <cell r="AQ559">
            <v>4767.75</v>
          </cell>
          <cell r="AR559">
            <v>7518.782608695652</v>
          </cell>
          <cell r="AS559">
            <v>8227.115942028986</v>
          </cell>
          <cell r="AT559">
            <v>13641.782608695652</v>
          </cell>
          <cell r="AU559">
            <v>14878.782608695652</v>
          </cell>
          <cell r="AV559">
            <v>11066.615942028986</v>
          </cell>
          <cell r="AW559">
            <v>17875.782608695652</v>
          </cell>
          <cell r="AX559">
            <v>27650.782608695652</v>
          </cell>
          <cell r="AY559">
            <v>38425.782608695648</v>
          </cell>
          <cell r="AZ559">
            <v>46525.782608695648</v>
          </cell>
          <cell r="BA559">
            <v>47125.782608695648</v>
          </cell>
          <cell r="BK559">
            <v>9388.7391304347821</v>
          </cell>
          <cell r="BL559">
            <v>1677.8768115942039</v>
          </cell>
        </row>
        <row r="560">
          <cell r="A560" t="str">
            <v xml:space="preserve">  Growth</v>
          </cell>
          <cell r="AC560">
            <v>8.0445544554455406E-2</v>
          </cell>
          <cell r="AD560">
            <v>0.39960287237514946</v>
          </cell>
          <cell r="AE560">
            <v>1.5086633663366338</v>
          </cell>
          <cell r="AF560">
            <v>1.4785596892275512</v>
          </cell>
          <cell r="AG560">
            <v>0.87887829225804448</v>
          </cell>
          <cell r="AH560">
            <v>2.1168384879725086</v>
          </cell>
          <cell r="AI560">
            <v>1.4534010300262366</v>
          </cell>
          <cell r="AJ560">
            <v>0.44400592007893436</v>
          </cell>
          <cell r="AK560">
            <v>0.50269254727027968</v>
          </cell>
          <cell r="AL560">
            <v>0.88452582394702461</v>
          </cell>
          <cell r="AM560">
            <v>0.46582138919514882</v>
          </cell>
          <cell r="AN560">
            <v>0.57794197152640114</v>
          </cell>
          <cell r="AO560">
            <v>0.65664502903997257</v>
          </cell>
          <cell r="AP560">
            <v>0.80086114101184069</v>
          </cell>
          <cell r="AQ560">
            <v>0.63363028953229406</v>
          </cell>
          <cell r="AR560">
            <v>0.88511535883055092</v>
          </cell>
          <cell r="AS560">
            <v>0.87919505299885481</v>
          </cell>
          <cell r="AT560">
            <v>1.8133187479265112</v>
          </cell>
          <cell r="AU560">
            <v>1.5409926750398175</v>
          </cell>
          <cell r="AV560">
            <v>1.3211401482940559</v>
          </cell>
          <cell r="AW560">
            <v>0.61528896478703077</v>
          </cell>
          <cell r="AX560">
            <v>0.54682920541028301</v>
          </cell>
          <cell r="AY560">
            <v>0.38968155630471957</v>
          </cell>
          <cell r="AZ560">
            <v>0.21079596692890767</v>
          </cell>
          <cell r="BA560">
            <v>1.2896075387840211E-2</v>
          </cell>
          <cell r="BK560">
            <v>0.98914957126029623</v>
          </cell>
          <cell r="BL560">
            <v>0.33199057703375967</v>
          </cell>
        </row>
        <row r="561">
          <cell r="BL561">
            <v>0</v>
          </cell>
        </row>
        <row r="562">
          <cell r="A562" t="str">
            <v>Period-end total slots</v>
          </cell>
          <cell r="AA562">
            <v>814</v>
          </cell>
          <cell r="AB562">
            <v>814</v>
          </cell>
          <cell r="AC562">
            <v>873</v>
          </cell>
          <cell r="AD562">
            <v>1130.8791208791208</v>
          </cell>
          <cell r="AE562">
            <v>2027</v>
          </cell>
          <cell r="AF562">
            <v>2254</v>
          </cell>
          <cell r="AG562">
            <v>2254</v>
          </cell>
          <cell r="AH562">
            <v>2777</v>
          </cell>
          <cell r="AI562">
            <v>2772</v>
          </cell>
          <cell r="AJ562">
            <v>3082</v>
          </cell>
          <cell r="AK562">
            <v>3421</v>
          </cell>
          <cell r="AL562">
            <v>3421</v>
          </cell>
          <cell r="AM562">
            <v>4223</v>
          </cell>
          <cell r="AN562">
            <v>4533</v>
          </cell>
          <cell r="AO562">
            <v>5165</v>
          </cell>
          <cell r="AP562">
            <v>6546</v>
          </cell>
          <cell r="AQ562">
            <v>6546</v>
          </cell>
          <cell r="BL562">
            <v>0</v>
          </cell>
        </row>
        <row r="563">
          <cell r="BL563">
            <v>0</v>
          </cell>
        </row>
        <row r="564">
          <cell r="A564" t="str">
            <v>Total Average Positions</v>
          </cell>
          <cell r="BL564">
            <v>0</v>
          </cell>
        </row>
        <row r="565">
          <cell r="A565" t="str">
            <v>Casa Real Casino (SJM)</v>
          </cell>
          <cell r="B565">
            <v>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741</v>
          </cell>
          <cell r="AF565">
            <v>741</v>
          </cell>
          <cell r="AG565">
            <v>370.5</v>
          </cell>
          <cell r="AH565">
            <v>741</v>
          </cell>
          <cell r="AI565">
            <v>741</v>
          </cell>
          <cell r="AJ565">
            <v>741</v>
          </cell>
          <cell r="AK565">
            <v>741</v>
          </cell>
          <cell r="AL565">
            <v>741</v>
          </cell>
          <cell r="AM565">
            <v>741</v>
          </cell>
          <cell r="AN565">
            <v>531</v>
          </cell>
          <cell r="AO565">
            <v>531</v>
          </cell>
          <cell r="AP565">
            <v>531</v>
          </cell>
          <cell r="AQ565">
            <v>583.5</v>
          </cell>
          <cell r="AR565">
            <v>710</v>
          </cell>
          <cell r="AS565">
            <v>710</v>
          </cell>
          <cell r="AT565">
            <v>710</v>
          </cell>
          <cell r="AU565">
            <v>710</v>
          </cell>
          <cell r="AV565">
            <v>710</v>
          </cell>
          <cell r="AW565">
            <v>710</v>
          </cell>
          <cell r="AX565">
            <v>710</v>
          </cell>
          <cell r="AY565">
            <v>710</v>
          </cell>
          <cell r="AZ565">
            <v>710</v>
          </cell>
          <cell r="BA565">
            <v>710</v>
          </cell>
          <cell r="BK565">
            <v>539.20000000000005</v>
          </cell>
          <cell r="BL565">
            <v>170.79999999999995</v>
          </cell>
        </row>
        <row r="566">
          <cell r="A566" t="str">
            <v>Casino Lisboa (SJM)</v>
          </cell>
          <cell r="B566">
            <v>1495.6666666666667</v>
          </cell>
          <cell r="C566">
            <v>1495.6666666666667</v>
          </cell>
          <cell r="D566">
            <v>1495.6666666666667</v>
          </cell>
          <cell r="E566">
            <v>1495.6666666666667</v>
          </cell>
          <cell r="F566">
            <v>1495.6666666666667</v>
          </cell>
          <cell r="G566">
            <v>1495.6666666666667</v>
          </cell>
          <cell r="H566">
            <v>1495.6666666666667</v>
          </cell>
          <cell r="I566">
            <v>1495.6666666666667</v>
          </cell>
          <cell r="J566">
            <v>1495.6666666666667</v>
          </cell>
          <cell r="K566">
            <v>1495.6666666666667</v>
          </cell>
          <cell r="L566">
            <v>1495.6666666666667</v>
          </cell>
          <cell r="M566">
            <v>1495.6666666666667</v>
          </cell>
          <cell r="N566">
            <v>1495.6666666666667</v>
          </cell>
          <cell r="O566">
            <v>1495.6666666666667</v>
          </cell>
          <cell r="P566">
            <v>1495.6666666666667</v>
          </cell>
          <cell r="Q566">
            <v>1495.6666666666667</v>
          </cell>
          <cell r="R566">
            <v>1495.6666666666667</v>
          </cell>
          <cell r="S566">
            <v>1495.6666666666667</v>
          </cell>
          <cell r="T566">
            <v>1495.6666666666667</v>
          </cell>
          <cell r="U566">
            <v>1495.6666666666667</v>
          </cell>
          <cell r="V566">
            <v>1495.6666666666667</v>
          </cell>
          <cell r="W566">
            <v>1495.6666666666667</v>
          </cell>
          <cell r="X566">
            <v>1495.6666666666667</v>
          </cell>
          <cell r="Y566">
            <v>1495.6666666666667</v>
          </cell>
          <cell r="Z566">
            <v>1495.6666666666667</v>
          </cell>
          <cell r="AA566">
            <v>1495.6666666666667</v>
          </cell>
          <cell r="AB566">
            <v>1495.6666666666667</v>
          </cell>
          <cell r="AC566">
            <v>1495.6666666666667</v>
          </cell>
          <cell r="AD566">
            <v>1495.6666666666667</v>
          </cell>
          <cell r="AE566">
            <v>1495.6666666666667</v>
          </cell>
          <cell r="AF566">
            <v>1495.6666666666667</v>
          </cell>
          <cell r="AG566">
            <v>1495.6666666666667</v>
          </cell>
          <cell r="AH566">
            <v>1495.6666666666667</v>
          </cell>
          <cell r="AI566">
            <v>1495.6666666666667</v>
          </cell>
          <cell r="AJ566">
            <v>1495.6666666666667</v>
          </cell>
          <cell r="AK566">
            <v>1495.6666666666667</v>
          </cell>
          <cell r="AL566">
            <v>1495.6666666666667</v>
          </cell>
          <cell r="AM566">
            <v>1495.6666666666667</v>
          </cell>
          <cell r="AN566">
            <v>2672.3333333333335</v>
          </cell>
          <cell r="AO566">
            <v>2672.3333333333335</v>
          </cell>
          <cell r="AP566">
            <v>2672.3333333333335</v>
          </cell>
          <cell r="AQ566">
            <v>2378.1666666666665</v>
          </cell>
          <cell r="AR566">
            <v>2800.8</v>
          </cell>
          <cell r="AS566">
            <v>2800.8</v>
          </cell>
          <cell r="AT566">
            <v>2800.8</v>
          </cell>
          <cell r="AU566">
            <v>2800.8</v>
          </cell>
          <cell r="AV566">
            <v>2800.8</v>
          </cell>
          <cell r="AW566">
            <v>2823.5</v>
          </cell>
          <cell r="AX566">
            <v>2823.5</v>
          </cell>
          <cell r="AY566">
            <v>2823.5</v>
          </cell>
          <cell r="AZ566">
            <v>2823.5</v>
          </cell>
          <cell r="BA566">
            <v>2823.5</v>
          </cell>
          <cell r="BK566">
            <v>2686.8</v>
          </cell>
          <cell r="BL566">
            <v>114</v>
          </cell>
        </row>
        <row r="567">
          <cell r="A567" t="str">
            <v>Casino Macau Palace (SJM)</v>
          </cell>
          <cell r="B567">
            <v>137</v>
          </cell>
          <cell r="C567">
            <v>137</v>
          </cell>
          <cell r="D567">
            <v>137</v>
          </cell>
          <cell r="E567">
            <v>137</v>
          </cell>
          <cell r="F567">
            <v>137</v>
          </cell>
          <cell r="G567">
            <v>137</v>
          </cell>
          <cell r="H567">
            <v>137</v>
          </cell>
          <cell r="I567">
            <v>137</v>
          </cell>
          <cell r="J567">
            <v>137</v>
          </cell>
          <cell r="K567">
            <v>137</v>
          </cell>
          <cell r="L567">
            <v>137</v>
          </cell>
          <cell r="M567">
            <v>137</v>
          </cell>
          <cell r="N567">
            <v>137</v>
          </cell>
          <cell r="O567">
            <v>137</v>
          </cell>
          <cell r="P567">
            <v>137</v>
          </cell>
          <cell r="Q567">
            <v>137</v>
          </cell>
          <cell r="R567">
            <v>137</v>
          </cell>
          <cell r="S567">
            <v>137</v>
          </cell>
          <cell r="T567">
            <v>137</v>
          </cell>
          <cell r="U567">
            <v>137</v>
          </cell>
          <cell r="V567">
            <v>137</v>
          </cell>
          <cell r="W567">
            <v>137</v>
          </cell>
          <cell r="X567">
            <v>137</v>
          </cell>
          <cell r="Y567">
            <v>137</v>
          </cell>
          <cell r="Z567">
            <v>137</v>
          </cell>
          <cell r="AA567">
            <v>137</v>
          </cell>
          <cell r="AB567">
            <v>137</v>
          </cell>
          <cell r="AC567">
            <v>137</v>
          </cell>
          <cell r="AD567">
            <v>137</v>
          </cell>
          <cell r="AE567">
            <v>137</v>
          </cell>
          <cell r="AF567">
            <v>137</v>
          </cell>
          <cell r="AG567">
            <v>137</v>
          </cell>
          <cell r="AH567">
            <v>137</v>
          </cell>
          <cell r="AI567">
            <v>137</v>
          </cell>
          <cell r="AJ567">
            <v>137</v>
          </cell>
          <cell r="AK567">
            <v>137</v>
          </cell>
          <cell r="AL567">
            <v>137</v>
          </cell>
          <cell r="AM567">
            <v>137</v>
          </cell>
          <cell r="AN567">
            <v>267</v>
          </cell>
          <cell r="AO567">
            <v>267</v>
          </cell>
          <cell r="AP567">
            <v>267</v>
          </cell>
          <cell r="AQ567">
            <v>234.5</v>
          </cell>
          <cell r="AR567">
            <v>129.6</v>
          </cell>
          <cell r="AS567">
            <v>129.6</v>
          </cell>
          <cell r="AT567">
            <v>129.6</v>
          </cell>
          <cell r="AU567">
            <v>129.6</v>
          </cell>
          <cell r="AV567">
            <v>129.6</v>
          </cell>
          <cell r="AW567">
            <v>134.5</v>
          </cell>
          <cell r="AX567">
            <v>134.5</v>
          </cell>
          <cell r="AY567">
            <v>134.5</v>
          </cell>
          <cell r="AZ567">
            <v>134.5</v>
          </cell>
          <cell r="BA567">
            <v>134.5</v>
          </cell>
          <cell r="BK567">
            <v>270.39999999999998</v>
          </cell>
          <cell r="BL567">
            <v>-140.79999999999998</v>
          </cell>
        </row>
        <row r="568">
          <cell r="A568" t="str">
            <v>Casino Marina (SJM)</v>
          </cell>
          <cell r="B568">
            <v>212.33333333333334</v>
          </cell>
          <cell r="C568">
            <v>212.33333333333334</v>
          </cell>
          <cell r="D568">
            <v>212.33333333333334</v>
          </cell>
          <cell r="E568">
            <v>212.33333333333334</v>
          </cell>
          <cell r="F568">
            <v>212.33333333333334</v>
          </cell>
          <cell r="G568">
            <v>212.33333333333334</v>
          </cell>
          <cell r="H568">
            <v>212.33333333333334</v>
          </cell>
          <cell r="I568">
            <v>212.33333333333334</v>
          </cell>
          <cell r="J568">
            <v>212.33333333333334</v>
          </cell>
          <cell r="K568">
            <v>212.33333333333334</v>
          </cell>
          <cell r="L568">
            <v>212.33333333333334</v>
          </cell>
          <cell r="M568">
            <v>212.33333333333334</v>
          </cell>
          <cell r="N568">
            <v>212.33333333333334</v>
          </cell>
          <cell r="O568">
            <v>212.33333333333334</v>
          </cell>
          <cell r="P568">
            <v>212.33333333333334</v>
          </cell>
          <cell r="Q568">
            <v>212.33333333333334</v>
          </cell>
          <cell r="R568">
            <v>212.33333333333334</v>
          </cell>
          <cell r="S568">
            <v>212.33333333333334</v>
          </cell>
          <cell r="T568">
            <v>212.33333333333334</v>
          </cell>
          <cell r="U568">
            <v>212.33333333333334</v>
          </cell>
          <cell r="V568">
            <v>212.33333333333334</v>
          </cell>
          <cell r="W568">
            <v>212.33333333333334</v>
          </cell>
          <cell r="X568">
            <v>212.33333333333334</v>
          </cell>
          <cell r="Y568">
            <v>212.33333333333334</v>
          </cell>
          <cell r="Z568">
            <v>212.33333333333334</v>
          </cell>
          <cell r="AA568">
            <v>212.33333333333334</v>
          </cell>
          <cell r="AB568">
            <v>212.33333333333334</v>
          </cell>
          <cell r="AC568">
            <v>212.33333333333334</v>
          </cell>
          <cell r="AD568">
            <v>212.33333333333334</v>
          </cell>
          <cell r="AE568">
            <v>212.33333333333334</v>
          </cell>
          <cell r="AF568">
            <v>212.33333333333334</v>
          </cell>
          <cell r="AG568">
            <v>212.33333333333334</v>
          </cell>
          <cell r="AH568">
            <v>212.33333333333334</v>
          </cell>
          <cell r="AI568">
            <v>212.33333333333334</v>
          </cell>
          <cell r="AJ568">
            <v>212.33333333333334</v>
          </cell>
          <cell r="AK568">
            <v>212.33333333333334</v>
          </cell>
          <cell r="AL568">
            <v>212.33333333333334</v>
          </cell>
          <cell r="AM568">
            <v>212.33333333333334</v>
          </cell>
          <cell r="AN568">
            <v>212.33333333333334</v>
          </cell>
          <cell r="AO568">
            <v>212.33333333333334</v>
          </cell>
          <cell r="AP568">
            <v>212.33333333333334</v>
          </cell>
          <cell r="AQ568">
            <v>212.33333333333334</v>
          </cell>
          <cell r="AR568">
            <v>200</v>
          </cell>
          <cell r="AS568">
            <v>200</v>
          </cell>
          <cell r="AT568">
            <v>200</v>
          </cell>
          <cell r="AU568">
            <v>200</v>
          </cell>
          <cell r="AV568">
            <v>200</v>
          </cell>
          <cell r="AW568">
            <v>200</v>
          </cell>
          <cell r="AX568">
            <v>200</v>
          </cell>
          <cell r="AY568">
            <v>200</v>
          </cell>
          <cell r="AZ568">
            <v>200</v>
          </cell>
          <cell r="BA568">
            <v>200</v>
          </cell>
          <cell r="BK568">
            <v>214.8</v>
          </cell>
          <cell r="BL568">
            <v>-14.800000000000011</v>
          </cell>
        </row>
        <row r="569">
          <cell r="A569" t="str">
            <v>Casino Taipa (SJM)</v>
          </cell>
          <cell r="B569">
            <v>83.333333333333329</v>
          </cell>
          <cell r="C569">
            <v>83.333333333333329</v>
          </cell>
          <cell r="D569">
            <v>83.333333333333329</v>
          </cell>
          <cell r="E569">
            <v>83.333333333333329</v>
          </cell>
          <cell r="F569">
            <v>83.333333333333329</v>
          </cell>
          <cell r="G569">
            <v>83.333333333333329</v>
          </cell>
          <cell r="H569">
            <v>83.333333333333329</v>
          </cell>
          <cell r="I569">
            <v>83.333333333333329</v>
          </cell>
          <cell r="J569">
            <v>83.333333333333329</v>
          </cell>
          <cell r="K569">
            <v>83.333333333333329</v>
          </cell>
          <cell r="L569">
            <v>83.333333333333329</v>
          </cell>
          <cell r="M569">
            <v>83.333333333333329</v>
          </cell>
          <cell r="N569">
            <v>83.333333333333329</v>
          </cell>
          <cell r="O569">
            <v>83.333333333333329</v>
          </cell>
          <cell r="P569">
            <v>83.333333333333329</v>
          </cell>
          <cell r="Q569">
            <v>83.333333333333329</v>
          </cell>
          <cell r="R569">
            <v>83.333333333333329</v>
          </cell>
          <cell r="S569">
            <v>83.333333333333329</v>
          </cell>
          <cell r="T569">
            <v>83.333333333333329</v>
          </cell>
          <cell r="U569">
            <v>83.333333333333329</v>
          </cell>
          <cell r="V569">
            <v>83.333333333333329</v>
          </cell>
          <cell r="W569">
            <v>83.333333333333329</v>
          </cell>
          <cell r="X569">
            <v>83.333333333333329</v>
          </cell>
          <cell r="Y569">
            <v>83.333333333333329</v>
          </cell>
          <cell r="Z569">
            <v>83.333333333333329</v>
          </cell>
          <cell r="AA569">
            <v>83.333333333333329</v>
          </cell>
          <cell r="AB569">
            <v>83.333333333333329</v>
          </cell>
          <cell r="AC569">
            <v>83.333333333333329</v>
          </cell>
          <cell r="AD569">
            <v>83.333333333333329</v>
          </cell>
          <cell r="AE569">
            <v>83.333333333333329</v>
          </cell>
          <cell r="AF569">
            <v>83.333333333333329</v>
          </cell>
          <cell r="AG569">
            <v>83.333333333333329</v>
          </cell>
          <cell r="AH569">
            <v>83.333333333333329</v>
          </cell>
          <cell r="AI569">
            <v>83.333333333333329</v>
          </cell>
          <cell r="AJ569">
            <v>83.333333333333329</v>
          </cell>
          <cell r="AK569">
            <v>83.333333333333329</v>
          </cell>
          <cell r="AL569">
            <v>83.333333333333329</v>
          </cell>
          <cell r="AM569">
            <v>83.333333333333329</v>
          </cell>
          <cell r="AN569">
            <v>83.333333333333329</v>
          </cell>
          <cell r="AO569">
            <v>83.333333333333329</v>
          </cell>
          <cell r="AP569">
            <v>83.333333333333329</v>
          </cell>
          <cell r="AQ569">
            <v>83.333333333333329</v>
          </cell>
          <cell r="AR569">
            <v>80</v>
          </cell>
          <cell r="AS569">
            <v>80</v>
          </cell>
          <cell r="AT569">
            <v>80</v>
          </cell>
          <cell r="AU569">
            <v>80</v>
          </cell>
          <cell r="AV569">
            <v>80</v>
          </cell>
          <cell r="AW569">
            <v>80</v>
          </cell>
          <cell r="AX569">
            <v>80</v>
          </cell>
          <cell r="AY569">
            <v>80</v>
          </cell>
          <cell r="AZ569">
            <v>80</v>
          </cell>
          <cell r="BA569">
            <v>80</v>
          </cell>
          <cell r="BK569">
            <v>84</v>
          </cell>
          <cell r="BL569">
            <v>-4</v>
          </cell>
        </row>
        <row r="570">
          <cell r="A570" t="str">
            <v>Diamond Casino (SJM)</v>
          </cell>
          <cell r="B570">
            <v>70.666666666666671</v>
          </cell>
          <cell r="C570">
            <v>70.666666666666671</v>
          </cell>
          <cell r="D570">
            <v>70.666666666666671</v>
          </cell>
          <cell r="E570">
            <v>70.666666666666671</v>
          </cell>
          <cell r="F570">
            <v>70.666666666666671</v>
          </cell>
          <cell r="G570">
            <v>70.666666666666671</v>
          </cell>
          <cell r="H570">
            <v>70.666666666666671</v>
          </cell>
          <cell r="I570">
            <v>70.666666666666671</v>
          </cell>
          <cell r="J570">
            <v>70.666666666666671</v>
          </cell>
          <cell r="K570">
            <v>70.666666666666671</v>
          </cell>
          <cell r="L570">
            <v>70.666666666666671</v>
          </cell>
          <cell r="M570">
            <v>70.666666666666671</v>
          </cell>
          <cell r="N570">
            <v>70.666666666666671</v>
          </cell>
          <cell r="O570">
            <v>70.666666666666671</v>
          </cell>
          <cell r="P570">
            <v>70.666666666666671</v>
          </cell>
          <cell r="Q570">
            <v>70.666666666666671</v>
          </cell>
          <cell r="R570">
            <v>70.666666666666671</v>
          </cell>
          <cell r="S570">
            <v>70.666666666666671</v>
          </cell>
          <cell r="T570">
            <v>70.666666666666671</v>
          </cell>
          <cell r="U570">
            <v>70.666666666666671</v>
          </cell>
          <cell r="V570">
            <v>70.666666666666671</v>
          </cell>
          <cell r="W570">
            <v>70.666666666666671</v>
          </cell>
          <cell r="X570">
            <v>70.666666666666671</v>
          </cell>
          <cell r="Y570">
            <v>70.666666666666671</v>
          </cell>
          <cell r="Z570">
            <v>70.666666666666671</v>
          </cell>
          <cell r="AA570">
            <v>70.666666666666671</v>
          </cell>
          <cell r="AB570">
            <v>70.666666666666671</v>
          </cell>
          <cell r="AC570">
            <v>70.666666666666671</v>
          </cell>
          <cell r="AD570">
            <v>70.666666666666671</v>
          </cell>
          <cell r="AE570">
            <v>70.666666666666671</v>
          </cell>
          <cell r="AF570">
            <v>70.666666666666671</v>
          </cell>
          <cell r="AG570">
            <v>70.666666666666671</v>
          </cell>
          <cell r="AH570">
            <v>70.666666666666671</v>
          </cell>
          <cell r="AI570">
            <v>70.666666666666671</v>
          </cell>
          <cell r="AJ570">
            <v>70.666666666666671</v>
          </cell>
          <cell r="AK570">
            <v>70.666666666666671</v>
          </cell>
          <cell r="AL570">
            <v>70.666666666666671</v>
          </cell>
          <cell r="AM570">
            <v>535.66666666666663</v>
          </cell>
          <cell r="AN570">
            <v>555.66666666666663</v>
          </cell>
          <cell r="AO570">
            <v>555.66666666666663</v>
          </cell>
          <cell r="AP570">
            <v>555.66666666666663</v>
          </cell>
          <cell r="AQ570">
            <v>550.66666666666663</v>
          </cell>
          <cell r="AR570">
            <v>574</v>
          </cell>
          <cell r="AS570">
            <v>574</v>
          </cell>
          <cell r="AT570">
            <v>574</v>
          </cell>
          <cell r="AU570">
            <v>574</v>
          </cell>
          <cell r="AV570">
            <v>574</v>
          </cell>
          <cell r="AW570">
            <v>582.5</v>
          </cell>
          <cell r="AX570">
            <v>582.5</v>
          </cell>
          <cell r="AY570">
            <v>582.5</v>
          </cell>
          <cell r="AZ570">
            <v>582.5</v>
          </cell>
          <cell r="BA570">
            <v>582.5</v>
          </cell>
          <cell r="BK570">
            <v>558.79999999999995</v>
          </cell>
          <cell r="BL570">
            <v>15.200000000000045</v>
          </cell>
        </row>
        <row r="571">
          <cell r="A571" t="str">
            <v>Golden Dragon (SJM)</v>
          </cell>
          <cell r="B571">
            <v>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741</v>
          </cell>
          <cell r="AI571">
            <v>741</v>
          </cell>
          <cell r="AJ571">
            <v>741</v>
          </cell>
          <cell r="AK571">
            <v>741</v>
          </cell>
          <cell r="AL571">
            <v>741</v>
          </cell>
          <cell r="AM571">
            <v>741</v>
          </cell>
          <cell r="AN571">
            <v>941</v>
          </cell>
          <cell r="AO571">
            <v>941</v>
          </cell>
          <cell r="AP571">
            <v>941</v>
          </cell>
          <cell r="AQ571">
            <v>891</v>
          </cell>
          <cell r="AR571">
            <v>841.6</v>
          </cell>
          <cell r="AS571">
            <v>841.6</v>
          </cell>
          <cell r="AT571">
            <v>841.6</v>
          </cell>
          <cell r="AU571">
            <v>841.6</v>
          </cell>
          <cell r="AV571">
            <v>841.6</v>
          </cell>
          <cell r="AW571">
            <v>854.5</v>
          </cell>
          <cell r="AX571">
            <v>854.5</v>
          </cell>
          <cell r="AY571">
            <v>854.5</v>
          </cell>
          <cell r="AZ571">
            <v>854.5</v>
          </cell>
          <cell r="BA571">
            <v>854.5</v>
          </cell>
          <cell r="BK571">
            <v>949.2</v>
          </cell>
          <cell r="BL571">
            <v>-107.60000000000002</v>
          </cell>
        </row>
        <row r="572">
          <cell r="A572" t="str">
            <v>Greek Mythology Casino (SJM)</v>
          </cell>
          <cell r="B572">
            <v>0</v>
          </cell>
          <cell r="C572">
            <v>0</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226.30434782608697</v>
          </cell>
          <cell r="AG572">
            <v>56.576086956521742</v>
          </cell>
          <cell r="AH572">
            <v>2313.3333333333335</v>
          </cell>
          <cell r="AI572">
            <v>2313.3333333333335</v>
          </cell>
          <cell r="AJ572">
            <v>2313.3333333333335</v>
          </cell>
          <cell r="AK572">
            <v>2313.3333333333335</v>
          </cell>
          <cell r="AL572">
            <v>2313.3333333333335</v>
          </cell>
          <cell r="AM572">
            <v>2313.3333333333335</v>
          </cell>
          <cell r="AN572">
            <v>2313.3333333333335</v>
          </cell>
          <cell r="AO572">
            <v>2313.3333333333335</v>
          </cell>
          <cell r="AP572">
            <v>2313.3333333333335</v>
          </cell>
          <cell r="AQ572">
            <v>2313.3333333333335</v>
          </cell>
          <cell r="AR572">
            <v>1280.8</v>
          </cell>
          <cell r="AS572">
            <v>1280.8</v>
          </cell>
          <cell r="AT572">
            <v>1280.8</v>
          </cell>
          <cell r="AU572">
            <v>1280.8</v>
          </cell>
          <cell r="AV572">
            <v>1280.8</v>
          </cell>
          <cell r="AW572">
            <v>1301</v>
          </cell>
          <cell r="AX572">
            <v>1301</v>
          </cell>
          <cell r="AY572">
            <v>1301</v>
          </cell>
          <cell r="AZ572">
            <v>1301</v>
          </cell>
          <cell r="BA572">
            <v>1301</v>
          </cell>
          <cell r="BK572">
            <v>2320</v>
          </cell>
          <cell r="BL572">
            <v>-1039.2</v>
          </cell>
        </row>
        <row r="573">
          <cell r="A573" t="str">
            <v>Hotel Fortuna Casino (SJM)</v>
          </cell>
          <cell r="B573">
            <v>0</v>
          </cell>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206.11111111111111</v>
          </cell>
          <cell r="AI573">
            <v>350</v>
          </cell>
          <cell r="AJ573">
            <v>350</v>
          </cell>
          <cell r="AK573">
            <v>350</v>
          </cell>
          <cell r="AL573">
            <v>314.02777777777777</v>
          </cell>
          <cell r="AM573">
            <v>350</v>
          </cell>
          <cell r="AN573">
            <v>400</v>
          </cell>
          <cell r="AO573">
            <v>400</v>
          </cell>
          <cell r="AP573">
            <v>400</v>
          </cell>
          <cell r="AQ573">
            <v>387.5</v>
          </cell>
          <cell r="AR573">
            <v>450</v>
          </cell>
          <cell r="AS573">
            <v>450</v>
          </cell>
          <cell r="AT573">
            <v>450</v>
          </cell>
          <cell r="AU573">
            <v>450</v>
          </cell>
          <cell r="AV573">
            <v>450</v>
          </cell>
          <cell r="AW573">
            <v>450</v>
          </cell>
          <cell r="AX573">
            <v>450</v>
          </cell>
          <cell r="AY573">
            <v>450</v>
          </cell>
          <cell r="AZ573">
            <v>450</v>
          </cell>
          <cell r="BA573">
            <v>450</v>
          </cell>
          <cell r="BK573">
            <v>400</v>
          </cell>
          <cell r="BL573">
            <v>50</v>
          </cell>
        </row>
        <row r="574">
          <cell r="A574" t="str">
            <v>Jai Alai Casino (SJM)</v>
          </cell>
          <cell r="B574">
            <v>659.33333333333337</v>
          </cell>
          <cell r="C574">
            <v>659.33333333333337</v>
          </cell>
          <cell r="D574">
            <v>659.33333333333337</v>
          </cell>
          <cell r="E574">
            <v>659.33333333333337</v>
          </cell>
          <cell r="F574">
            <v>659.33333333333337</v>
          </cell>
          <cell r="G574">
            <v>659.33333333333337</v>
          </cell>
          <cell r="H574">
            <v>659.33333333333337</v>
          </cell>
          <cell r="I574">
            <v>659.33333333333337</v>
          </cell>
          <cell r="J574">
            <v>659.33333333333337</v>
          </cell>
          <cell r="K574">
            <v>659.33333333333337</v>
          </cell>
          <cell r="L574">
            <v>659.33333333333337</v>
          </cell>
          <cell r="M574">
            <v>659.33333333333337</v>
          </cell>
          <cell r="N574">
            <v>659.33333333333337</v>
          </cell>
          <cell r="O574">
            <v>659.33333333333337</v>
          </cell>
          <cell r="P574">
            <v>659.33333333333337</v>
          </cell>
          <cell r="Q574">
            <v>659.33333333333337</v>
          </cell>
          <cell r="R574">
            <v>659.33333333333337</v>
          </cell>
          <cell r="S574">
            <v>659.33333333333337</v>
          </cell>
          <cell r="T574">
            <v>659.33333333333337</v>
          </cell>
          <cell r="U574">
            <v>659.33333333333337</v>
          </cell>
          <cell r="V574">
            <v>659.33333333333337</v>
          </cell>
          <cell r="W574">
            <v>659.33333333333337</v>
          </cell>
          <cell r="X574">
            <v>659.33333333333337</v>
          </cell>
          <cell r="Y574">
            <v>659.33333333333337</v>
          </cell>
          <cell r="Z574">
            <v>659.33333333333337</v>
          </cell>
          <cell r="AA574">
            <v>659.33333333333337</v>
          </cell>
          <cell r="AB574">
            <v>659.33333333333337</v>
          </cell>
          <cell r="AC574">
            <v>659.33333333333337</v>
          </cell>
          <cell r="AD574">
            <v>659.33333333333337</v>
          </cell>
          <cell r="AE574">
            <v>659.33333333333337</v>
          </cell>
          <cell r="AF574">
            <v>659.33333333333337</v>
          </cell>
          <cell r="AG574">
            <v>659.33333333333337</v>
          </cell>
          <cell r="AH574">
            <v>659.33333333333337</v>
          </cell>
          <cell r="AI574">
            <v>659.33333333333337</v>
          </cell>
          <cell r="AJ574">
            <v>659.33333333333337</v>
          </cell>
          <cell r="AK574">
            <v>659.33333333333337</v>
          </cell>
          <cell r="AL574">
            <v>659.33333333333337</v>
          </cell>
          <cell r="AM574">
            <v>659.33333333333337</v>
          </cell>
          <cell r="AN574">
            <v>1229.3333333333333</v>
          </cell>
          <cell r="AO574">
            <v>1229.3333333333333</v>
          </cell>
          <cell r="AP574">
            <v>1229.3333333333333</v>
          </cell>
          <cell r="AQ574">
            <v>1086.8333333333333</v>
          </cell>
          <cell r="AR574">
            <v>1021.2</v>
          </cell>
          <cell r="AS574">
            <v>1021.2</v>
          </cell>
          <cell r="AT574">
            <v>1021.2</v>
          </cell>
          <cell r="AU574">
            <v>1021.2</v>
          </cell>
          <cell r="AV574">
            <v>1021.2</v>
          </cell>
          <cell r="AW574">
            <v>0</v>
          </cell>
          <cell r="AX574">
            <v>0</v>
          </cell>
          <cell r="AY574">
            <v>0</v>
          </cell>
          <cell r="AZ574">
            <v>0</v>
          </cell>
          <cell r="BA574">
            <v>0</v>
          </cell>
          <cell r="BK574">
            <v>1243.2</v>
          </cell>
          <cell r="BL574">
            <v>-222</v>
          </cell>
        </row>
        <row r="575">
          <cell r="A575" t="str">
            <v>Kam Pek Casino (SJM)</v>
          </cell>
          <cell r="B575">
            <v>263.66666666666669</v>
          </cell>
          <cell r="C575">
            <v>263.66666666666669</v>
          </cell>
          <cell r="D575">
            <v>263.66666666666669</v>
          </cell>
          <cell r="E575">
            <v>263.66666666666669</v>
          </cell>
          <cell r="F575">
            <v>263.66666666666669</v>
          </cell>
          <cell r="G575">
            <v>263.66666666666669</v>
          </cell>
          <cell r="H575">
            <v>263.66666666666669</v>
          </cell>
          <cell r="I575">
            <v>263.66666666666669</v>
          </cell>
          <cell r="J575">
            <v>263.66666666666669</v>
          </cell>
          <cell r="K575">
            <v>263.66666666666669</v>
          </cell>
          <cell r="L575">
            <v>263.66666666666669</v>
          </cell>
          <cell r="M575">
            <v>263.66666666666669</v>
          </cell>
          <cell r="N575">
            <v>263.66666666666669</v>
          </cell>
          <cell r="O575">
            <v>263.66666666666669</v>
          </cell>
          <cell r="P575">
            <v>263.66666666666669</v>
          </cell>
          <cell r="Q575">
            <v>263.66666666666669</v>
          </cell>
          <cell r="R575">
            <v>263.66666666666669</v>
          </cell>
          <cell r="S575">
            <v>263.66666666666669</v>
          </cell>
          <cell r="T575">
            <v>263.66666666666669</v>
          </cell>
          <cell r="U575">
            <v>263.66666666666669</v>
          </cell>
          <cell r="V575">
            <v>263.66666666666669</v>
          </cell>
          <cell r="W575">
            <v>263.66666666666669</v>
          </cell>
          <cell r="X575">
            <v>263.66666666666669</v>
          </cell>
          <cell r="Y575">
            <v>263.66666666666669</v>
          </cell>
          <cell r="Z575">
            <v>263.66666666666669</v>
          </cell>
          <cell r="AA575">
            <v>263.66666666666669</v>
          </cell>
          <cell r="AB575">
            <v>263.66666666666669</v>
          </cell>
          <cell r="AC575">
            <v>263.66666666666669</v>
          </cell>
          <cell r="AD575">
            <v>263.66666666666669</v>
          </cell>
          <cell r="AE575">
            <v>263.66666666666669</v>
          </cell>
          <cell r="AF575">
            <v>263.66666666666669</v>
          </cell>
          <cell r="AG575">
            <v>263.66666666666669</v>
          </cell>
          <cell r="AH575">
            <v>263.66666666666669</v>
          </cell>
          <cell r="AI575">
            <v>390.33333333333343</v>
          </cell>
          <cell r="AJ575">
            <v>643.66666666666663</v>
          </cell>
          <cell r="AK575">
            <v>643.66666666666663</v>
          </cell>
          <cell r="AL575">
            <v>485.33333333333343</v>
          </cell>
          <cell r="AM575">
            <v>643.66666666666663</v>
          </cell>
          <cell r="AN575">
            <v>693.66666666666663</v>
          </cell>
          <cell r="AO575">
            <v>693.66666666666663</v>
          </cell>
          <cell r="AP575">
            <v>693.66666666666663</v>
          </cell>
          <cell r="AQ575">
            <v>681.16666666666663</v>
          </cell>
          <cell r="AR575">
            <v>840</v>
          </cell>
          <cell r="AS575">
            <v>840</v>
          </cell>
          <cell r="AT575">
            <v>840</v>
          </cell>
          <cell r="AU575">
            <v>840</v>
          </cell>
          <cell r="AV575">
            <v>840</v>
          </cell>
          <cell r="AW575">
            <v>840</v>
          </cell>
          <cell r="AX575">
            <v>840</v>
          </cell>
          <cell r="AY575">
            <v>840</v>
          </cell>
          <cell r="AZ575">
            <v>840</v>
          </cell>
          <cell r="BA575">
            <v>840</v>
          </cell>
          <cell r="BK575">
            <v>698.4</v>
          </cell>
          <cell r="BL575">
            <v>141.60000000000002</v>
          </cell>
        </row>
        <row r="576">
          <cell r="A576" t="str">
            <v>Kingsway Hotel &amp; Casino (SJM)</v>
          </cell>
          <cell r="B576">
            <v>86.666666666666671</v>
          </cell>
          <cell r="C576">
            <v>86.666666666666671</v>
          </cell>
          <cell r="D576">
            <v>86.666666666666671</v>
          </cell>
          <cell r="E576">
            <v>86.666666666666671</v>
          </cell>
          <cell r="F576">
            <v>86.666666666666671</v>
          </cell>
          <cell r="G576">
            <v>86.666666666666671</v>
          </cell>
          <cell r="H576">
            <v>86.666666666666671</v>
          </cell>
          <cell r="I576">
            <v>86.666666666666671</v>
          </cell>
          <cell r="J576">
            <v>86.666666666666671</v>
          </cell>
          <cell r="K576">
            <v>86.666666666666671</v>
          </cell>
          <cell r="L576">
            <v>86.666666666666671</v>
          </cell>
          <cell r="M576">
            <v>86.666666666666671</v>
          </cell>
          <cell r="N576">
            <v>86.666666666666671</v>
          </cell>
          <cell r="O576">
            <v>86.666666666666671</v>
          </cell>
          <cell r="P576">
            <v>86.666666666666671</v>
          </cell>
          <cell r="Q576">
            <v>86.666666666666671</v>
          </cell>
          <cell r="R576">
            <v>86.666666666666671</v>
          </cell>
          <cell r="S576">
            <v>86.666666666666671</v>
          </cell>
          <cell r="T576">
            <v>86.666666666666671</v>
          </cell>
          <cell r="U576">
            <v>86.666666666666671</v>
          </cell>
          <cell r="V576">
            <v>86.666666666666671</v>
          </cell>
          <cell r="W576">
            <v>86.666666666666671</v>
          </cell>
          <cell r="X576">
            <v>86.666666666666671</v>
          </cell>
          <cell r="Y576">
            <v>86.666666666666671</v>
          </cell>
          <cell r="Z576">
            <v>86.666666666666671</v>
          </cell>
          <cell r="AA576">
            <v>86.666666666666671</v>
          </cell>
          <cell r="AB576">
            <v>86.666666666666671</v>
          </cell>
          <cell r="AC576">
            <v>86.666666666666671</v>
          </cell>
          <cell r="AD576">
            <v>86.666666666666671</v>
          </cell>
          <cell r="AE576">
            <v>86.666666666666671</v>
          </cell>
          <cell r="AF576">
            <v>86.666666666666671</v>
          </cell>
          <cell r="AG576">
            <v>86.666666666666671</v>
          </cell>
          <cell r="AH576">
            <v>86.666666666666671</v>
          </cell>
          <cell r="AI576">
            <v>86.666666666666671</v>
          </cell>
          <cell r="AJ576">
            <v>86.666666666666671</v>
          </cell>
          <cell r="AK576">
            <v>86.666666666666671</v>
          </cell>
          <cell r="AL576">
            <v>86.666666666666671</v>
          </cell>
          <cell r="AM576">
            <v>86.666666666666671</v>
          </cell>
          <cell r="AN576">
            <v>96.666666666666671</v>
          </cell>
          <cell r="AO576">
            <v>96.666666666666671</v>
          </cell>
          <cell r="AP576">
            <v>96.666666666666671</v>
          </cell>
          <cell r="AQ576">
            <v>94.166666666666671</v>
          </cell>
          <cell r="AR576">
            <v>80</v>
          </cell>
          <cell r="AS576">
            <v>80</v>
          </cell>
          <cell r="AT576">
            <v>80</v>
          </cell>
          <cell r="AU576">
            <v>80</v>
          </cell>
          <cell r="AV576">
            <v>80</v>
          </cell>
          <cell r="AW576">
            <v>80</v>
          </cell>
          <cell r="AX576">
            <v>80</v>
          </cell>
          <cell r="AY576">
            <v>80</v>
          </cell>
          <cell r="AZ576">
            <v>80</v>
          </cell>
          <cell r="BA576">
            <v>80</v>
          </cell>
          <cell r="BK576">
            <v>98</v>
          </cell>
          <cell r="BL576">
            <v>-18</v>
          </cell>
        </row>
        <row r="577">
          <cell r="A577" t="str">
            <v>Macau Jockey Club (MJC) Casino (SJM)</v>
          </cell>
          <cell r="B577">
            <v>130</v>
          </cell>
          <cell r="C577">
            <v>130</v>
          </cell>
          <cell r="D577">
            <v>130</v>
          </cell>
          <cell r="E577">
            <v>130</v>
          </cell>
          <cell r="F577">
            <v>130</v>
          </cell>
          <cell r="G577">
            <v>130</v>
          </cell>
          <cell r="H577">
            <v>130</v>
          </cell>
          <cell r="I577">
            <v>130</v>
          </cell>
          <cell r="J577">
            <v>130</v>
          </cell>
          <cell r="K577">
            <v>130</v>
          </cell>
          <cell r="L577">
            <v>130</v>
          </cell>
          <cell r="M577">
            <v>130</v>
          </cell>
          <cell r="N577">
            <v>130</v>
          </cell>
          <cell r="O577">
            <v>130</v>
          </cell>
          <cell r="P577">
            <v>130</v>
          </cell>
          <cell r="Q577">
            <v>130</v>
          </cell>
          <cell r="R577">
            <v>130</v>
          </cell>
          <cell r="S577">
            <v>130</v>
          </cell>
          <cell r="T577">
            <v>130</v>
          </cell>
          <cell r="U577">
            <v>130</v>
          </cell>
          <cell r="V577">
            <v>130</v>
          </cell>
          <cell r="W577">
            <v>130</v>
          </cell>
          <cell r="X577">
            <v>130</v>
          </cell>
          <cell r="Y577">
            <v>130</v>
          </cell>
          <cell r="Z577">
            <v>130</v>
          </cell>
          <cell r="AA577">
            <v>130</v>
          </cell>
          <cell r="AB577">
            <v>130</v>
          </cell>
          <cell r="AC577">
            <v>130</v>
          </cell>
          <cell r="AD577">
            <v>130</v>
          </cell>
          <cell r="AE577">
            <v>130</v>
          </cell>
          <cell r="AF577">
            <v>130</v>
          </cell>
          <cell r="AG577">
            <v>130</v>
          </cell>
          <cell r="AH577">
            <v>130</v>
          </cell>
          <cell r="AI577">
            <v>130</v>
          </cell>
          <cell r="AJ577">
            <v>510</v>
          </cell>
          <cell r="AK577">
            <v>510</v>
          </cell>
          <cell r="AL577">
            <v>320</v>
          </cell>
          <cell r="AM577">
            <v>510</v>
          </cell>
          <cell r="AN577">
            <v>210</v>
          </cell>
          <cell r="AO577">
            <v>210</v>
          </cell>
          <cell r="AP577">
            <v>210</v>
          </cell>
          <cell r="AQ577">
            <v>285</v>
          </cell>
          <cell r="AR577">
            <v>607.6</v>
          </cell>
          <cell r="AS577">
            <v>607.6</v>
          </cell>
          <cell r="AT577">
            <v>607.6</v>
          </cell>
          <cell r="AU577">
            <v>607.6</v>
          </cell>
          <cell r="AV577">
            <v>607.6</v>
          </cell>
          <cell r="AW577">
            <v>637</v>
          </cell>
          <cell r="AX577">
            <v>637</v>
          </cell>
          <cell r="AY577">
            <v>637</v>
          </cell>
          <cell r="AZ577">
            <v>637</v>
          </cell>
          <cell r="BA577">
            <v>637</v>
          </cell>
          <cell r="BK577">
            <v>210</v>
          </cell>
          <cell r="BL577">
            <v>397.6</v>
          </cell>
        </row>
        <row r="578">
          <cell r="A578" t="str">
            <v>Mandarin Oriental Casino (SJM)</v>
          </cell>
          <cell r="B578">
            <v>129.66666666666666</v>
          </cell>
          <cell r="C578">
            <v>129.66666666666666</v>
          </cell>
          <cell r="D578">
            <v>129.66666666666666</v>
          </cell>
          <cell r="E578">
            <v>129.66666666666666</v>
          </cell>
          <cell r="F578">
            <v>129.66666666666666</v>
          </cell>
          <cell r="G578">
            <v>129.66666666666666</v>
          </cell>
          <cell r="H578">
            <v>129.66666666666666</v>
          </cell>
          <cell r="I578">
            <v>129.66666666666666</v>
          </cell>
          <cell r="J578">
            <v>129.66666666666666</v>
          </cell>
          <cell r="K578">
            <v>129.66666666666666</v>
          </cell>
          <cell r="L578">
            <v>129.66666666666666</v>
          </cell>
          <cell r="M578">
            <v>129.66666666666666</v>
          </cell>
          <cell r="N578">
            <v>129.66666666666666</v>
          </cell>
          <cell r="O578">
            <v>129.66666666666666</v>
          </cell>
          <cell r="P578">
            <v>129.66666666666666</v>
          </cell>
          <cell r="Q578">
            <v>129.66666666666666</v>
          </cell>
          <cell r="R578">
            <v>129.66666666666666</v>
          </cell>
          <cell r="S578">
            <v>129.66666666666666</v>
          </cell>
          <cell r="T578">
            <v>129.66666666666666</v>
          </cell>
          <cell r="U578">
            <v>129.66666666666666</v>
          </cell>
          <cell r="V578">
            <v>129.66666666666666</v>
          </cell>
          <cell r="W578">
            <v>129.66666666666666</v>
          </cell>
          <cell r="X578">
            <v>129.66666666666666</v>
          </cell>
          <cell r="Y578">
            <v>129.66666666666666</v>
          </cell>
          <cell r="Z578">
            <v>129.66666666666666</v>
          </cell>
          <cell r="AA578">
            <v>129.66666666666666</v>
          </cell>
          <cell r="AB578">
            <v>129.66666666666666</v>
          </cell>
          <cell r="AC578">
            <v>129.66666666666666</v>
          </cell>
          <cell r="AD578">
            <v>129.66666666666666</v>
          </cell>
          <cell r="AE578">
            <v>129.66666666666666</v>
          </cell>
          <cell r="AF578">
            <v>129.66666666666666</v>
          </cell>
          <cell r="AG578">
            <v>129.66666666666666</v>
          </cell>
          <cell r="AH578">
            <v>129.66666666666666</v>
          </cell>
          <cell r="AI578">
            <v>129.66666666666666</v>
          </cell>
          <cell r="AJ578">
            <v>129.66666666666666</v>
          </cell>
          <cell r="AK578">
            <v>129.66666666666666</v>
          </cell>
          <cell r="AL578">
            <v>129.66666666666666</v>
          </cell>
          <cell r="AM578">
            <v>129.66666666666666</v>
          </cell>
          <cell r="AN578">
            <v>149.66666666666666</v>
          </cell>
          <cell r="AO578">
            <v>149.66666666666666</v>
          </cell>
          <cell r="AP578">
            <v>149.66666666666666</v>
          </cell>
          <cell r="AQ578">
            <v>144.66666666666666</v>
          </cell>
          <cell r="AR578">
            <v>306.39999999999998</v>
          </cell>
          <cell r="AS578">
            <v>306.39999999999998</v>
          </cell>
          <cell r="AT578">
            <v>306.39999999999998</v>
          </cell>
          <cell r="AU578">
            <v>306.39999999999998</v>
          </cell>
          <cell r="AV578">
            <v>306.39999999999998</v>
          </cell>
          <cell r="AW578">
            <v>320.5</v>
          </cell>
          <cell r="AX578">
            <v>320.5</v>
          </cell>
          <cell r="AY578">
            <v>320.5</v>
          </cell>
          <cell r="AZ578">
            <v>320.5</v>
          </cell>
          <cell r="BA578">
            <v>320.5</v>
          </cell>
          <cell r="BK578">
            <v>153.6</v>
          </cell>
          <cell r="BL578">
            <v>152.79999999999998</v>
          </cell>
        </row>
        <row r="579">
          <cell r="A579" t="str">
            <v>New Century Casino (SJM)</v>
          </cell>
          <cell r="B579">
            <v>375</v>
          </cell>
          <cell r="C579">
            <v>375</v>
          </cell>
          <cell r="D579">
            <v>375</v>
          </cell>
          <cell r="E579">
            <v>375</v>
          </cell>
          <cell r="F579">
            <v>375</v>
          </cell>
          <cell r="G579">
            <v>375</v>
          </cell>
          <cell r="H579">
            <v>375</v>
          </cell>
          <cell r="I579">
            <v>375</v>
          </cell>
          <cell r="J579">
            <v>375</v>
          </cell>
          <cell r="K579">
            <v>375</v>
          </cell>
          <cell r="L579">
            <v>375</v>
          </cell>
          <cell r="M579">
            <v>375</v>
          </cell>
          <cell r="N579">
            <v>375</v>
          </cell>
          <cell r="O579">
            <v>375</v>
          </cell>
          <cell r="P579">
            <v>375</v>
          </cell>
          <cell r="Q579">
            <v>375</v>
          </cell>
          <cell r="R579">
            <v>375</v>
          </cell>
          <cell r="S579">
            <v>375</v>
          </cell>
          <cell r="T579">
            <v>375</v>
          </cell>
          <cell r="U579">
            <v>375</v>
          </cell>
          <cell r="V579">
            <v>375</v>
          </cell>
          <cell r="W579">
            <v>375</v>
          </cell>
          <cell r="X579">
            <v>375</v>
          </cell>
          <cell r="Y579">
            <v>375</v>
          </cell>
          <cell r="Z579">
            <v>375</v>
          </cell>
          <cell r="AA579">
            <v>375</v>
          </cell>
          <cell r="AB579">
            <v>375</v>
          </cell>
          <cell r="AC579">
            <v>375</v>
          </cell>
          <cell r="AD579">
            <v>375</v>
          </cell>
          <cell r="AE579">
            <v>375</v>
          </cell>
          <cell r="AF579">
            <v>0</v>
          </cell>
          <cell r="AG579">
            <v>281.25</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K579">
            <v>0</v>
          </cell>
          <cell r="BL579">
            <v>0</v>
          </cell>
        </row>
        <row r="580">
          <cell r="A580" t="str">
            <v>Pharoh's Palace &amp; Legend Club (SJM)</v>
          </cell>
          <cell r="B580">
            <v>0</v>
          </cell>
          <cell r="C580">
            <v>0</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1036</v>
          </cell>
          <cell r="Y580">
            <v>1036</v>
          </cell>
          <cell r="Z580">
            <v>1036</v>
          </cell>
          <cell r="AA580">
            <v>1036</v>
          </cell>
          <cell r="AB580">
            <v>1036</v>
          </cell>
          <cell r="AC580">
            <v>1036</v>
          </cell>
          <cell r="AD580">
            <v>1036</v>
          </cell>
          <cell r="AE580">
            <v>1036</v>
          </cell>
          <cell r="AF580">
            <v>1036</v>
          </cell>
          <cell r="AG580">
            <v>1036</v>
          </cell>
          <cell r="AH580">
            <v>1036</v>
          </cell>
          <cell r="AI580">
            <v>1036</v>
          </cell>
          <cell r="AJ580">
            <v>1036</v>
          </cell>
          <cell r="AK580">
            <v>1127.6666666666667</v>
          </cell>
          <cell r="AL580">
            <v>1058.9166666666667</v>
          </cell>
          <cell r="AM580">
            <v>1127.6666666666667</v>
          </cell>
          <cell r="AN580">
            <v>1157.6666666666667</v>
          </cell>
          <cell r="AO580">
            <v>1157.6666666666667</v>
          </cell>
          <cell r="AP580">
            <v>1157.6666666666667</v>
          </cell>
          <cell r="AQ580">
            <v>1150.1666666666667</v>
          </cell>
          <cell r="AR580">
            <v>1287.5999999999999</v>
          </cell>
          <cell r="AS580">
            <v>1287.5999999999999</v>
          </cell>
          <cell r="AT580">
            <v>1287.5999999999999</v>
          </cell>
          <cell r="AU580">
            <v>1287.5999999999999</v>
          </cell>
          <cell r="AV580">
            <v>1287.5999999999999</v>
          </cell>
          <cell r="AW580">
            <v>1314.5</v>
          </cell>
          <cell r="AX580">
            <v>1314.5</v>
          </cell>
          <cell r="AY580">
            <v>1314.5</v>
          </cell>
          <cell r="AZ580">
            <v>1314.5</v>
          </cell>
          <cell r="BA580">
            <v>1314.5</v>
          </cell>
          <cell r="BK580">
            <v>1183.2</v>
          </cell>
          <cell r="BL580">
            <v>104.39999999999986</v>
          </cell>
        </row>
        <row r="581">
          <cell r="A581" t="str">
            <v>Hotel Emperor Casino (SJM)</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971</v>
          </cell>
          <cell r="AN581">
            <v>971</v>
          </cell>
          <cell r="AO581">
            <v>971</v>
          </cell>
          <cell r="AP581">
            <v>971</v>
          </cell>
          <cell r="AQ581">
            <v>971</v>
          </cell>
          <cell r="AR581">
            <v>898.8</v>
          </cell>
          <cell r="AS581">
            <v>1138.8</v>
          </cell>
          <cell r="AT581">
            <v>1138.8</v>
          </cell>
          <cell r="AU581">
            <v>1138.8</v>
          </cell>
          <cell r="AV581">
            <v>1078.8</v>
          </cell>
          <cell r="AW581">
            <v>1173.5</v>
          </cell>
          <cell r="AX581">
            <v>1173.5</v>
          </cell>
          <cell r="AY581">
            <v>1173.5</v>
          </cell>
          <cell r="AZ581">
            <v>1173.5</v>
          </cell>
          <cell r="BA581">
            <v>1173.5</v>
          </cell>
          <cell r="BK581">
            <v>1133.2</v>
          </cell>
          <cell r="BL581">
            <v>-54.400000000000091</v>
          </cell>
        </row>
        <row r="582">
          <cell r="A582" t="str">
            <v>Ponte 16 (SJM)</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1860</v>
          </cell>
          <cell r="AU582">
            <v>1860</v>
          </cell>
          <cell r="AV582">
            <v>930</v>
          </cell>
          <cell r="AW582">
            <v>1890</v>
          </cell>
          <cell r="AX582">
            <v>1890</v>
          </cell>
          <cell r="AY582">
            <v>1890</v>
          </cell>
          <cell r="AZ582">
            <v>1890</v>
          </cell>
          <cell r="BA582">
            <v>1890</v>
          </cell>
          <cell r="BK582">
            <v>930</v>
          </cell>
          <cell r="BL582">
            <v>0</v>
          </cell>
        </row>
        <row r="583">
          <cell r="A583" t="str">
            <v>Grand Lisboa (SJM)</v>
          </cell>
          <cell r="B583">
            <v>0</v>
          </cell>
          <cell r="C583">
            <v>0</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1296.8</v>
          </cell>
          <cell r="AS583">
            <v>2593.6</v>
          </cell>
          <cell r="AT583">
            <v>2893.6</v>
          </cell>
          <cell r="AU583">
            <v>2893.6</v>
          </cell>
          <cell r="AV583">
            <v>2419.4</v>
          </cell>
          <cell r="AW583">
            <v>2942</v>
          </cell>
          <cell r="AX583">
            <v>2942</v>
          </cell>
          <cell r="AY583">
            <v>2942</v>
          </cell>
          <cell r="AZ583">
            <v>2942</v>
          </cell>
          <cell r="BA583">
            <v>2942</v>
          </cell>
          <cell r="BK583">
            <v>5040</v>
          </cell>
          <cell r="BL583">
            <v>-2620.6</v>
          </cell>
        </row>
        <row r="584">
          <cell r="A584" t="str">
            <v>Babylon at Fisherman's Wharf (SJM)</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78.260869565217391</v>
          </cell>
          <cell r="AQ584">
            <v>19.565217391304348</v>
          </cell>
          <cell r="AR584">
            <v>915.6</v>
          </cell>
          <cell r="AS584">
            <v>915.6</v>
          </cell>
          <cell r="AT584">
            <v>915.6</v>
          </cell>
          <cell r="AU584">
            <v>1135.5999999999999</v>
          </cell>
          <cell r="AV584">
            <v>970.6</v>
          </cell>
          <cell r="AW584">
            <v>1169.5</v>
          </cell>
          <cell r="AX584">
            <v>1169.5</v>
          </cell>
          <cell r="AY584">
            <v>1169.5</v>
          </cell>
          <cell r="AZ584">
            <v>1169.5</v>
          </cell>
          <cell r="BA584">
            <v>1169.5</v>
          </cell>
          <cell r="BK584">
            <v>540</v>
          </cell>
          <cell r="BL584">
            <v>430.6</v>
          </cell>
        </row>
        <row r="585">
          <cell r="A585" t="str">
            <v>TigerSlot at Macau Tower (SJM)</v>
          </cell>
          <cell r="AH585">
            <v>0</v>
          </cell>
          <cell r="AI585">
            <v>0</v>
          </cell>
          <cell r="AJ585">
            <v>0</v>
          </cell>
          <cell r="AK585">
            <v>0</v>
          </cell>
          <cell r="AL585">
            <v>0</v>
          </cell>
          <cell r="AM585">
            <v>0</v>
          </cell>
          <cell r="AN585">
            <v>0</v>
          </cell>
          <cell r="AO585">
            <v>0</v>
          </cell>
          <cell r="AP585">
            <v>0</v>
          </cell>
          <cell r="AQ585">
            <v>0</v>
          </cell>
          <cell r="AR585">
            <v>202</v>
          </cell>
          <cell r="AS585">
            <v>202</v>
          </cell>
          <cell r="AT585">
            <v>202</v>
          </cell>
          <cell r="AU585">
            <v>202</v>
          </cell>
          <cell r="AV585">
            <v>202</v>
          </cell>
          <cell r="AW585">
            <v>202</v>
          </cell>
          <cell r="AX585">
            <v>202</v>
          </cell>
          <cell r="AY585">
            <v>202</v>
          </cell>
          <cell r="AZ585">
            <v>202</v>
          </cell>
          <cell r="BA585">
            <v>202</v>
          </cell>
        </row>
        <row r="586">
          <cell r="A586" t="str">
            <v>Yat Yuen (Dog racing area) (SJM)</v>
          </cell>
          <cell r="AH586">
            <v>0</v>
          </cell>
          <cell r="AI586">
            <v>0</v>
          </cell>
          <cell r="AJ586">
            <v>0</v>
          </cell>
          <cell r="AK586">
            <v>0</v>
          </cell>
          <cell r="AL586">
            <v>0</v>
          </cell>
          <cell r="AM586">
            <v>0</v>
          </cell>
          <cell r="AN586">
            <v>0</v>
          </cell>
          <cell r="AO586">
            <v>0</v>
          </cell>
          <cell r="AP586">
            <v>0</v>
          </cell>
          <cell r="AQ586">
            <v>0</v>
          </cell>
          <cell r="AR586">
            <v>97</v>
          </cell>
          <cell r="AS586">
            <v>97</v>
          </cell>
          <cell r="AT586">
            <v>97</v>
          </cell>
          <cell r="AU586">
            <v>97</v>
          </cell>
          <cell r="AV586">
            <v>97</v>
          </cell>
          <cell r="AW586">
            <v>97</v>
          </cell>
          <cell r="AX586">
            <v>97</v>
          </cell>
          <cell r="AY586">
            <v>97</v>
          </cell>
          <cell r="AZ586">
            <v>97</v>
          </cell>
          <cell r="BA586">
            <v>97</v>
          </cell>
        </row>
        <row r="587">
          <cell r="A587" t="str">
            <v>Treasure Hunt at ZAPE (SJM)</v>
          </cell>
          <cell r="AH587">
            <v>0</v>
          </cell>
          <cell r="AI587">
            <v>0</v>
          </cell>
          <cell r="AJ587">
            <v>0</v>
          </cell>
          <cell r="AK587">
            <v>0</v>
          </cell>
          <cell r="AL587">
            <v>0</v>
          </cell>
          <cell r="AM587">
            <v>0</v>
          </cell>
          <cell r="AN587">
            <v>0</v>
          </cell>
          <cell r="AO587">
            <v>0</v>
          </cell>
          <cell r="AP587">
            <v>0</v>
          </cell>
          <cell r="AQ587">
            <v>0</v>
          </cell>
          <cell r="AR587">
            <v>114</v>
          </cell>
          <cell r="AS587">
            <v>114</v>
          </cell>
          <cell r="AT587">
            <v>114</v>
          </cell>
          <cell r="AU587">
            <v>114</v>
          </cell>
          <cell r="AV587">
            <v>114</v>
          </cell>
          <cell r="AW587">
            <v>114</v>
          </cell>
          <cell r="AX587">
            <v>114</v>
          </cell>
          <cell r="AY587">
            <v>114</v>
          </cell>
          <cell r="AZ587">
            <v>114</v>
          </cell>
          <cell r="BA587">
            <v>114</v>
          </cell>
        </row>
        <row r="588">
          <cell r="A588" t="str">
            <v>Arc de Triomphe (SJM)</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1100</v>
          </cell>
          <cell r="AX588">
            <v>1100</v>
          </cell>
          <cell r="AY588">
            <v>1100</v>
          </cell>
          <cell r="AZ588">
            <v>1100</v>
          </cell>
          <cell r="BA588">
            <v>1100</v>
          </cell>
          <cell r="BK588">
            <v>0</v>
          </cell>
          <cell r="BL588">
            <v>0</v>
          </cell>
        </row>
        <row r="589">
          <cell r="A589" t="str">
            <v>Oceanus (SJM)</v>
          </cell>
          <cell r="B589">
            <v>0</v>
          </cell>
          <cell r="C589">
            <v>0</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6500</v>
          </cell>
          <cell r="AY589">
            <v>6500</v>
          </cell>
          <cell r="AZ589">
            <v>6500</v>
          </cell>
          <cell r="BA589">
            <v>6500</v>
          </cell>
          <cell r="BK589">
            <v>0</v>
          </cell>
          <cell r="BL589">
            <v>0</v>
          </cell>
        </row>
        <row r="590">
          <cell r="A590" t="str">
            <v>Shun Tak Nam Van (SJM)</v>
          </cell>
          <cell r="B590">
            <v>0</v>
          </cell>
          <cell r="C590">
            <v>0</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1950</v>
          </cell>
          <cell r="AZ590">
            <v>1950</v>
          </cell>
          <cell r="BA590">
            <v>1950</v>
          </cell>
          <cell r="BK590">
            <v>0</v>
          </cell>
          <cell r="BL590">
            <v>0</v>
          </cell>
        </row>
        <row r="591">
          <cell r="A591" t="str">
            <v>Shun Tak Cotai (SJM)</v>
          </cell>
          <cell r="B591">
            <v>0</v>
          </cell>
          <cell r="C591">
            <v>0</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6500</v>
          </cell>
          <cell r="BA591">
            <v>6500</v>
          </cell>
          <cell r="BK591">
            <v>0</v>
          </cell>
          <cell r="BL591">
            <v>0</v>
          </cell>
        </row>
        <row r="592">
          <cell r="A592" t="str">
            <v>Crown Macau (Melco/PBL)</v>
          </cell>
          <cell r="B592">
            <v>0</v>
          </cell>
          <cell r="C592">
            <v>0</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1599.9999999999998</v>
          </cell>
          <cell r="AT592">
            <v>2400</v>
          </cell>
          <cell r="AU592">
            <v>2400</v>
          </cell>
          <cell r="AV592">
            <v>1599.9999999999998</v>
          </cell>
          <cell r="AW592">
            <v>2450</v>
          </cell>
          <cell r="AX592">
            <v>2450</v>
          </cell>
          <cell r="AY592">
            <v>2450</v>
          </cell>
          <cell r="AZ592">
            <v>2450</v>
          </cell>
          <cell r="BA592">
            <v>2450</v>
          </cell>
          <cell r="BK592">
            <v>1200</v>
          </cell>
          <cell r="BL592">
            <v>399.99999999999977</v>
          </cell>
        </row>
        <row r="593">
          <cell r="A593" t="str">
            <v>Penninsula Project (Melco/PBL)</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1125</v>
          </cell>
          <cell r="AY593">
            <v>2250</v>
          </cell>
          <cell r="AZ593">
            <v>2250</v>
          </cell>
          <cell r="BA593">
            <v>2250</v>
          </cell>
          <cell r="BK593">
            <v>0</v>
          </cell>
          <cell r="BL593">
            <v>0</v>
          </cell>
        </row>
        <row r="594">
          <cell r="A594" t="str">
            <v>City of Dreams (Melco/PBL)</v>
          </cell>
          <cell r="B594">
            <v>0</v>
          </cell>
          <cell r="C594">
            <v>0</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5750</v>
          </cell>
          <cell r="AY594">
            <v>5750</v>
          </cell>
          <cell r="AZ594">
            <v>5750</v>
          </cell>
          <cell r="BA594">
            <v>5750</v>
          </cell>
          <cell r="BK594">
            <v>0</v>
          </cell>
          <cell r="BL594">
            <v>0</v>
          </cell>
        </row>
        <row r="595">
          <cell r="A595" t="str">
            <v>Galaxy Waldo Hotel and Casino (Galaxy)</v>
          </cell>
          <cell r="B595">
            <v>0</v>
          </cell>
          <cell r="C595">
            <v>0</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404.66666666666669</v>
          </cell>
          <cell r="AF595">
            <v>404.66666666666669</v>
          </cell>
          <cell r="AG595">
            <v>202.33333333333334</v>
          </cell>
          <cell r="AH595">
            <v>654.66666666666663</v>
          </cell>
          <cell r="AI595">
            <v>654.66666666666663</v>
          </cell>
          <cell r="AJ595">
            <v>654.66666666666663</v>
          </cell>
          <cell r="AK595">
            <v>655</v>
          </cell>
          <cell r="AL595">
            <v>654.75</v>
          </cell>
          <cell r="AM595">
            <v>655</v>
          </cell>
          <cell r="AN595">
            <v>655</v>
          </cell>
          <cell r="AO595">
            <v>655</v>
          </cell>
          <cell r="AP595">
            <v>655</v>
          </cell>
          <cell r="AQ595">
            <v>655</v>
          </cell>
          <cell r="AR595">
            <v>660</v>
          </cell>
          <cell r="AS595">
            <v>660</v>
          </cell>
          <cell r="AT595">
            <v>660</v>
          </cell>
          <cell r="AU595">
            <v>660</v>
          </cell>
          <cell r="AV595">
            <v>660</v>
          </cell>
          <cell r="AW595">
            <v>667.5</v>
          </cell>
          <cell r="AX595">
            <v>667.5</v>
          </cell>
          <cell r="AY595">
            <v>667.5</v>
          </cell>
          <cell r="AZ595">
            <v>667.5</v>
          </cell>
          <cell r="BA595">
            <v>667.5</v>
          </cell>
          <cell r="BK595">
            <v>660</v>
          </cell>
          <cell r="BL595">
            <v>0</v>
          </cell>
        </row>
        <row r="596">
          <cell r="A596" t="str">
            <v>Galaxy Rio Hotel City Club (Galaxy)</v>
          </cell>
          <cell r="B596">
            <v>0</v>
          </cell>
          <cell r="C596">
            <v>0</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475</v>
          </cell>
          <cell r="AN596">
            <v>950</v>
          </cell>
          <cell r="AO596">
            <v>950</v>
          </cell>
          <cell r="AP596">
            <v>950</v>
          </cell>
          <cell r="AQ596">
            <v>831.25</v>
          </cell>
          <cell r="AR596">
            <v>960</v>
          </cell>
          <cell r="AS596">
            <v>960</v>
          </cell>
          <cell r="AT596">
            <v>960</v>
          </cell>
          <cell r="AU596">
            <v>960</v>
          </cell>
          <cell r="AV596">
            <v>960</v>
          </cell>
          <cell r="AW596">
            <v>975</v>
          </cell>
          <cell r="AX596">
            <v>975</v>
          </cell>
          <cell r="AY596">
            <v>975</v>
          </cell>
          <cell r="AZ596">
            <v>975</v>
          </cell>
          <cell r="BA596">
            <v>975</v>
          </cell>
          <cell r="BK596">
            <v>960</v>
          </cell>
          <cell r="BL596">
            <v>0</v>
          </cell>
        </row>
        <row r="597">
          <cell r="A597" t="str">
            <v>Hotel Presidente Casino (Galaxy)</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500</v>
          </cell>
          <cell r="AO597">
            <v>750</v>
          </cell>
          <cell r="AP597">
            <v>750</v>
          </cell>
          <cell r="AQ597">
            <v>500</v>
          </cell>
          <cell r="AR597">
            <v>750</v>
          </cell>
          <cell r="AS597">
            <v>750</v>
          </cell>
          <cell r="AT597">
            <v>750</v>
          </cell>
          <cell r="AU597">
            <v>750</v>
          </cell>
          <cell r="AV597">
            <v>750</v>
          </cell>
          <cell r="AW597">
            <v>750</v>
          </cell>
          <cell r="AX597">
            <v>750</v>
          </cell>
          <cell r="AY597">
            <v>750</v>
          </cell>
          <cell r="AZ597">
            <v>750</v>
          </cell>
          <cell r="BA597">
            <v>750</v>
          </cell>
          <cell r="BK597">
            <v>750</v>
          </cell>
          <cell r="BL597">
            <v>0</v>
          </cell>
        </row>
        <row r="598">
          <cell r="A598" t="str">
            <v>Galaxy Grand Waldo (Galaxy)</v>
          </cell>
          <cell r="B598">
            <v>0</v>
          </cell>
          <cell r="C598">
            <v>0</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895.66666666666663</v>
          </cell>
          <cell r="AO598">
            <v>1791.3333333333333</v>
          </cell>
          <cell r="AP598">
            <v>1791.3333333333333</v>
          </cell>
          <cell r="AQ598">
            <v>1119.5833333333333</v>
          </cell>
          <cell r="AR598">
            <v>1813.6</v>
          </cell>
          <cell r="AS598">
            <v>1813.6</v>
          </cell>
          <cell r="AT598">
            <v>1813.6</v>
          </cell>
          <cell r="AU598">
            <v>1813.6</v>
          </cell>
          <cell r="AV598">
            <v>1813.6</v>
          </cell>
          <cell r="AW598">
            <v>1847</v>
          </cell>
          <cell r="AX598">
            <v>1847</v>
          </cell>
          <cell r="AY598">
            <v>1847</v>
          </cell>
          <cell r="AZ598">
            <v>1847</v>
          </cell>
          <cell r="BA598">
            <v>1847</v>
          </cell>
          <cell r="BK598">
            <v>1813.6</v>
          </cell>
          <cell r="BL598">
            <v>0</v>
          </cell>
        </row>
        <row r="599">
          <cell r="A599" t="str">
            <v>Galaxy StarWorld (Galaxy)</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1447.0169082125606</v>
          </cell>
          <cell r="AQ599">
            <v>361.75422705314014</v>
          </cell>
          <cell r="AR599">
            <v>2250</v>
          </cell>
          <cell r="AS599">
            <v>3030</v>
          </cell>
          <cell r="AT599">
            <v>3030</v>
          </cell>
          <cell r="AU599">
            <v>3030</v>
          </cell>
          <cell r="AV599">
            <v>2835</v>
          </cell>
          <cell r="AW599">
            <v>3065</v>
          </cell>
          <cell r="AX599">
            <v>3065</v>
          </cell>
          <cell r="AY599">
            <v>3065</v>
          </cell>
          <cell r="AZ599">
            <v>3065</v>
          </cell>
          <cell r="BA599">
            <v>3065</v>
          </cell>
          <cell r="BK599">
            <v>3048.4</v>
          </cell>
          <cell r="BL599">
            <v>-213.40000000000009</v>
          </cell>
        </row>
        <row r="600">
          <cell r="A600" t="str">
            <v>Galaxy Cotai Mega Resort (Galaxy)</v>
          </cell>
          <cell r="B600">
            <v>0</v>
          </cell>
          <cell r="C600">
            <v>0</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2500</v>
          </cell>
          <cell r="AX600">
            <v>5000</v>
          </cell>
          <cell r="AY600">
            <v>5000</v>
          </cell>
          <cell r="AZ600">
            <v>5000</v>
          </cell>
          <cell r="BA600">
            <v>5000</v>
          </cell>
          <cell r="BK600">
            <v>0</v>
          </cell>
          <cell r="BL600">
            <v>0</v>
          </cell>
        </row>
        <row r="601">
          <cell r="A601" t="str">
            <v>Sands Macao (LVS)</v>
          </cell>
          <cell r="B601">
            <v>0</v>
          </cell>
          <cell r="C601">
            <v>0</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1176.7509157509155</v>
          </cell>
          <cell r="AE601">
            <v>2983</v>
          </cell>
          <cell r="AF601">
            <v>3222</v>
          </cell>
          <cell r="AG601">
            <v>1845.4377289377287</v>
          </cell>
          <cell r="AH601">
            <v>3614.6666666666665</v>
          </cell>
          <cell r="AI601">
            <v>3834</v>
          </cell>
          <cell r="AJ601">
            <v>3887.3333333333335</v>
          </cell>
          <cell r="AK601">
            <v>4159.333333333333</v>
          </cell>
          <cell r="AL601">
            <v>3873.8333333333335</v>
          </cell>
          <cell r="AM601">
            <v>4642.333333333333</v>
          </cell>
          <cell r="AN601">
            <v>4838.333333333333</v>
          </cell>
          <cell r="AO601">
            <v>6121.333333333333</v>
          </cell>
          <cell r="AP601">
            <v>8131</v>
          </cell>
          <cell r="AQ601">
            <v>5933.25</v>
          </cell>
          <cell r="AR601">
            <v>8213.2000000000007</v>
          </cell>
          <cell r="AS601">
            <v>8213.2000000000007</v>
          </cell>
          <cell r="AT601">
            <v>8213.2000000000007</v>
          </cell>
          <cell r="AU601">
            <v>8213.2000000000007</v>
          </cell>
          <cell r="AV601">
            <v>8213.2000000000007</v>
          </cell>
          <cell r="AW601">
            <v>8336.5</v>
          </cell>
          <cell r="AX601">
            <v>8336.5</v>
          </cell>
          <cell r="AY601">
            <v>8336.5</v>
          </cell>
          <cell r="AZ601">
            <v>8336.5</v>
          </cell>
          <cell r="BA601">
            <v>8336.5</v>
          </cell>
          <cell r="BK601">
            <v>7901.6</v>
          </cell>
          <cell r="BL601">
            <v>311.60000000000036</v>
          </cell>
        </row>
        <row r="602">
          <cell r="A602" t="str">
            <v>Venetian Macao (LVS)</v>
          </cell>
          <cell r="B602">
            <v>0</v>
          </cell>
          <cell r="C602">
            <v>0</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9140</v>
          </cell>
          <cell r="AU602">
            <v>9140</v>
          </cell>
          <cell r="AV602">
            <v>4570</v>
          </cell>
          <cell r="AW602">
            <v>10550</v>
          </cell>
          <cell r="AX602">
            <v>10550</v>
          </cell>
          <cell r="AY602">
            <v>10550</v>
          </cell>
          <cell r="AZ602">
            <v>15000</v>
          </cell>
          <cell r="BA602">
            <v>15000</v>
          </cell>
          <cell r="BK602">
            <v>4550</v>
          </cell>
          <cell r="BL602">
            <v>20</v>
          </cell>
        </row>
        <row r="603">
          <cell r="A603" t="str">
            <v>Cotai Site 2 - Four Seasons (LVS)</v>
          </cell>
          <cell r="B603">
            <v>0</v>
          </cell>
          <cell r="C603">
            <v>0</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1500</v>
          </cell>
          <cell r="AX603">
            <v>1500</v>
          </cell>
          <cell r="AY603">
            <v>1500</v>
          </cell>
          <cell r="AZ603">
            <v>1500</v>
          </cell>
          <cell r="BA603">
            <v>1500</v>
          </cell>
          <cell r="BK603">
            <v>0</v>
          </cell>
          <cell r="BL603">
            <v>0</v>
          </cell>
        </row>
        <row r="604">
          <cell r="A604" t="str">
            <v>Cotai Site 3 - Far East (LVS)</v>
          </cell>
          <cell r="B604">
            <v>0</v>
          </cell>
          <cell r="C604">
            <v>0</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2062.5</v>
          </cell>
          <cell r="AY604">
            <v>4125</v>
          </cell>
          <cell r="AZ604">
            <v>4125</v>
          </cell>
          <cell r="BA604">
            <v>4125</v>
          </cell>
          <cell r="BK604">
            <v>0</v>
          </cell>
          <cell r="BL604">
            <v>0</v>
          </cell>
        </row>
        <row r="605">
          <cell r="A605" t="str">
            <v>Cotai Site 5 - Shangri-La/St.Regis/Traders (LVS)</v>
          </cell>
          <cell r="B605">
            <v>0</v>
          </cell>
          <cell r="C605">
            <v>0</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2062.5</v>
          </cell>
          <cell r="AX605">
            <v>4125</v>
          </cell>
          <cell r="AY605">
            <v>4125</v>
          </cell>
          <cell r="AZ605">
            <v>4125</v>
          </cell>
          <cell r="BA605">
            <v>4125</v>
          </cell>
          <cell r="BK605">
            <v>0</v>
          </cell>
          <cell r="BL605">
            <v>0</v>
          </cell>
        </row>
        <row r="606">
          <cell r="A606" t="str">
            <v>Cotai Site 6 - Starwood (LVS)</v>
          </cell>
          <cell r="B606">
            <v>0</v>
          </cell>
          <cell r="C606">
            <v>0</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2062.5</v>
          </cell>
          <cell r="AX606">
            <v>4125</v>
          </cell>
          <cell r="AY606">
            <v>4125</v>
          </cell>
          <cell r="AZ606">
            <v>4125</v>
          </cell>
          <cell r="BA606">
            <v>4125</v>
          </cell>
          <cell r="BK606">
            <v>0</v>
          </cell>
          <cell r="BL606">
            <v>0</v>
          </cell>
        </row>
        <row r="607">
          <cell r="A607" t="str">
            <v>Cotai Site 7 - Hilton (LVS)</v>
          </cell>
          <cell r="B607">
            <v>0</v>
          </cell>
          <cell r="C607">
            <v>0</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2062.5</v>
          </cell>
          <cell r="AY607">
            <v>4125</v>
          </cell>
          <cell r="AZ607">
            <v>4125</v>
          </cell>
          <cell r="BA607">
            <v>4125</v>
          </cell>
          <cell r="BK607">
            <v>0</v>
          </cell>
          <cell r="BL607">
            <v>0</v>
          </cell>
        </row>
        <row r="608">
          <cell r="A608" t="str">
            <v>Cotai Site 8 - FHR/Raffles (LVS)</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2062.5</v>
          </cell>
          <cell r="AY608">
            <v>4125</v>
          </cell>
          <cell r="AZ608">
            <v>4125</v>
          </cell>
          <cell r="BA608">
            <v>4125</v>
          </cell>
          <cell r="BK608">
            <v>0</v>
          </cell>
          <cell r="BL608">
            <v>0</v>
          </cell>
        </row>
        <row r="609">
          <cell r="A609" t="str">
            <v>Wynn Macau (WYNN)</v>
          </cell>
          <cell r="B609">
            <v>0</v>
          </cell>
          <cell r="C609">
            <v>0</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604.61956521739137</v>
          </cell>
          <cell r="AP609">
            <v>2362</v>
          </cell>
          <cell r="AQ609">
            <v>741.65489130434798</v>
          </cell>
          <cell r="AR609">
            <v>2689.6</v>
          </cell>
          <cell r="AS609">
            <v>3392.8</v>
          </cell>
          <cell r="AT609">
            <v>4712</v>
          </cell>
          <cell r="AU609">
            <v>4712</v>
          </cell>
          <cell r="AV609">
            <v>3876.6</v>
          </cell>
          <cell r="AW609">
            <v>4840</v>
          </cell>
          <cell r="AX609">
            <v>5140</v>
          </cell>
          <cell r="AY609">
            <v>5140</v>
          </cell>
          <cell r="AZ609">
            <v>5140</v>
          </cell>
          <cell r="BA609">
            <v>5140</v>
          </cell>
          <cell r="BK609">
            <v>3427</v>
          </cell>
          <cell r="BL609">
            <v>449.59999999999991</v>
          </cell>
        </row>
        <row r="610">
          <cell r="A610" t="str">
            <v>Wynn Cotai (WYNN)</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6750</v>
          </cell>
          <cell r="AZ610">
            <v>6750</v>
          </cell>
          <cell r="BA610">
            <v>6750</v>
          </cell>
          <cell r="BK610">
            <v>0</v>
          </cell>
          <cell r="BL610">
            <v>0</v>
          </cell>
        </row>
        <row r="611">
          <cell r="A611" t="str">
            <v>Wynn Cotai #2 (WYNN)</v>
          </cell>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6750</v>
          </cell>
          <cell r="AZ611">
            <v>6750</v>
          </cell>
          <cell r="BA611">
            <v>6750</v>
          </cell>
          <cell r="BK611">
            <v>0</v>
          </cell>
          <cell r="BL611">
            <v>0</v>
          </cell>
        </row>
        <row r="612">
          <cell r="A612" t="str">
            <v>MGM Grand (MGM)</v>
          </cell>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3884.8</v>
          </cell>
          <cell r="AV612">
            <v>971.2</v>
          </cell>
          <cell r="AW612">
            <v>3988.5</v>
          </cell>
          <cell r="AX612">
            <v>3988.5</v>
          </cell>
          <cell r="AY612">
            <v>3988.5</v>
          </cell>
          <cell r="AZ612">
            <v>3988.5</v>
          </cell>
          <cell r="BA612">
            <v>3988.5</v>
          </cell>
          <cell r="BK612">
            <v>0</v>
          </cell>
          <cell r="BL612">
            <v>971.2</v>
          </cell>
        </row>
        <row r="613">
          <cell r="A613" t="str">
            <v>MGM Cotai #1 (MGM)</v>
          </cell>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6500</v>
          </cell>
          <cell r="BA613">
            <v>6500</v>
          </cell>
          <cell r="BK613">
            <v>0</v>
          </cell>
          <cell r="BL613">
            <v>0</v>
          </cell>
        </row>
        <row r="614">
          <cell r="A614" t="str">
            <v>Mocha Slot Lounges (Melco)</v>
          </cell>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21.666666666666664</v>
          </cell>
          <cell r="AB614">
            <v>5.4166666666666661</v>
          </cell>
          <cell r="AC614">
            <v>21.666666666666664</v>
          </cell>
          <cell r="AD614">
            <v>69.666666666666657</v>
          </cell>
          <cell r="AE614">
            <v>167.66666666666666</v>
          </cell>
          <cell r="AF614">
            <v>167.66666666666666</v>
          </cell>
          <cell r="AG614">
            <v>106.66666666666666</v>
          </cell>
          <cell r="AH614">
            <v>167.66666666666666</v>
          </cell>
          <cell r="AI614">
            <v>215.66666666666666</v>
          </cell>
          <cell r="AJ614">
            <v>226.33333333333331</v>
          </cell>
          <cell r="AK614">
            <v>269.66666666666663</v>
          </cell>
          <cell r="AL614">
            <v>219.83333333333331</v>
          </cell>
          <cell r="AM614">
            <v>312.33333333333331</v>
          </cell>
          <cell r="AN614">
            <v>312.33333333333331</v>
          </cell>
          <cell r="AO614">
            <v>312.33333333333331</v>
          </cell>
          <cell r="AP614">
            <v>312.33333333333331</v>
          </cell>
          <cell r="AQ614">
            <v>312.33333333333331</v>
          </cell>
          <cell r="AR614">
            <v>454.8</v>
          </cell>
          <cell r="AS614">
            <v>454.8</v>
          </cell>
          <cell r="AT614">
            <v>534.80000000000007</v>
          </cell>
          <cell r="AU614">
            <v>614.80000000000007</v>
          </cell>
          <cell r="AV614">
            <v>514.80000000000007</v>
          </cell>
          <cell r="AW614">
            <v>993.5</v>
          </cell>
          <cell r="AX614">
            <v>1068.5</v>
          </cell>
          <cell r="AY614">
            <v>1368.5</v>
          </cell>
          <cell r="AZ614">
            <v>1668.5</v>
          </cell>
          <cell r="BA614">
            <v>1968.5</v>
          </cell>
          <cell r="BK614">
            <v>0</v>
          </cell>
          <cell r="BL614">
            <v>514.80000000000007</v>
          </cell>
        </row>
        <row r="615">
          <cell r="A615" t="str">
            <v>Macau Studio City (eSun)</v>
          </cell>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4500</v>
          </cell>
          <cell r="AY615">
            <v>4500</v>
          </cell>
          <cell r="AZ615">
            <v>7300</v>
          </cell>
          <cell r="BA615">
            <v>7300</v>
          </cell>
          <cell r="BK615">
            <v>0</v>
          </cell>
          <cell r="BL615">
            <v>0</v>
          </cell>
        </row>
        <row r="616">
          <cell r="A616" t="str">
            <v>Adjustment</v>
          </cell>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300</v>
          </cell>
          <cell r="AE616">
            <v>-1500</v>
          </cell>
          <cell r="AF616">
            <v>1018.3333333333331</v>
          </cell>
          <cell r="AG616">
            <v>-45.416666666666728</v>
          </cell>
          <cell r="AH616">
            <v>-245.77777777777754</v>
          </cell>
          <cell r="AI616">
            <v>-0.83333333333182225</v>
          </cell>
          <cell r="AJ616">
            <v>-297.33333333333337</v>
          </cell>
          <cell r="AK616">
            <v>118.5</v>
          </cell>
          <cell r="AL616">
            <v>-106.36111111111067</v>
          </cell>
          <cell r="AM616">
            <v>117.5</v>
          </cell>
          <cell r="AN616">
            <v>-276</v>
          </cell>
          <cell r="AO616">
            <v>-227.28623188405953</v>
          </cell>
          <cell r="AP616">
            <v>-766.40579710144937</v>
          </cell>
          <cell r="AQ616">
            <v>-288.04800724637721</v>
          </cell>
          <cell r="AR616">
            <v>-719.68695652173915</v>
          </cell>
          <cell r="AS616">
            <v>-719.68695652173915</v>
          </cell>
          <cell r="AT616">
            <v>-719.68695652173915</v>
          </cell>
          <cell r="AU616">
            <v>-719.68695652173915</v>
          </cell>
          <cell r="AV616">
            <v>-719.68695652173915</v>
          </cell>
          <cell r="AW616">
            <v>-649.60869565217399</v>
          </cell>
          <cell r="AX616">
            <v>-649.60869565217399</v>
          </cell>
          <cell r="AY616">
            <v>-649.60869565217399</v>
          </cell>
          <cell r="AZ616">
            <v>-649.60869565217399</v>
          </cell>
          <cell r="BA616">
            <v>-649.60869565217399</v>
          </cell>
          <cell r="BK616">
            <v>-503.55652173913205</v>
          </cell>
          <cell r="BL616">
            <v>-216.1304347826071</v>
          </cell>
        </row>
        <row r="617">
          <cell r="B617" t="str">
            <v>______</v>
          </cell>
          <cell r="C617" t="str">
            <v>______</v>
          </cell>
          <cell r="D617" t="str">
            <v>______</v>
          </cell>
          <cell r="E617" t="str">
            <v>______</v>
          </cell>
          <cell r="F617" t="str">
            <v>______</v>
          </cell>
          <cell r="G617" t="str">
            <v>______</v>
          </cell>
          <cell r="H617" t="str">
            <v>______</v>
          </cell>
          <cell r="I617" t="str">
            <v>______</v>
          </cell>
          <cell r="J617" t="str">
            <v>______</v>
          </cell>
          <cell r="K617" t="str">
            <v>______</v>
          </cell>
          <cell r="L617" t="str">
            <v>______</v>
          </cell>
          <cell r="M617" t="str">
            <v>______</v>
          </cell>
          <cell r="N617" t="str">
            <v>______</v>
          </cell>
          <cell r="O617" t="str">
            <v>______</v>
          </cell>
          <cell r="P617" t="str">
            <v>______</v>
          </cell>
          <cell r="Q617" t="str">
            <v>______</v>
          </cell>
          <cell r="R617" t="str">
            <v>______</v>
          </cell>
          <cell r="S617" t="str">
            <v>______</v>
          </cell>
          <cell r="T617" t="str">
            <v>______</v>
          </cell>
          <cell r="U617" t="str">
            <v>______</v>
          </cell>
          <cell r="V617" t="str">
            <v>______</v>
          </cell>
          <cell r="W617" t="str">
            <v>______</v>
          </cell>
          <cell r="X617" t="str">
            <v>______</v>
          </cell>
          <cell r="Y617" t="str">
            <v>______</v>
          </cell>
          <cell r="Z617" t="str">
            <v>______</v>
          </cell>
          <cell r="AA617" t="str">
            <v>______</v>
          </cell>
          <cell r="AB617" t="str">
            <v>______</v>
          </cell>
          <cell r="AC617" t="str">
            <v>______</v>
          </cell>
          <cell r="AD617" t="str">
            <v>______</v>
          </cell>
          <cell r="AE617" t="str">
            <v>______</v>
          </cell>
          <cell r="AF617" t="str">
            <v>______</v>
          </cell>
          <cell r="AG617" t="str">
            <v>______</v>
          </cell>
          <cell r="AH617" t="str">
            <v>______</v>
          </cell>
          <cell r="AI617" t="str">
            <v>______</v>
          </cell>
          <cell r="AJ617" t="str">
            <v>______</v>
          </cell>
          <cell r="AK617" t="str">
            <v>______</v>
          </cell>
          <cell r="AL617" t="str">
            <v>______</v>
          </cell>
          <cell r="AM617" t="str">
            <v>______</v>
          </cell>
          <cell r="AN617" t="str">
            <v>______</v>
          </cell>
          <cell r="AO617" t="str">
            <v>______</v>
          </cell>
          <cell r="AP617" t="str">
            <v>______</v>
          </cell>
          <cell r="AQ617" t="str">
            <v>______</v>
          </cell>
          <cell r="AR617" t="str">
            <v>______</v>
          </cell>
          <cell r="AS617" t="str">
            <v>______</v>
          </cell>
          <cell r="AT617" t="str">
            <v>______</v>
          </cell>
          <cell r="AU617" t="str">
            <v>______</v>
          </cell>
          <cell r="AV617" t="str">
            <v>______</v>
          </cell>
          <cell r="AW617" t="str">
            <v>______</v>
          </cell>
          <cell r="AX617" t="str">
            <v>______</v>
          </cell>
          <cell r="AY617" t="str">
            <v>______</v>
          </cell>
          <cell r="AZ617" t="str">
            <v>______</v>
          </cell>
          <cell r="BA617" t="str">
            <v>______</v>
          </cell>
          <cell r="BK617" t="str">
            <v>______</v>
          </cell>
          <cell r="BL617" t="e">
            <v>#VALUE!</v>
          </cell>
        </row>
        <row r="618">
          <cell r="A618" t="str">
            <v>Total Average Positions</v>
          </cell>
          <cell r="B618">
            <v>3643.333333333333</v>
          </cell>
          <cell r="C618">
            <v>3643.333333333333</v>
          </cell>
          <cell r="D618">
            <v>3643.333333333333</v>
          </cell>
          <cell r="E618">
            <v>3643.333333333333</v>
          </cell>
          <cell r="F618">
            <v>3643.333333333333</v>
          </cell>
          <cell r="G618">
            <v>3643.333333333333</v>
          </cell>
          <cell r="H618">
            <v>3643.333333333333</v>
          </cell>
          <cell r="I618">
            <v>3643.333333333333</v>
          </cell>
          <cell r="J618">
            <v>3643.333333333333</v>
          </cell>
          <cell r="K618">
            <v>3643.333333333333</v>
          </cell>
          <cell r="L618">
            <v>3643.333333333333</v>
          </cell>
          <cell r="M618">
            <v>3643.333333333333</v>
          </cell>
          <cell r="N618">
            <v>3643.333333333333</v>
          </cell>
          <cell r="O618">
            <v>3643.333333333333</v>
          </cell>
          <cell r="P618">
            <v>3643.333333333333</v>
          </cell>
          <cell r="Q618">
            <v>3643.333333333333</v>
          </cell>
          <cell r="R618">
            <v>3643.333333333333</v>
          </cell>
          <cell r="S618">
            <v>3643.333333333333</v>
          </cell>
          <cell r="T618">
            <v>3643.333333333333</v>
          </cell>
          <cell r="U618">
            <v>3643.333333333333</v>
          </cell>
          <cell r="V618">
            <v>3643.333333333333</v>
          </cell>
          <cell r="W618">
            <v>3643.333333333333</v>
          </cell>
          <cell r="X618">
            <v>4679.333333333333</v>
          </cell>
          <cell r="Y618">
            <v>4679.333333333333</v>
          </cell>
          <cell r="Z618">
            <v>4679.333333333333</v>
          </cell>
          <cell r="AA618">
            <v>4701</v>
          </cell>
          <cell r="AB618">
            <v>4684.75</v>
          </cell>
          <cell r="AC618">
            <v>4701</v>
          </cell>
          <cell r="AD618">
            <v>6225.7509157509157</v>
          </cell>
          <cell r="AE618">
            <v>7475.6666666666661</v>
          </cell>
          <cell r="AF618">
            <v>10084.304347826088</v>
          </cell>
          <cell r="AG618">
            <v>7121.6804825609161</v>
          </cell>
          <cell r="AH618">
            <v>12497</v>
          </cell>
          <cell r="AI618">
            <v>13279.833333333334</v>
          </cell>
          <cell r="AJ618">
            <v>13680.666666666668</v>
          </cell>
          <cell r="AK618">
            <v>14503.833333333334</v>
          </cell>
          <cell r="AL618">
            <v>13490.333333333334</v>
          </cell>
          <cell r="AM618">
            <v>16939.499999999996</v>
          </cell>
          <cell r="AN618">
            <v>20359.333333333328</v>
          </cell>
          <cell r="AO618">
            <v>23441.333333333328</v>
          </cell>
          <cell r="AP618">
            <v>28194.538647342993</v>
          </cell>
          <cell r="AQ618">
            <v>22233.676328502414</v>
          </cell>
          <cell r="AR618">
            <v>31805.313043478258</v>
          </cell>
          <cell r="AS618">
            <v>36425.313043478258</v>
          </cell>
          <cell r="AT618">
            <v>49924.513043478255</v>
          </cell>
          <cell r="AU618">
            <v>54109.313043478258</v>
          </cell>
          <cell r="AV618">
            <v>43066.113043478254</v>
          </cell>
          <cell r="AW618">
            <v>64954.391304347824</v>
          </cell>
          <cell r="AX618">
            <v>96016.891304347824</v>
          </cell>
          <cell r="AY618">
            <v>119079.39130434782</v>
          </cell>
          <cell r="AZ618">
            <v>139629.39130434784</v>
          </cell>
          <cell r="BA618">
            <v>139929.39130434784</v>
          </cell>
          <cell r="BK618">
            <v>44799.843478260867</v>
          </cell>
          <cell r="BL618">
            <v>-1733.7304347826139</v>
          </cell>
        </row>
        <row r="619">
          <cell r="A619" t="str">
            <v xml:space="preserve">  Growth</v>
          </cell>
          <cell r="AC619">
            <v>4.6302892149878705E-3</v>
          </cell>
          <cell r="AD619">
            <v>0.33047818401857443</v>
          </cell>
          <cell r="AE619">
            <v>0.59759224960820623</v>
          </cell>
          <cell r="AF619">
            <v>1.1451402569296083</v>
          </cell>
          <cell r="AG619">
            <v>0.52018367737038607</v>
          </cell>
          <cell r="AH619">
            <v>1.658370559455435</v>
          </cell>
          <cell r="AI619">
            <v>1.1330492518960011</v>
          </cell>
          <cell r="AJ619">
            <v>0.8300263075756904</v>
          </cell>
          <cell r="AK619">
            <v>0.43825819144976319</v>
          </cell>
          <cell r="AL619">
            <v>0.89426264859362048</v>
          </cell>
          <cell r="AM619">
            <v>0.35548531647595394</v>
          </cell>
          <cell r="AN619">
            <v>0.5331015700498245</v>
          </cell>
          <cell r="AO619">
            <v>0.71346425612786857</v>
          </cell>
          <cell r="AP619">
            <v>0.94393702680967051</v>
          </cell>
          <cell r="AQ619">
            <v>0.64811912197640864</v>
          </cell>
          <cell r="AR619">
            <v>0.87758275294301868</v>
          </cell>
          <cell r="AS619">
            <v>0.78912110957193748</v>
          </cell>
          <cell r="AT619">
            <v>1.1297642217512482</v>
          </cell>
          <cell r="AU619">
            <v>0.91914163662250337</v>
          </cell>
          <cell r="AV619">
            <v>0.93697670179131576</v>
          </cell>
          <cell r="AW619">
            <v>0.50824828882912709</v>
          </cell>
          <cell r="AX619">
            <v>0.47822016920233668</v>
          </cell>
          <cell r="AY619">
            <v>0.24019211293665044</v>
          </cell>
          <cell r="AZ619">
            <v>0.17257394226577394</v>
          </cell>
          <cell r="BA619">
            <v>2.1485447812781278E-3</v>
          </cell>
          <cell r="BK619">
            <v>0.94087187960905649</v>
          </cell>
          <cell r="BL619">
            <v>-3.8951778177407359E-3</v>
          </cell>
        </row>
        <row r="620">
          <cell r="BL620">
            <v>0</v>
          </cell>
        </row>
        <row r="621">
          <cell r="A621" t="str">
            <v>Mass Market Positions</v>
          </cell>
          <cell r="BL621">
            <v>0</v>
          </cell>
        </row>
        <row r="622">
          <cell r="A622" t="str">
            <v>Average Tables</v>
          </cell>
          <cell r="BL622">
            <v>0</v>
          </cell>
        </row>
        <row r="623">
          <cell r="A623" t="str">
            <v>Sands Macao</v>
          </cell>
          <cell r="X623">
            <v>0</v>
          </cell>
          <cell r="Y623">
            <v>0</v>
          </cell>
          <cell r="Z623">
            <v>0</v>
          </cell>
          <cell r="AA623">
            <v>0</v>
          </cell>
          <cell r="AB623">
            <v>0</v>
          </cell>
          <cell r="AC623">
            <v>0</v>
          </cell>
          <cell r="AD623">
            <v>113.87912087912088</v>
          </cell>
          <cell r="AE623">
            <v>258</v>
          </cell>
          <cell r="AF623">
            <v>258</v>
          </cell>
          <cell r="AG623">
            <v>157.4697802197802</v>
          </cell>
          <cell r="AH623">
            <v>288.5</v>
          </cell>
          <cell r="AI623">
            <v>303</v>
          </cell>
          <cell r="AJ623">
            <v>309</v>
          </cell>
          <cell r="AK623">
            <v>335</v>
          </cell>
          <cell r="AL623">
            <v>308.875</v>
          </cell>
          <cell r="AM623">
            <v>379</v>
          </cell>
          <cell r="AN623">
            <v>391</v>
          </cell>
          <cell r="AO623">
            <v>508</v>
          </cell>
          <cell r="AP623">
            <v>697</v>
          </cell>
          <cell r="AQ623">
            <v>493.75</v>
          </cell>
          <cell r="AR623">
            <v>697</v>
          </cell>
          <cell r="AS623">
            <v>697</v>
          </cell>
          <cell r="AT623">
            <v>697</v>
          </cell>
          <cell r="AU623">
            <v>697</v>
          </cell>
          <cell r="AV623">
            <v>697</v>
          </cell>
          <cell r="AW623">
            <v>697</v>
          </cell>
          <cell r="AX623">
            <v>697</v>
          </cell>
          <cell r="AY623">
            <v>697</v>
          </cell>
          <cell r="AZ623">
            <v>697</v>
          </cell>
          <cell r="BA623">
            <v>697</v>
          </cell>
          <cell r="BK623">
            <v>665</v>
          </cell>
          <cell r="BL623">
            <v>32</v>
          </cell>
        </row>
        <row r="624">
          <cell r="A624" t="str">
            <v>Venetian Macao</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625</v>
          </cell>
          <cell r="AU624">
            <v>625</v>
          </cell>
          <cell r="AV624">
            <v>312.5</v>
          </cell>
          <cell r="AW624">
            <v>725</v>
          </cell>
          <cell r="AX624">
            <v>725</v>
          </cell>
          <cell r="AY624">
            <v>725</v>
          </cell>
          <cell r="AZ624">
            <v>1000</v>
          </cell>
          <cell r="BA624">
            <v>1000</v>
          </cell>
          <cell r="BK624">
            <v>312.5</v>
          </cell>
          <cell r="BL624">
            <v>0</v>
          </cell>
        </row>
        <row r="625">
          <cell r="A625" t="str">
            <v>Cotai Site 2 - Four Seasons (LVS)</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115</v>
          </cell>
          <cell r="AX625">
            <v>115</v>
          </cell>
          <cell r="AY625">
            <v>115</v>
          </cell>
          <cell r="AZ625">
            <v>115</v>
          </cell>
          <cell r="BA625">
            <v>115</v>
          </cell>
          <cell r="BK625">
            <v>0</v>
          </cell>
          <cell r="BL625">
            <v>0</v>
          </cell>
        </row>
        <row r="626">
          <cell r="A626" t="str">
            <v>Cotai Site 3 - Far East (LVS)</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142.5</v>
          </cell>
          <cell r="AY626">
            <v>285</v>
          </cell>
          <cell r="AZ626">
            <v>285</v>
          </cell>
          <cell r="BA626">
            <v>285</v>
          </cell>
          <cell r="BK626">
            <v>0</v>
          </cell>
          <cell r="BL626">
            <v>0</v>
          </cell>
        </row>
        <row r="627">
          <cell r="A627" t="str">
            <v>Cotai Site 5 - Shangri-La/St.Regis/Traders (LVS)</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143.75</v>
          </cell>
          <cell r="AX627">
            <v>287.5</v>
          </cell>
          <cell r="AY627">
            <v>250</v>
          </cell>
          <cell r="AZ627">
            <v>250</v>
          </cell>
          <cell r="BA627">
            <v>250</v>
          </cell>
          <cell r="BK627">
            <v>0</v>
          </cell>
          <cell r="BL627">
            <v>0</v>
          </cell>
        </row>
        <row r="628">
          <cell r="A628" t="str">
            <v>Cotai Site 6 - Starwood (LVS)</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143.75</v>
          </cell>
          <cell r="AX628">
            <v>287.5</v>
          </cell>
          <cell r="AY628">
            <v>250</v>
          </cell>
          <cell r="AZ628">
            <v>250</v>
          </cell>
          <cell r="BA628">
            <v>250</v>
          </cell>
          <cell r="BK628">
            <v>0</v>
          </cell>
          <cell r="BL628">
            <v>0</v>
          </cell>
        </row>
        <row r="629">
          <cell r="A629" t="str">
            <v>Cotai Site 7 - Hilton (LVS)</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143.75</v>
          </cell>
          <cell r="AY629">
            <v>287.5</v>
          </cell>
          <cell r="AZ629">
            <v>250</v>
          </cell>
          <cell r="BA629">
            <v>250</v>
          </cell>
          <cell r="BK629">
            <v>0</v>
          </cell>
          <cell r="BL629">
            <v>0</v>
          </cell>
        </row>
        <row r="630">
          <cell r="A630" t="str">
            <v>Cotai Site 8 - FHR/Raffles (LVS)</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143.75</v>
          </cell>
          <cell r="AY630">
            <v>287.5</v>
          </cell>
          <cell r="AZ630">
            <v>250</v>
          </cell>
          <cell r="BA630">
            <v>250</v>
          </cell>
          <cell r="BK630">
            <v>0</v>
          </cell>
          <cell r="BL630">
            <v>0</v>
          </cell>
        </row>
        <row r="631">
          <cell r="A631" t="str">
            <v>Wynn Macau (WYNN)</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46.195652173913047</v>
          </cell>
          <cell r="AP631">
            <v>184</v>
          </cell>
          <cell r="AQ631">
            <v>57.548913043478265</v>
          </cell>
          <cell r="AR631">
            <v>184</v>
          </cell>
          <cell r="AS631">
            <v>249</v>
          </cell>
          <cell r="AT631">
            <v>355</v>
          </cell>
          <cell r="AU631">
            <v>355</v>
          </cell>
          <cell r="AV631">
            <v>285.75</v>
          </cell>
          <cell r="AW631">
            <v>355</v>
          </cell>
          <cell r="AX631">
            <v>355</v>
          </cell>
          <cell r="AY631">
            <v>355</v>
          </cell>
          <cell r="AZ631">
            <v>355</v>
          </cell>
          <cell r="BA631">
            <v>355</v>
          </cell>
          <cell r="BK631">
            <v>277.5</v>
          </cell>
          <cell r="BL631">
            <v>8.25</v>
          </cell>
        </row>
        <row r="632">
          <cell r="A632" t="str">
            <v>Wynn Cotai (WYNN)</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425</v>
          </cell>
          <cell r="AZ632">
            <v>425</v>
          </cell>
          <cell r="BA632">
            <v>425</v>
          </cell>
          <cell r="BK632">
            <v>0</v>
          </cell>
          <cell r="BL632">
            <v>0</v>
          </cell>
        </row>
        <row r="633">
          <cell r="A633" t="str">
            <v>Wynn Cotai #2 (WYNN)</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425</v>
          </cell>
          <cell r="AZ633">
            <v>425</v>
          </cell>
          <cell r="BA633">
            <v>425</v>
          </cell>
          <cell r="BK633">
            <v>0</v>
          </cell>
          <cell r="BL633">
            <v>0</v>
          </cell>
        </row>
        <row r="634">
          <cell r="A634" t="str">
            <v>MGM Grand (MGM)</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302</v>
          </cell>
          <cell r="AV634">
            <v>75.5</v>
          </cell>
          <cell r="AW634">
            <v>302</v>
          </cell>
          <cell r="AX634">
            <v>302</v>
          </cell>
          <cell r="AY634">
            <v>302</v>
          </cell>
          <cell r="AZ634">
            <v>302</v>
          </cell>
          <cell r="BA634">
            <v>302</v>
          </cell>
          <cell r="BK634">
            <v>69.75</v>
          </cell>
          <cell r="BL634">
            <v>5.75</v>
          </cell>
        </row>
        <row r="635">
          <cell r="A635" t="str">
            <v>MGM Cotai #1 (MGM)</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400</v>
          </cell>
          <cell r="BA635">
            <v>400</v>
          </cell>
          <cell r="BK635">
            <v>69.75</v>
          </cell>
          <cell r="BL635">
            <v>-69.75</v>
          </cell>
        </row>
        <row r="636">
          <cell r="A636" t="str">
            <v>Crown Macau (PBL/Melco)</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116.66666666666666</v>
          </cell>
          <cell r="AT636">
            <v>175</v>
          </cell>
          <cell r="AU636">
            <v>175</v>
          </cell>
          <cell r="AV636">
            <v>116.66666666666666</v>
          </cell>
          <cell r="AW636">
            <v>160</v>
          </cell>
          <cell r="AX636">
            <v>160</v>
          </cell>
          <cell r="AY636">
            <v>160</v>
          </cell>
          <cell r="AZ636">
            <v>160</v>
          </cell>
          <cell r="BA636">
            <v>160</v>
          </cell>
          <cell r="BK636">
            <v>50</v>
          </cell>
          <cell r="BL636">
            <v>66.666666666666657</v>
          </cell>
        </row>
        <row r="637">
          <cell r="A637" t="str">
            <v>Penninsula Project (PBL/Melco)</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60</v>
          </cell>
          <cell r="AY637">
            <v>160</v>
          </cell>
          <cell r="AZ637">
            <v>160</v>
          </cell>
          <cell r="BA637">
            <v>160</v>
          </cell>
          <cell r="BK637">
            <v>0</v>
          </cell>
          <cell r="BL637">
            <v>0</v>
          </cell>
        </row>
        <row r="638">
          <cell r="A638" t="str">
            <v>City of Dreams (PBL/Melco)</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400</v>
          </cell>
          <cell r="AY638">
            <v>400</v>
          </cell>
          <cell r="AZ638">
            <v>400</v>
          </cell>
          <cell r="BA638">
            <v>400</v>
          </cell>
          <cell r="BK638">
            <v>0</v>
          </cell>
          <cell r="BL638">
            <v>0</v>
          </cell>
        </row>
        <row r="639">
          <cell r="A639" t="str">
            <v>Galaxy Waldo (Galaxy)</v>
          </cell>
          <cell r="X639">
            <v>0</v>
          </cell>
          <cell r="Y639">
            <v>0</v>
          </cell>
          <cell r="Z639">
            <v>0</v>
          </cell>
          <cell r="AA639">
            <v>0</v>
          </cell>
          <cell r="AB639">
            <v>0</v>
          </cell>
          <cell r="AC639">
            <v>0</v>
          </cell>
          <cell r="AD639">
            <v>0</v>
          </cell>
          <cell r="AE639">
            <v>20</v>
          </cell>
          <cell r="AF639">
            <v>20</v>
          </cell>
          <cell r="AG639">
            <v>10</v>
          </cell>
          <cell r="AH639">
            <v>20</v>
          </cell>
          <cell r="AI639">
            <v>20</v>
          </cell>
          <cell r="AJ639">
            <v>20</v>
          </cell>
          <cell r="AK639">
            <v>20</v>
          </cell>
          <cell r="AL639">
            <v>20</v>
          </cell>
          <cell r="AM639">
            <v>20</v>
          </cell>
          <cell r="AN639">
            <v>20</v>
          </cell>
          <cell r="AO639">
            <v>20</v>
          </cell>
          <cell r="AP639">
            <v>20</v>
          </cell>
          <cell r="AQ639">
            <v>20</v>
          </cell>
          <cell r="AR639">
            <v>20</v>
          </cell>
          <cell r="AS639">
            <v>20</v>
          </cell>
          <cell r="AT639">
            <v>20</v>
          </cell>
          <cell r="AU639">
            <v>20</v>
          </cell>
          <cell r="AV639">
            <v>20</v>
          </cell>
          <cell r="AW639">
            <v>20</v>
          </cell>
          <cell r="AX639">
            <v>20</v>
          </cell>
          <cell r="AY639">
            <v>20</v>
          </cell>
          <cell r="AZ639">
            <v>20</v>
          </cell>
          <cell r="BA639">
            <v>20</v>
          </cell>
          <cell r="BK639">
            <v>20</v>
          </cell>
          <cell r="BL639">
            <v>0</v>
          </cell>
        </row>
        <row r="640">
          <cell r="A640" t="str">
            <v>Galaxy Rio (Galaxy)</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37.5</v>
          </cell>
          <cell r="AN640">
            <v>75</v>
          </cell>
          <cell r="AO640">
            <v>75</v>
          </cell>
          <cell r="AP640">
            <v>75</v>
          </cell>
          <cell r="AQ640">
            <v>65.625</v>
          </cell>
          <cell r="AR640">
            <v>75</v>
          </cell>
          <cell r="AS640">
            <v>75</v>
          </cell>
          <cell r="AT640">
            <v>75</v>
          </cell>
          <cell r="AU640">
            <v>75</v>
          </cell>
          <cell r="AV640">
            <v>75</v>
          </cell>
          <cell r="AW640">
            <v>75</v>
          </cell>
          <cell r="AX640">
            <v>75</v>
          </cell>
          <cell r="AY640">
            <v>75</v>
          </cell>
          <cell r="AZ640">
            <v>75</v>
          </cell>
          <cell r="BA640">
            <v>75</v>
          </cell>
          <cell r="BK640">
            <v>75</v>
          </cell>
          <cell r="BL640">
            <v>0</v>
          </cell>
        </row>
        <row r="641">
          <cell r="A641" t="str">
            <v>Galaxy President (Galaxy)</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36.666666666666664</v>
          </cell>
          <cell r="AO641">
            <v>55</v>
          </cell>
          <cell r="AP641">
            <v>55</v>
          </cell>
          <cell r="AQ641">
            <v>36.666666666666664</v>
          </cell>
          <cell r="AR641">
            <v>55</v>
          </cell>
          <cell r="AS641">
            <v>55</v>
          </cell>
          <cell r="AT641">
            <v>55</v>
          </cell>
          <cell r="AU641">
            <v>55</v>
          </cell>
          <cell r="AV641">
            <v>55</v>
          </cell>
          <cell r="AW641">
            <v>55</v>
          </cell>
          <cell r="AX641">
            <v>55</v>
          </cell>
          <cell r="AY641">
            <v>55</v>
          </cell>
          <cell r="AZ641">
            <v>55</v>
          </cell>
          <cell r="BA641">
            <v>55</v>
          </cell>
          <cell r="BK641">
            <v>55</v>
          </cell>
          <cell r="BL641">
            <v>0</v>
          </cell>
        </row>
        <row r="642">
          <cell r="A642" t="str">
            <v>Galaxy Grand Waldo (Galaxy)</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50</v>
          </cell>
          <cell r="AO642">
            <v>100</v>
          </cell>
          <cell r="AP642">
            <v>100</v>
          </cell>
          <cell r="AQ642">
            <v>62.5</v>
          </cell>
          <cell r="AR642">
            <v>100</v>
          </cell>
          <cell r="AS642">
            <v>100</v>
          </cell>
          <cell r="AT642">
            <v>100</v>
          </cell>
          <cell r="AU642">
            <v>100</v>
          </cell>
          <cell r="AV642">
            <v>100</v>
          </cell>
          <cell r="AW642">
            <v>100</v>
          </cell>
          <cell r="AX642">
            <v>100</v>
          </cell>
          <cell r="AY642">
            <v>100</v>
          </cell>
          <cell r="AZ642">
            <v>100</v>
          </cell>
          <cell r="BA642">
            <v>100</v>
          </cell>
          <cell r="BK642">
            <v>100</v>
          </cell>
          <cell r="BL642">
            <v>0</v>
          </cell>
        </row>
        <row r="643">
          <cell r="A643" t="str">
            <v>Galaxy Starworld (Galaxy)</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131.44444444444446</v>
          </cell>
          <cell r="AQ643">
            <v>32.861111111111114</v>
          </cell>
          <cell r="AR643">
            <v>199</v>
          </cell>
          <cell r="AS643">
            <v>199</v>
          </cell>
          <cell r="AT643">
            <v>199</v>
          </cell>
          <cell r="AU643">
            <v>199</v>
          </cell>
          <cell r="AV643">
            <v>199</v>
          </cell>
          <cell r="AW643">
            <v>199</v>
          </cell>
          <cell r="AX643">
            <v>199</v>
          </cell>
          <cell r="AY643">
            <v>199</v>
          </cell>
          <cell r="AZ643">
            <v>199</v>
          </cell>
          <cell r="BA643">
            <v>199</v>
          </cell>
          <cell r="BK643">
            <v>200</v>
          </cell>
          <cell r="BL643">
            <v>-1</v>
          </cell>
        </row>
        <row r="644">
          <cell r="A644" t="str">
            <v>Galaxy Cotai (Galaxy)</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205</v>
          </cell>
          <cell r="AX644">
            <v>410</v>
          </cell>
          <cell r="AY644">
            <v>400</v>
          </cell>
          <cell r="AZ644">
            <v>400</v>
          </cell>
          <cell r="BA644">
            <v>400</v>
          </cell>
          <cell r="BK644">
            <v>0</v>
          </cell>
          <cell r="BL644">
            <v>0</v>
          </cell>
        </row>
        <row r="645">
          <cell r="A645" t="str">
            <v>Ponte 16</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150</v>
          </cell>
          <cell r="AU645">
            <v>150</v>
          </cell>
          <cell r="AV645">
            <v>75</v>
          </cell>
          <cell r="AW645">
            <v>150</v>
          </cell>
          <cell r="AX645">
            <v>150</v>
          </cell>
          <cell r="AY645">
            <v>150</v>
          </cell>
          <cell r="AZ645">
            <v>150</v>
          </cell>
          <cell r="BA645">
            <v>150</v>
          </cell>
          <cell r="BK645">
            <v>75</v>
          </cell>
          <cell r="BL645">
            <v>0</v>
          </cell>
        </row>
        <row r="646">
          <cell r="A646" t="str">
            <v>Grand Lisboa</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120</v>
          </cell>
          <cell r="AS646">
            <v>240</v>
          </cell>
          <cell r="AT646">
            <v>240</v>
          </cell>
          <cell r="AU646">
            <v>240</v>
          </cell>
          <cell r="AV646">
            <v>210</v>
          </cell>
          <cell r="AW646">
            <v>240</v>
          </cell>
          <cell r="AX646">
            <v>240</v>
          </cell>
          <cell r="AY646">
            <v>240</v>
          </cell>
          <cell r="AZ646">
            <v>240</v>
          </cell>
          <cell r="BA646">
            <v>240</v>
          </cell>
          <cell r="BK646">
            <v>350</v>
          </cell>
          <cell r="BL646">
            <v>-140</v>
          </cell>
        </row>
        <row r="647">
          <cell r="A647" t="str">
            <v>Babylon</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7.8260869565217392</v>
          </cell>
          <cell r="AQ647">
            <v>1.9565217391304348</v>
          </cell>
          <cell r="AR647">
            <v>78</v>
          </cell>
          <cell r="AS647">
            <v>78</v>
          </cell>
          <cell r="AT647">
            <v>78</v>
          </cell>
          <cell r="AU647">
            <v>90</v>
          </cell>
          <cell r="AV647">
            <v>81</v>
          </cell>
          <cell r="AW647">
            <v>90</v>
          </cell>
          <cell r="AX647">
            <v>90</v>
          </cell>
          <cell r="AY647">
            <v>90</v>
          </cell>
          <cell r="AZ647">
            <v>90</v>
          </cell>
          <cell r="BA647">
            <v>90</v>
          </cell>
          <cell r="BK647">
            <v>45</v>
          </cell>
          <cell r="BL647">
            <v>36</v>
          </cell>
        </row>
        <row r="648">
          <cell r="A648" t="str">
            <v>Arc de Triomphe</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60</v>
          </cell>
          <cell r="AX648">
            <v>60</v>
          </cell>
          <cell r="AY648">
            <v>60</v>
          </cell>
          <cell r="AZ648">
            <v>60</v>
          </cell>
          <cell r="BA648">
            <v>60</v>
          </cell>
          <cell r="BK648">
            <v>0</v>
          </cell>
          <cell r="BL648">
            <v>0</v>
          </cell>
        </row>
        <row r="649">
          <cell r="A649" t="str">
            <v>Oceanus</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500</v>
          </cell>
          <cell r="AY649">
            <v>500</v>
          </cell>
          <cell r="AZ649">
            <v>500</v>
          </cell>
          <cell r="BA649">
            <v>500</v>
          </cell>
          <cell r="BK649">
            <v>0</v>
          </cell>
          <cell r="BL649">
            <v>0</v>
          </cell>
        </row>
        <row r="650">
          <cell r="A650" t="str">
            <v>Shun Tak Nam Van</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150</v>
          </cell>
          <cell r="AZ650">
            <v>150</v>
          </cell>
          <cell r="BA650">
            <v>150</v>
          </cell>
          <cell r="BK650">
            <v>0</v>
          </cell>
          <cell r="BL650">
            <v>0</v>
          </cell>
        </row>
        <row r="651">
          <cell r="A651" t="str">
            <v>Shun Tak Cotai</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500</v>
          </cell>
          <cell r="BA651">
            <v>500</v>
          </cell>
          <cell r="BK651">
            <v>0</v>
          </cell>
          <cell r="BL651">
            <v>0</v>
          </cell>
        </row>
        <row r="652">
          <cell r="A652" t="str">
            <v>Macau Studio City (eSun)</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360</v>
          </cell>
          <cell r="AY652">
            <v>360</v>
          </cell>
          <cell r="AZ652">
            <v>585</v>
          </cell>
          <cell r="BA652">
            <v>585</v>
          </cell>
          <cell r="BK652">
            <v>0</v>
          </cell>
          <cell r="BL652">
            <v>0</v>
          </cell>
        </row>
        <row r="653">
          <cell r="A653" t="str">
            <v>Other</v>
          </cell>
          <cell r="X653">
            <v>258</v>
          </cell>
          <cell r="Y653">
            <v>258</v>
          </cell>
          <cell r="Z653">
            <v>258</v>
          </cell>
          <cell r="AA653">
            <v>258</v>
          </cell>
          <cell r="AB653">
            <v>258</v>
          </cell>
          <cell r="AC653">
            <v>258</v>
          </cell>
          <cell r="AD653">
            <v>286.12087912087912</v>
          </cell>
          <cell r="AE653">
            <v>218</v>
          </cell>
          <cell r="AF653">
            <v>431</v>
          </cell>
          <cell r="AG653">
            <v>298.2802197802198</v>
          </cell>
          <cell r="AH653">
            <v>574.5</v>
          </cell>
          <cell r="AI653">
            <v>626.5</v>
          </cell>
          <cell r="AJ653">
            <v>653.5</v>
          </cell>
          <cell r="AK653">
            <v>692.5</v>
          </cell>
          <cell r="AL653">
            <v>636.75</v>
          </cell>
          <cell r="AM653">
            <v>750.5</v>
          </cell>
          <cell r="AN653">
            <v>818.33333333333337</v>
          </cell>
          <cell r="AO653">
            <v>818.33333333333337</v>
          </cell>
          <cell r="AP653">
            <v>818.33333333333337</v>
          </cell>
          <cell r="AQ653">
            <v>801.37500000000011</v>
          </cell>
          <cell r="AR653">
            <v>818.33333333333337</v>
          </cell>
          <cell r="AS653">
            <v>818.33333333333337</v>
          </cell>
          <cell r="AT653">
            <v>818.33333333333337</v>
          </cell>
          <cell r="AU653">
            <v>818.33333333333337</v>
          </cell>
          <cell r="AV653">
            <v>818.33333333333337</v>
          </cell>
          <cell r="AW653">
            <v>818.33333333333337</v>
          </cell>
          <cell r="AX653">
            <v>818.33333333333337</v>
          </cell>
          <cell r="AY653">
            <v>818.33333333333337</v>
          </cell>
          <cell r="AZ653">
            <v>818.33333333333337</v>
          </cell>
          <cell r="BA653">
            <v>818.33333333333337</v>
          </cell>
          <cell r="BK653">
            <v>801.875</v>
          </cell>
          <cell r="BL653">
            <v>16.458333333333371</v>
          </cell>
        </row>
        <row r="654">
          <cell r="X654" t="str">
            <v>______</v>
          </cell>
          <cell r="Y654" t="str">
            <v>______</v>
          </cell>
          <cell r="Z654" t="str">
            <v>______</v>
          </cell>
          <cell r="AA654" t="str">
            <v>______</v>
          </cell>
          <cell r="AB654" t="str">
            <v>______</v>
          </cell>
          <cell r="AC654" t="str">
            <v>______</v>
          </cell>
          <cell r="AD654" t="str">
            <v>______</v>
          </cell>
          <cell r="AE654" t="str">
            <v>______</v>
          </cell>
          <cell r="AF654" t="str">
            <v>______</v>
          </cell>
          <cell r="AG654" t="str">
            <v>______</v>
          </cell>
          <cell r="AH654" t="str">
            <v>______</v>
          </cell>
          <cell r="AI654" t="str">
            <v>______</v>
          </cell>
          <cell r="AJ654" t="str">
            <v>______</v>
          </cell>
          <cell r="AK654" t="str">
            <v>______</v>
          </cell>
          <cell r="AL654" t="str">
            <v>______</v>
          </cell>
          <cell r="AM654" t="str">
            <v>______</v>
          </cell>
          <cell r="AN654" t="str">
            <v>______</v>
          </cell>
          <cell r="AO654" t="str">
            <v>______</v>
          </cell>
          <cell r="AP654" t="str">
            <v>______</v>
          </cell>
          <cell r="AQ654" t="str">
            <v>______</v>
          </cell>
          <cell r="AR654" t="str">
            <v>______</v>
          </cell>
          <cell r="AS654" t="str">
            <v>______</v>
          </cell>
          <cell r="AT654" t="str">
            <v>______</v>
          </cell>
          <cell r="AU654" t="str">
            <v>______</v>
          </cell>
          <cell r="AV654" t="str">
            <v>______</v>
          </cell>
          <cell r="AW654" t="str">
            <v>______</v>
          </cell>
          <cell r="AX654" t="str">
            <v>______</v>
          </cell>
          <cell r="AY654" t="str">
            <v>______</v>
          </cell>
          <cell r="AZ654" t="str">
            <v>______</v>
          </cell>
          <cell r="BA654" t="str">
            <v>______</v>
          </cell>
          <cell r="BK654" t="str">
            <v>______</v>
          </cell>
          <cell r="BL654" t="e">
            <v>#VALUE!</v>
          </cell>
        </row>
        <row r="655">
          <cell r="A655" t="str">
            <v>Total Average Mass Market Tables</v>
          </cell>
          <cell r="X655">
            <v>258</v>
          </cell>
          <cell r="Y655">
            <v>258</v>
          </cell>
          <cell r="Z655">
            <v>258</v>
          </cell>
          <cell r="AA655">
            <v>258</v>
          </cell>
          <cell r="AB655">
            <v>258</v>
          </cell>
          <cell r="AC655">
            <v>258</v>
          </cell>
          <cell r="AD655">
            <v>400</v>
          </cell>
          <cell r="AE655">
            <v>496</v>
          </cell>
          <cell r="AF655">
            <v>709</v>
          </cell>
          <cell r="AG655">
            <v>465.75</v>
          </cell>
          <cell r="AH655">
            <v>883</v>
          </cell>
          <cell r="AI655">
            <v>949.5</v>
          </cell>
          <cell r="AJ655">
            <v>982.5</v>
          </cell>
          <cell r="AK655">
            <v>1047.5</v>
          </cell>
          <cell r="AL655">
            <v>965.625</v>
          </cell>
          <cell r="AM655">
            <v>1187</v>
          </cell>
          <cell r="AN655">
            <v>1391</v>
          </cell>
          <cell r="AO655">
            <v>1622.5289855072465</v>
          </cell>
          <cell r="AP655">
            <v>2088.6038647342993</v>
          </cell>
          <cell r="AQ655">
            <v>1572.2832125603863</v>
          </cell>
          <cell r="AR655">
            <v>2346.3333333333335</v>
          </cell>
          <cell r="AS655">
            <v>2648</v>
          </cell>
          <cell r="AT655">
            <v>3587.3333333333335</v>
          </cell>
          <cell r="AU655">
            <v>3901.3333333333335</v>
          </cell>
          <cell r="AV655">
            <v>3120.7500000000005</v>
          </cell>
          <cell r="AW655">
            <v>4653.833333333333</v>
          </cell>
          <cell r="AX655">
            <v>6896.333333333333</v>
          </cell>
          <cell r="AY655">
            <v>8341.3333333333339</v>
          </cell>
          <cell r="AZ655">
            <v>9666.3333333333339</v>
          </cell>
          <cell r="BA655">
            <v>9666.3333333333339</v>
          </cell>
          <cell r="BK655">
            <v>3096.625</v>
          </cell>
          <cell r="BL655">
            <v>24.125000000000455</v>
          </cell>
        </row>
        <row r="656">
          <cell r="A656" t="str">
            <v xml:space="preserve">  Growth</v>
          </cell>
          <cell r="AC656">
            <v>0</v>
          </cell>
          <cell r="AD656">
            <v>0.5503875968992249</v>
          </cell>
          <cell r="AE656">
            <v>0.92248062015503884</v>
          </cell>
          <cell r="AF656">
            <v>1.748062015503876</v>
          </cell>
          <cell r="AG656">
            <v>0.80523255813953498</v>
          </cell>
          <cell r="AH656">
            <v>2.4224806201550386</v>
          </cell>
          <cell r="AI656">
            <v>1.3737499999999998</v>
          </cell>
          <cell r="AJ656">
            <v>0.98084677419354849</v>
          </cell>
          <cell r="AK656">
            <v>0.47743300423131174</v>
          </cell>
          <cell r="AL656">
            <v>1.0732689210950079</v>
          </cell>
          <cell r="AM656">
            <v>0.34428086070215169</v>
          </cell>
          <cell r="AN656">
            <v>0.46498156924697209</v>
          </cell>
          <cell r="AO656">
            <v>0.65142899288269374</v>
          </cell>
          <cell r="AP656">
            <v>0.99389390428095403</v>
          </cell>
          <cell r="AQ656">
            <v>0.62825445960946169</v>
          </cell>
          <cell r="AR656">
            <v>0.97669194046616137</v>
          </cell>
          <cell r="AS656">
            <v>0.90366642703091293</v>
          </cell>
          <cell r="AT656">
            <v>1.2109517705853716</v>
          </cell>
          <cell r="AU656">
            <v>0.86791444716092192</v>
          </cell>
          <cell r="AV656">
            <v>0.98485233135448391</v>
          </cell>
          <cell r="AW656">
            <v>0.49125477315816135</v>
          </cell>
          <cell r="AX656">
            <v>0.48186083157253878</v>
          </cell>
          <cell r="AY656">
            <v>0.20953163516844708</v>
          </cell>
          <cell r="AZ656">
            <v>0.15884750639386191</v>
          </cell>
          <cell r="BA656">
            <v>0</v>
          </cell>
          <cell r="BK656">
            <v>0.91696114461175471</v>
          </cell>
          <cell r="BL656">
            <v>6.7891186742729204E-2</v>
          </cell>
        </row>
        <row r="657">
          <cell r="BL657">
            <v>0</v>
          </cell>
        </row>
        <row r="658">
          <cell r="A658" t="str">
            <v>Period-end total mass market tables</v>
          </cell>
          <cell r="AD658">
            <v>400</v>
          </cell>
          <cell r="AE658">
            <v>592</v>
          </cell>
          <cell r="AF658">
            <v>826</v>
          </cell>
          <cell r="AG658">
            <v>826</v>
          </cell>
          <cell r="AH658">
            <v>940</v>
          </cell>
          <cell r="AI658">
            <v>959</v>
          </cell>
          <cell r="AJ658">
            <v>1006</v>
          </cell>
          <cell r="AK658">
            <v>1089</v>
          </cell>
          <cell r="AL658">
            <v>1089</v>
          </cell>
          <cell r="AM658">
            <v>1285</v>
          </cell>
          <cell r="AN658">
            <v>1497</v>
          </cell>
          <cell r="BL658">
            <v>0</v>
          </cell>
        </row>
        <row r="659">
          <cell r="BL659">
            <v>0</v>
          </cell>
        </row>
        <row r="660">
          <cell r="A660" t="str">
            <v>Typical Ratio for Non-Mass-Focused casinos</v>
          </cell>
          <cell r="AD660">
            <v>0.6074753272205502</v>
          </cell>
          <cell r="AE660">
            <v>0.59649122807017541</v>
          </cell>
          <cell r="AF660">
            <v>0.70878032114793299</v>
          </cell>
          <cell r="AG660">
            <v>0.63324507054970569</v>
          </cell>
          <cell r="AH660">
            <v>0.72235722964763061</v>
          </cell>
          <cell r="AI660">
            <v>0.73507674815235935</v>
          </cell>
          <cell r="AJ660">
            <v>0.74133186571271326</v>
          </cell>
          <cell r="AK660">
            <v>0.74842436974789917</v>
          </cell>
          <cell r="AL660">
            <v>0.73730002806623629</v>
          </cell>
          <cell r="AM660">
            <v>0.71694764862466731</v>
          </cell>
          <cell r="AN660">
            <v>0.69637883008356549</v>
          </cell>
          <cell r="AO660">
            <v>0.69173094608036345</v>
          </cell>
          <cell r="AP660">
            <v>0.72088733556623452</v>
          </cell>
          <cell r="AQ660">
            <v>0.70576939997619148</v>
          </cell>
          <cell r="AR660">
            <v>0.78024234955843097</v>
          </cell>
          <cell r="AS660">
            <v>0.78540323985368388</v>
          </cell>
          <cell r="AT660">
            <v>0.77408692778053223</v>
          </cell>
          <cell r="AU660">
            <v>0.77162007520026166</v>
          </cell>
          <cell r="AV660">
            <v>0.77759241373254906</v>
          </cell>
          <cell r="AW660">
            <v>0.78981617048966957</v>
          </cell>
          <cell r="AX660">
            <v>0.79240936097975012</v>
          </cell>
          <cell r="AY660">
            <v>0.80169472873335557</v>
          </cell>
          <cell r="AZ660">
            <v>0.80608702672156307</v>
          </cell>
          <cell r="BA660">
            <v>0.80608702672156307</v>
          </cell>
          <cell r="BK660">
            <v>0.67964555037902707</v>
          </cell>
          <cell r="BL660">
            <v>9.7946863353521985E-2</v>
          </cell>
        </row>
        <row r="661">
          <cell r="A661" t="str">
            <v>Overall Ratio</v>
          </cell>
          <cell r="AD661">
            <v>0.6839019990981513</v>
          </cell>
          <cell r="AE661">
            <v>0.72941176470588232</v>
          </cell>
          <cell r="AF661">
            <v>0.75723241235198513</v>
          </cell>
          <cell r="AG661">
            <v>0.70509865119735848</v>
          </cell>
          <cell r="AH661">
            <v>0.76186367558239865</v>
          </cell>
          <cell r="AI661">
            <v>0.76851477134763257</v>
          </cell>
          <cell r="AJ661">
            <v>0.77331759149940971</v>
          </cell>
          <cell r="AK661">
            <v>0.78055141579731746</v>
          </cell>
          <cell r="AL661">
            <v>0.77142001198322352</v>
          </cell>
          <cell r="AM661">
            <v>0.76040999359385009</v>
          </cell>
          <cell r="AN661">
            <v>0.73597883597883595</v>
          </cell>
          <cell r="AO661">
            <v>0.74342679748327445</v>
          </cell>
          <cell r="AP661">
            <v>0.79587978439833285</v>
          </cell>
          <cell r="AQ661">
            <v>0.7616017938893449</v>
          </cell>
          <cell r="AR661">
            <v>0.82183304144775249</v>
          </cell>
          <cell r="AS661">
            <v>0.80518953983377251</v>
          </cell>
          <cell r="AT661">
            <v>0.81124679632142327</v>
          </cell>
          <cell r="AU661">
            <v>0.8143045989007166</v>
          </cell>
          <cell r="AV661">
            <v>0.81287171695246374</v>
          </cell>
          <cell r="AW661">
            <v>0.833870871408947</v>
          </cell>
          <cell r="AX661">
            <v>0.84117013274786034</v>
          </cell>
          <cell r="AY661">
            <v>0.83697906214462514</v>
          </cell>
          <cell r="AZ661">
            <v>0.8321567952249771</v>
          </cell>
          <cell r="BA661">
            <v>0.8321567952249771</v>
          </cell>
          <cell r="BK661">
            <v>0.75445832715408567</v>
          </cell>
          <cell r="BL661">
            <v>5.8413389798378068E-2</v>
          </cell>
        </row>
        <row r="662">
          <cell r="BL662">
            <v>0</v>
          </cell>
        </row>
        <row r="663">
          <cell r="A663" t="str">
            <v>Average Slots</v>
          </cell>
          <cell r="BL663">
            <v>0</v>
          </cell>
        </row>
        <row r="664">
          <cell r="A664" t="str">
            <v>Sands Macao</v>
          </cell>
          <cell r="X664">
            <v>0</v>
          </cell>
          <cell r="Y664">
            <v>0</v>
          </cell>
          <cell r="Z664">
            <v>0</v>
          </cell>
          <cell r="AA664">
            <v>0</v>
          </cell>
          <cell r="AB664">
            <v>0</v>
          </cell>
          <cell r="AC664">
            <v>0</v>
          </cell>
          <cell r="AD664">
            <v>113.87912087912088</v>
          </cell>
          <cell r="AE664">
            <v>519</v>
          </cell>
          <cell r="AF664">
            <v>666</v>
          </cell>
          <cell r="AG664">
            <v>324.7197802197802</v>
          </cell>
          <cell r="AH664">
            <v>764</v>
          </cell>
          <cell r="AI664">
            <v>822</v>
          </cell>
          <cell r="AJ664">
            <v>802</v>
          </cell>
          <cell r="AK664">
            <v>778</v>
          </cell>
          <cell r="AL664">
            <v>791.5</v>
          </cell>
          <cell r="AM664">
            <v>907</v>
          </cell>
          <cell r="AN664">
            <v>895</v>
          </cell>
          <cell r="AO664">
            <v>934</v>
          </cell>
          <cell r="AP664">
            <v>1233</v>
          </cell>
          <cell r="AQ664">
            <v>992.25</v>
          </cell>
          <cell r="AR664">
            <v>1233</v>
          </cell>
          <cell r="AS664">
            <v>1233</v>
          </cell>
          <cell r="AT664">
            <v>1233</v>
          </cell>
          <cell r="AU664">
            <v>1233</v>
          </cell>
          <cell r="AV664">
            <v>1233</v>
          </cell>
          <cell r="AW664">
            <v>1233</v>
          </cell>
          <cell r="AX664">
            <v>1233</v>
          </cell>
          <cell r="AY664">
            <v>1233</v>
          </cell>
          <cell r="AZ664">
            <v>1233</v>
          </cell>
          <cell r="BA664">
            <v>1233</v>
          </cell>
          <cell r="BK664">
            <v>1254</v>
          </cell>
          <cell r="BL664">
            <v>-21</v>
          </cell>
        </row>
        <row r="665">
          <cell r="A665" t="str">
            <v>Venetian Macao</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4100</v>
          </cell>
          <cell r="AU665">
            <v>4100</v>
          </cell>
          <cell r="AV665">
            <v>2050</v>
          </cell>
          <cell r="AW665">
            <v>4100</v>
          </cell>
          <cell r="AX665">
            <v>4100</v>
          </cell>
          <cell r="AY665">
            <v>4100</v>
          </cell>
          <cell r="AZ665">
            <v>7000</v>
          </cell>
          <cell r="BA665">
            <v>7000</v>
          </cell>
          <cell r="BK665">
            <v>2000</v>
          </cell>
          <cell r="BL665">
            <v>50</v>
          </cell>
        </row>
        <row r="666">
          <cell r="A666" t="str">
            <v>Cotai Site 2 - Four Seasons (LVS)</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400</v>
          </cell>
          <cell r="AX666">
            <v>400</v>
          </cell>
          <cell r="AY666">
            <v>400</v>
          </cell>
          <cell r="AZ666">
            <v>400</v>
          </cell>
          <cell r="BA666">
            <v>400</v>
          </cell>
          <cell r="BK666">
            <v>0</v>
          </cell>
          <cell r="BL666">
            <v>0</v>
          </cell>
        </row>
        <row r="667">
          <cell r="A667" t="str">
            <v>Cotai Site 3 - Far East (LVS)</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875</v>
          </cell>
          <cell r="AY667">
            <v>1750</v>
          </cell>
          <cell r="AZ667">
            <v>1750</v>
          </cell>
          <cell r="BA667">
            <v>1750</v>
          </cell>
          <cell r="BK667">
            <v>0</v>
          </cell>
          <cell r="BL667">
            <v>0</v>
          </cell>
        </row>
        <row r="668">
          <cell r="A668" t="str">
            <v>Cotai Site 5 - Shangri-La/St.Regis/Traders (LVS)</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875</v>
          </cell>
          <cell r="AX668">
            <v>1750</v>
          </cell>
          <cell r="AY668">
            <v>1750</v>
          </cell>
          <cell r="AZ668">
            <v>1750</v>
          </cell>
          <cell r="BA668">
            <v>1750</v>
          </cell>
          <cell r="BK668">
            <v>0</v>
          </cell>
          <cell r="BL668">
            <v>0</v>
          </cell>
        </row>
        <row r="669">
          <cell r="A669" t="str">
            <v>Cotai Site 6 - Starwood (LVS)</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875</v>
          </cell>
          <cell r="AX669">
            <v>1750</v>
          </cell>
          <cell r="AY669">
            <v>1750</v>
          </cell>
          <cell r="AZ669">
            <v>1750</v>
          </cell>
          <cell r="BA669">
            <v>1750</v>
          </cell>
          <cell r="BK669">
            <v>0</v>
          </cell>
          <cell r="BL669">
            <v>0</v>
          </cell>
        </row>
        <row r="670">
          <cell r="A670" t="str">
            <v>Cotai Site 7 - Hilton (LVS)</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875</v>
          </cell>
          <cell r="AY670">
            <v>1750</v>
          </cell>
          <cell r="AZ670">
            <v>1750</v>
          </cell>
          <cell r="BA670">
            <v>1750</v>
          </cell>
          <cell r="BK670">
            <v>0</v>
          </cell>
          <cell r="BL670">
            <v>0</v>
          </cell>
        </row>
        <row r="671">
          <cell r="A671" t="str">
            <v>Cotai Site 8 - FHR/Raffles (LVS)</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875</v>
          </cell>
          <cell r="AY671">
            <v>1750</v>
          </cell>
          <cell r="AZ671">
            <v>1750</v>
          </cell>
          <cell r="BA671">
            <v>1750</v>
          </cell>
          <cell r="BK671">
            <v>0</v>
          </cell>
          <cell r="BL671">
            <v>0</v>
          </cell>
        </row>
        <row r="672">
          <cell r="A672" t="str">
            <v>Wynn Macau (WYNN)</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101.90217391304348</v>
          </cell>
          <cell r="AP672">
            <v>366</v>
          </cell>
          <cell r="AQ672">
            <v>116.97554347826087</v>
          </cell>
          <cell r="AR672">
            <v>499</v>
          </cell>
          <cell r="AS672">
            <v>632</v>
          </cell>
          <cell r="AT672">
            <v>1280</v>
          </cell>
          <cell r="AU672">
            <v>1280</v>
          </cell>
          <cell r="AV672">
            <v>922.75</v>
          </cell>
          <cell r="AW672">
            <v>1280</v>
          </cell>
          <cell r="AX672">
            <v>1280</v>
          </cell>
          <cell r="AY672">
            <v>1280</v>
          </cell>
          <cell r="AZ672">
            <v>1280</v>
          </cell>
          <cell r="BA672">
            <v>1280</v>
          </cell>
          <cell r="BK672">
            <v>630</v>
          </cell>
          <cell r="BL672">
            <v>292.75</v>
          </cell>
        </row>
        <row r="673">
          <cell r="A673" t="str">
            <v>Wynn Cotai (WYNN)</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3500</v>
          </cell>
          <cell r="AZ673">
            <v>3500</v>
          </cell>
          <cell r="BA673">
            <v>3500</v>
          </cell>
          <cell r="BK673">
            <v>0</v>
          </cell>
          <cell r="BL673">
            <v>0</v>
          </cell>
        </row>
        <row r="674">
          <cell r="A674" t="str">
            <v>Wynn Cotai #2 (WYNN)</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3500</v>
          </cell>
          <cell r="AZ674">
            <v>3500</v>
          </cell>
          <cell r="BA674">
            <v>3500</v>
          </cell>
          <cell r="BK674">
            <v>0</v>
          </cell>
          <cell r="BL674">
            <v>0</v>
          </cell>
        </row>
        <row r="675">
          <cell r="A675" t="str">
            <v>MGM Grand (MGM)</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1037</v>
          </cell>
          <cell r="AV675">
            <v>259.25</v>
          </cell>
          <cell r="AW675">
            <v>1037</v>
          </cell>
          <cell r="AX675">
            <v>1037</v>
          </cell>
          <cell r="AY675">
            <v>1037</v>
          </cell>
          <cell r="AZ675">
            <v>1037</v>
          </cell>
          <cell r="BA675">
            <v>1037</v>
          </cell>
          <cell r="BK675">
            <v>262.5</v>
          </cell>
          <cell r="BL675">
            <v>-3.25</v>
          </cell>
        </row>
        <row r="676">
          <cell r="A676" t="str">
            <v>MGM Cotai #1 (MGM)</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3000</v>
          </cell>
          <cell r="BA676">
            <v>3000</v>
          </cell>
          <cell r="BK676">
            <v>262.5</v>
          </cell>
          <cell r="BL676">
            <v>-262.5</v>
          </cell>
        </row>
        <row r="677">
          <cell r="A677" t="str">
            <v>Crown Macau (PBL/Melco)</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333.33333333333331</v>
          </cell>
          <cell r="AT677">
            <v>500</v>
          </cell>
          <cell r="AU677">
            <v>500</v>
          </cell>
          <cell r="AV677">
            <v>333.33333333333331</v>
          </cell>
          <cell r="AW677">
            <v>500</v>
          </cell>
          <cell r="AX677">
            <v>500</v>
          </cell>
          <cell r="AY677">
            <v>500</v>
          </cell>
          <cell r="AZ677">
            <v>500</v>
          </cell>
          <cell r="BA677">
            <v>500</v>
          </cell>
          <cell r="BK677">
            <v>250</v>
          </cell>
          <cell r="BL677">
            <v>83.333333333333314</v>
          </cell>
        </row>
        <row r="678">
          <cell r="A678" t="str">
            <v>Penninsula Project (PBL/Melco)</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cell r="AX678">
            <v>250</v>
          </cell>
          <cell r="AY678">
            <v>500</v>
          </cell>
          <cell r="AZ678">
            <v>500</v>
          </cell>
          <cell r="BA678">
            <v>500</v>
          </cell>
          <cell r="BK678">
            <v>0</v>
          </cell>
          <cell r="BL678">
            <v>0</v>
          </cell>
        </row>
        <row r="679">
          <cell r="A679" t="str">
            <v>City of Dreams (PBL/Melco)</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2500</v>
          </cell>
          <cell r="AY679">
            <v>2500</v>
          </cell>
          <cell r="AZ679">
            <v>2500</v>
          </cell>
          <cell r="BA679">
            <v>2500</v>
          </cell>
          <cell r="BK679">
            <v>0</v>
          </cell>
          <cell r="BL679">
            <v>0</v>
          </cell>
        </row>
        <row r="680">
          <cell r="A680" t="str">
            <v>Galaxy Waldo (Galaxy)</v>
          </cell>
          <cell r="X680">
            <v>0</v>
          </cell>
          <cell r="Y680">
            <v>0</v>
          </cell>
          <cell r="Z680">
            <v>0</v>
          </cell>
          <cell r="AA680">
            <v>0</v>
          </cell>
          <cell r="AB680">
            <v>0</v>
          </cell>
          <cell r="AC680">
            <v>0</v>
          </cell>
          <cell r="AD680">
            <v>0</v>
          </cell>
          <cell r="AE680">
            <v>74</v>
          </cell>
          <cell r="AF680">
            <v>74</v>
          </cell>
          <cell r="AG680">
            <v>37</v>
          </cell>
          <cell r="AH680">
            <v>74</v>
          </cell>
          <cell r="AI680">
            <v>74</v>
          </cell>
          <cell r="AJ680">
            <v>74</v>
          </cell>
          <cell r="AK680">
            <v>75</v>
          </cell>
          <cell r="AL680">
            <v>74.25</v>
          </cell>
          <cell r="AM680">
            <v>75</v>
          </cell>
          <cell r="AN680">
            <v>75</v>
          </cell>
          <cell r="AO680">
            <v>75</v>
          </cell>
          <cell r="AP680">
            <v>75</v>
          </cell>
          <cell r="AQ680">
            <v>75</v>
          </cell>
          <cell r="AR680">
            <v>75</v>
          </cell>
          <cell r="AS680">
            <v>75</v>
          </cell>
          <cell r="AT680">
            <v>75</v>
          </cell>
          <cell r="AU680">
            <v>75</v>
          </cell>
          <cell r="AV680">
            <v>75</v>
          </cell>
          <cell r="AW680">
            <v>75</v>
          </cell>
          <cell r="AX680">
            <v>75</v>
          </cell>
          <cell r="AY680">
            <v>75</v>
          </cell>
          <cell r="AZ680">
            <v>75</v>
          </cell>
          <cell r="BA680">
            <v>75</v>
          </cell>
          <cell r="BK680">
            <v>75</v>
          </cell>
          <cell r="BL680">
            <v>0</v>
          </cell>
        </row>
        <row r="681">
          <cell r="A681" t="str">
            <v>Galaxy Rio (Galaxy)</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75</v>
          </cell>
          <cell r="AN681">
            <v>150</v>
          </cell>
          <cell r="AO681">
            <v>150</v>
          </cell>
          <cell r="AP681">
            <v>150</v>
          </cell>
          <cell r="AQ681">
            <v>131.25</v>
          </cell>
          <cell r="AR681">
            <v>150</v>
          </cell>
          <cell r="AS681">
            <v>150</v>
          </cell>
          <cell r="AT681">
            <v>150</v>
          </cell>
          <cell r="AU681">
            <v>150</v>
          </cell>
          <cell r="AV681">
            <v>150</v>
          </cell>
          <cell r="AW681">
            <v>150</v>
          </cell>
          <cell r="AX681">
            <v>150</v>
          </cell>
          <cell r="AY681">
            <v>150</v>
          </cell>
          <cell r="AZ681">
            <v>150</v>
          </cell>
          <cell r="BA681">
            <v>150</v>
          </cell>
          <cell r="BK681">
            <v>150</v>
          </cell>
          <cell r="BL681">
            <v>0</v>
          </cell>
        </row>
        <row r="682">
          <cell r="A682" t="str">
            <v>Galaxy President (Galaxy)</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K682">
            <v>0</v>
          </cell>
          <cell r="BL682">
            <v>0</v>
          </cell>
        </row>
        <row r="683">
          <cell r="A683" t="str">
            <v>Galaxy Grand Waldo (Galaxy)</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167</v>
          </cell>
          <cell r="AO683">
            <v>334</v>
          </cell>
          <cell r="AP683">
            <v>334</v>
          </cell>
          <cell r="AQ683">
            <v>208.75</v>
          </cell>
          <cell r="AR683">
            <v>334</v>
          </cell>
          <cell r="AS683">
            <v>334</v>
          </cell>
          <cell r="AT683">
            <v>334</v>
          </cell>
          <cell r="AU683">
            <v>334</v>
          </cell>
          <cell r="AV683">
            <v>334</v>
          </cell>
          <cell r="AW683">
            <v>334</v>
          </cell>
          <cell r="AX683">
            <v>334</v>
          </cell>
          <cell r="AY683">
            <v>334</v>
          </cell>
          <cell r="AZ683">
            <v>334</v>
          </cell>
          <cell r="BA683">
            <v>334</v>
          </cell>
          <cell r="BK683">
            <v>334</v>
          </cell>
          <cell r="BL683">
            <v>0</v>
          </cell>
        </row>
        <row r="684">
          <cell r="A684" t="str">
            <v>Galaxy Starworld (Galaxy)</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277.71739130434781</v>
          </cell>
          <cell r="AQ684">
            <v>69.429347826086953</v>
          </cell>
          <cell r="AR684">
            <v>350</v>
          </cell>
          <cell r="AS684">
            <v>350</v>
          </cell>
          <cell r="AT684">
            <v>350</v>
          </cell>
          <cell r="AU684">
            <v>350</v>
          </cell>
          <cell r="AV684">
            <v>350</v>
          </cell>
          <cell r="AW684">
            <v>350</v>
          </cell>
          <cell r="AX684">
            <v>350</v>
          </cell>
          <cell r="AY684">
            <v>350</v>
          </cell>
          <cell r="AZ684">
            <v>350</v>
          </cell>
          <cell r="BA684">
            <v>350</v>
          </cell>
          <cell r="BK684">
            <v>371</v>
          </cell>
          <cell r="BL684">
            <v>-21</v>
          </cell>
        </row>
        <row r="685">
          <cell r="A685" t="str">
            <v>Galaxy Cotai (Galaxy)</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500</v>
          </cell>
          <cell r="AX685">
            <v>1000</v>
          </cell>
          <cell r="AY685">
            <v>1000</v>
          </cell>
          <cell r="AZ685">
            <v>1000</v>
          </cell>
          <cell r="BA685">
            <v>1000</v>
          </cell>
          <cell r="BK685">
            <v>0</v>
          </cell>
          <cell r="BL685">
            <v>0</v>
          </cell>
        </row>
        <row r="686">
          <cell r="A686" t="str">
            <v>Ponte 16</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300</v>
          </cell>
          <cell r="AU686">
            <v>300</v>
          </cell>
          <cell r="AV686">
            <v>150</v>
          </cell>
          <cell r="AW686">
            <v>300</v>
          </cell>
          <cell r="AX686">
            <v>300</v>
          </cell>
          <cell r="AY686">
            <v>300</v>
          </cell>
          <cell r="AZ686">
            <v>300</v>
          </cell>
          <cell r="BA686">
            <v>300</v>
          </cell>
          <cell r="BK686">
            <v>150</v>
          </cell>
          <cell r="BL686">
            <v>0</v>
          </cell>
        </row>
        <row r="687">
          <cell r="A687" t="str">
            <v>Grand Lisboa</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242</v>
          </cell>
          <cell r="AS687">
            <v>484</v>
          </cell>
          <cell r="AT687">
            <v>484</v>
          </cell>
          <cell r="AU687">
            <v>484</v>
          </cell>
          <cell r="AV687">
            <v>423.5</v>
          </cell>
          <cell r="AW687">
            <v>484</v>
          </cell>
          <cell r="AX687">
            <v>484</v>
          </cell>
          <cell r="AY687">
            <v>484</v>
          </cell>
          <cell r="AZ687">
            <v>484</v>
          </cell>
          <cell r="BA687">
            <v>484</v>
          </cell>
          <cell r="BK687">
            <v>100</v>
          </cell>
          <cell r="BL687">
            <v>323.5</v>
          </cell>
        </row>
        <row r="688">
          <cell r="A688" t="str">
            <v>Babylon</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339</v>
          </cell>
          <cell r="AS688">
            <v>339</v>
          </cell>
          <cell r="AT688">
            <v>339</v>
          </cell>
          <cell r="AU688">
            <v>339</v>
          </cell>
          <cell r="AV688">
            <v>339</v>
          </cell>
          <cell r="AW688">
            <v>339</v>
          </cell>
          <cell r="AX688">
            <v>339</v>
          </cell>
          <cell r="AY688">
            <v>339</v>
          </cell>
          <cell r="AZ688">
            <v>339</v>
          </cell>
          <cell r="BA688">
            <v>339</v>
          </cell>
          <cell r="BK688">
            <v>100</v>
          </cell>
          <cell r="BL688">
            <v>239</v>
          </cell>
        </row>
        <row r="689">
          <cell r="A689" t="str">
            <v>Arc de Triomphe</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200</v>
          </cell>
          <cell r="AX689">
            <v>200</v>
          </cell>
          <cell r="AY689">
            <v>200</v>
          </cell>
          <cell r="AZ689">
            <v>200</v>
          </cell>
          <cell r="BA689">
            <v>200</v>
          </cell>
          <cell r="BK689">
            <v>0</v>
          </cell>
          <cell r="BL689">
            <v>0</v>
          </cell>
        </row>
        <row r="690">
          <cell r="A690" t="str">
            <v>Oceanus</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1000</v>
          </cell>
          <cell r="AY690">
            <v>1000</v>
          </cell>
          <cell r="AZ690">
            <v>1000</v>
          </cell>
          <cell r="BA690">
            <v>1000</v>
          </cell>
          <cell r="BK690">
            <v>0</v>
          </cell>
          <cell r="BL690">
            <v>0</v>
          </cell>
        </row>
        <row r="691">
          <cell r="A691" t="str">
            <v>Shun Tak Nam Van</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300</v>
          </cell>
          <cell r="AZ691">
            <v>300</v>
          </cell>
          <cell r="BA691">
            <v>300</v>
          </cell>
          <cell r="BK691">
            <v>0</v>
          </cell>
          <cell r="BL691">
            <v>0</v>
          </cell>
        </row>
        <row r="692">
          <cell r="A692" t="str">
            <v>Shun Tak Cotai</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1000</v>
          </cell>
          <cell r="BA692">
            <v>1000</v>
          </cell>
          <cell r="BK692">
            <v>0</v>
          </cell>
          <cell r="BL692">
            <v>0</v>
          </cell>
        </row>
        <row r="693">
          <cell r="A693" t="str">
            <v>Macau Studio City (eSun)</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1000</v>
          </cell>
          <cell r="AY693">
            <v>1000</v>
          </cell>
          <cell r="AZ693">
            <v>1600</v>
          </cell>
          <cell r="BA693">
            <v>1600</v>
          </cell>
          <cell r="BK693">
            <v>0</v>
          </cell>
          <cell r="BL693">
            <v>0</v>
          </cell>
        </row>
        <row r="694">
          <cell r="A694" t="str">
            <v>Other</v>
          </cell>
          <cell r="X694">
            <v>808</v>
          </cell>
          <cell r="Y694">
            <v>808</v>
          </cell>
          <cell r="Z694">
            <v>808</v>
          </cell>
          <cell r="AA694">
            <v>873</v>
          </cell>
          <cell r="AB694">
            <v>824.25</v>
          </cell>
          <cell r="AC694">
            <v>873</v>
          </cell>
          <cell r="AD694">
            <v>1017</v>
          </cell>
          <cell r="AE694">
            <v>1434</v>
          </cell>
          <cell r="AF694">
            <v>1423.782608695652</v>
          </cell>
          <cell r="AG694">
            <v>1186.945652173913</v>
          </cell>
          <cell r="AH694">
            <v>1883</v>
          </cell>
          <cell r="AI694">
            <v>1878.5</v>
          </cell>
          <cell r="AJ694">
            <v>2051</v>
          </cell>
          <cell r="AK694">
            <v>2398.5</v>
          </cell>
          <cell r="AL694">
            <v>2052.75</v>
          </cell>
          <cell r="AM694">
            <v>2931.5</v>
          </cell>
          <cell r="AN694">
            <v>3091</v>
          </cell>
          <cell r="AO694">
            <v>3254.0978260869565</v>
          </cell>
          <cell r="AP694">
            <v>3419.782608695652</v>
          </cell>
          <cell r="AQ694">
            <v>3174.095108695652</v>
          </cell>
          <cell r="AR694">
            <v>4296.782608695652</v>
          </cell>
          <cell r="AS694">
            <v>4296.782608695652</v>
          </cell>
          <cell r="AT694">
            <v>4496.782608695652</v>
          </cell>
          <cell r="AU694">
            <v>4696.782608695652</v>
          </cell>
          <cell r="AV694">
            <v>4446.782608695652</v>
          </cell>
          <cell r="AW694">
            <v>4843.782608695652</v>
          </cell>
          <cell r="AX694">
            <v>4993.782608695652</v>
          </cell>
          <cell r="AY694">
            <v>5593.7826086956484</v>
          </cell>
          <cell r="AZ694">
            <v>6193.7826086956484</v>
          </cell>
          <cell r="BA694">
            <v>6793.7826086956484</v>
          </cell>
          <cell r="BK694">
            <v>3712.2391304347821</v>
          </cell>
          <cell r="BL694">
            <v>734.54347826086996</v>
          </cell>
        </row>
        <row r="695">
          <cell r="X695" t="str">
            <v>______</v>
          </cell>
          <cell r="Y695" t="str">
            <v>______</v>
          </cell>
          <cell r="Z695" t="str">
            <v>______</v>
          </cell>
          <cell r="AA695" t="str">
            <v>______</v>
          </cell>
          <cell r="AB695" t="str">
            <v>______</v>
          </cell>
          <cell r="AC695" t="str">
            <v>______</v>
          </cell>
          <cell r="AD695" t="str">
            <v>______</v>
          </cell>
          <cell r="AE695" t="str">
            <v>______</v>
          </cell>
          <cell r="AF695" t="str">
            <v>______</v>
          </cell>
          <cell r="AG695" t="str">
            <v>______</v>
          </cell>
          <cell r="AH695" t="str">
            <v>______</v>
          </cell>
          <cell r="AI695" t="str">
            <v>______</v>
          </cell>
          <cell r="AJ695" t="str">
            <v>______</v>
          </cell>
          <cell r="AK695" t="str">
            <v>______</v>
          </cell>
          <cell r="AL695" t="str">
            <v>______</v>
          </cell>
          <cell r="AM695" t="str">
            <v>______</v>
          </cell>
          <cell r="AN695" t="str">
            <v>______</v>
          </cell>
          <cell r="AO695" t="str">
            <v>______</v>
          </cell>
          <cell r="AP695" t="str">
            <v>______</v>
          </cell>
          <cell r="AQ695" t="str">
            <v>______</v>
          </cell>
          <cell r="AR695" t="str">
            <v>______</v>
          </cell>
          <cell r="AS695" t="str">
            <v>______</v>
          </cell>
          <cell r="AT695" t="str">
            <v>______</v>
          </cell>
          <cell r="AU695" t="str">
            <v>______</v>
          </cell>
          <cell r="AV695" t="str">
            <v>______</v>
          </cell>
          <cell r="AW695" t="str">
            <v>______</v>
          </cell>
          <cell r="AX695" t="str">
            <v>______</v>
          </cell>
          <cell r="AY695" t="str">
            <v>______</v>
          </cell>
          <cell r="AZ695" t="str">
            <v>______</v>
          </cell>
          <cell r="BA695" t="str">
            <v>______</v>
          </cell>
          <cell r="BK695" t="str">
            <v>______</v>
          </cell>
          <cell r="BL695" t="e">
            <v>#VALUE!</v>
          </cell>
        </row>
        <row r="696">
          <cell r="A696" t="str">
            <v>Total Average Mass Market Slots</v>
          </cell>
          <cell r="X696">
            <v>808</v>
          </cell>
          <cell r="Y696">
            <v>808</v>
          </cell>
          <cell r="Z696">
            <v>808</v>
          </cell>
          <cell r="AA696">
            <v>873</v>
          </cell>
          <cell r="AB696">
            <v>824.25</v>
          </cell>
          <cell r="AC696">
            <v>873</v>
          </cell>
          <cell r="AD696">
            <v>1130.8791208791208</v>
          </cell>
          <cell r="AE696">
            <v>2027</v>
          </cell>
          <cell r="AF696">
            <v>2163.782608695652</v>
          </cell>
          <cell r="AG696">
            <v>1548.6654323936932</v>
          </cell>
          <cell r="AH696">
            <v>2721</v>
          </cell>
          <cell r="AI696">
            <v>2774.5</v>
          </cell>
          <cell r="AJ696">
            <v>2927</v>
          </cell>
          <cell r="AK696">
            <v>3251.5</v>
          </cell>
          <cell r="AL696">
            <v>2918.5</v>
          </cell>
          <cell r="AM696">
            <v>3988.5</v>
          </cell>
          <cell r="AN696">
            <v>4378</v>
          </cell>
          <cell r="AO696">
            <v>4849</v>
          </cell>
          <cell r="AP696">
            <v>5855.5</v>
          </cell>
          <cell r="AQ696">
            <v>4767.75</v>
          </cell>
          <cell r="AR696">
            <v>7518.782608695652</v>
          </cell>
          <cell r="AS696">
            <v>8227.115942028986</v>
          </cell>
          <cell r="AT696">
            <v>13641.782608695652</v>
          </cell>
          <cell r="AU696">
            <v>14878.782608695652</v>
          </cell>
          <cell r="AV696">
            <v>11066.615942028984</v>
          </cell>
          <cell r="AW696">
            <v>17875.782608695652</v>
          </cell>
          <cell r="AX696">
            <v>27650.782608695652</v>
          </cell>
          <cell r="AY696">
            <v>38425.782608695648</v>
          </cell>
          <cell r="AZ696">
            <v>46525.782608695648</v>
          </cell>
          <cell r="BA696">
            <v>47125.782608695648</v>
          </cell>
          <cell r="BK696">
            <v>9388.7391304347821</v>
          </cell>
          <cell r="BL696">
            <v>1677.8768115942021</v>
          </cell>
        </row>
        <row r="697">
          <cell r="BL697">
            <v>0</v>
          </cell>
        </row>
        <row r="698">
          <cell r="A698" t="str">
            <v>Total Average Mass Market Positions</v>
          </cell>
          <cell r="BL698">
            <v>0</v>
          </cell>
        </row>
        <row r="699">
          <cell r="A699" t="str">
            <v>Sands Macao</v>
          </cell>
          <cell r="X699">
            <v>0</v>
          </cell>
          <cell r="Y699">
            <v>0</v>
          </cell>
          <cell r="Z699">
            <v>0</v>
          </cell>
          <cell r="AA699">
            <v>0</v>
          </cell>
          <cell r="AB699">
            <v>0</v>
          </cell>
          <cell r="AC699">
            <v>0</v>
          </cell>
          <cell r="AD699">
            <v>1176.7509157509155</v>
          </cell>
          <cell r="AE699">
            <v>2753</v>
          </cell>
          <cell r="AF699">
            <v>2802</v>
          </cell>
          <cell r="AG699">
            <v>1682.9377289377287</v>
          </cell>
          <cell r="AH699">
            <v>3139.6666666666665</v>
          </cell>
          <cell r="AI699">
            <v>3304</v>
          </cell>
          <cell r="AJ699">
            <v>3357.3333333333335</v>
          </cell>
          <cell r="AK699">
            <v>3609.3333333333335</v>
          </cell>
          <cell r="AL699">
            <v>3352.5833333333335</v>
          </cell>
          <cell r="AM699">
            <v>4092.3333333333335</v>
          </cell>
          <cell r="AN699">
            <v>4208.333333333333</v>
          </cell>
          <cell r="AO699">
            <v>5391.333333333333</v>
          </cell>
          <cell r="AP699">
            <v>7381</v>
          </cell>
          <cell r="AQ699">
            <v>5268.25</v>
          </cell>
          <cell r="AR699">
            <v>7463.2</v>
          </cell>
          <cell r="AS699">
            <v>7463.2</v>
          </cell>
          <cell r="AT699">
            <v>7463.2</v>
          </cell>
          <cell r="AU699">
            <v>7463.2</v>
          </cell>
          <cell r="AV699">
            <v>7463.2</v>
          </cell>
          <cell r="AW699">
            <v>7586.5</v>
          </cell>
          <cell r="AX699">
            <v>7586.5</v>
          </cell>
          <cell r="AY699">
            <v>7586.5</v>
          </cell>
          <cell r="AZ699">
            <v>7586.5</v>
          </cell>
          <cell r="BA699">
            <v>7586.5</v>
          </cell>
          <cell r="BK699">
            <v>7151.6</v>
          </cell>
          <cell r="BL699">
            <v>311.59999999999945</v>
          </cell>
          <cell r="BN699" t="str">
            <v>gt:lvs:sandsMacao:positions</v>
          </cell>
        </row>
        <row r="700">
          <cell r="A700" t="str">
            <v>Venetian Macao</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7890</v>
          </cell>
          <cell r="AU700">
            <v>7890</v>
          </cell>
          <cell r="AV700">
            <v>3945</v>
          </cell>
          <cell r="AW700">
            <v>9300</v>
          </cell>
          <cell r="AX700">
            <v>9300</v>
          </cell>
          <cell r="AY700">
            <v>9300</v>
          </cell>
          <cell r="AZ700">
            <v>13500</v>
          </cell>
          <cell r="BA700">
            <v>13500</v>
          </cell>
          <cell r="BK700">
            <v>3925</v>
          </cell>
          <cell r="BL700">
            <v>20</v>
          </cell>
          <cell r="BN700" t="str">
            <v>gt:lvs:venetianMacao:positions</v>
          </cell>
        </row>
        <row r="701">
          <cell r="A701" t="str">
            <v>Cotai Site 2 - Four Seasons (LVS)</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1350</v>
          </cell>
          <cell r="AX701">
            <v>1350</v>
          </cell>
          <cell r="AY701">
            <v>1350</v>
          </cell>
          <cell r="AZ701">
            <v>1350</v>
          </cell>
          <cell r="BA701">
            <v>1350</v>
          </cell>
          <cell r="BK701">
            <v>0</v>
          </cell>
          <cell r="BL701">
            <v>0</v>
          </cell>
        </row>
        <row r="702">
          <cell r="A702" t="str">
            <v>Cotai Site 3 - Far East (LVS)</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1862.5</v>
          </cell>
          <cell r="AY702">
            <v>3725</v>
          </cell>
          <cell r="AZ702">
            <v>3725</v>
          </cell>
          <cell r="BA702">
            <v>3725</v>
          </cell>
          <cell r="BK702">
            <v>0</v>
          </cell>
          <cell r="BL702">
            <v>0</v>
          </cell>
        </row>
        <row r="703">
          <cell r="A703" t="str">
            <v>Cotai Site 5 - Shangri-La/St.Regis/Traders (LVS)</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1875</v>
          </cell>
          <cell r="AX703">
            <v>3750</v>
          </cell>
          <cell r="AY703">
            <v>3375</v>
          </cell>
          <cell r="AZ703">
            <v>3375</v>
          </cell>
          <cell r="BA703">
            <v>3375</v>
          </cell>
          <cell r="BK703">
            <v>0</v>
          </cell>
          <cell r="BL703">
            <v>0</v>
          </cell>
        </row>
        <row r="704">
          <cell r="A704" t="str">
            <v>Cotai Site 6 - Starwood (LVS)</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1875</v>
          </cell>
          <cell r="AX704">
            <v>3750</v>
          </cell>
          <cell r="AY704">
            <v>3375</v>
          </cell>
          <cell r="AZ704">
            <v>3375</v>
          </cell>
          <cell r="BA704">
            <v>3375</v>
          </cell>
          <cell r="BK704">
            <v>0</v>
          </cell>
          <cell r="BL704">
            <v>0</v>
          </cell>
        </row>
        <row r="705">
          <cell r="A705" t="str">
            <v>Cotai Site 7 - Hilton (LVS)</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1875</v>
          </cell>
          <cell r="AY705">
            <v>3750</v>
          </cell>
          <cell r="AZ705">
            <v>3375</v>
          </cell>
          <cell r="BA705">
            <v>3375</v>
          </cell>
          <cell r="BK705">
            <v>0</v>
          </cell>
          <cell r="BL705">
            <v>0</v>
          </cell>
        </row>
        <row r="706">
          <cell r="A706" t="str">
            <v>Cotai Site 8 - FHR/Raffles (LVS)</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1875</v>
          </cell>
          <cell r="AY706">
            <v>3750</v>
          </cell>
          <cell r="AZ706">
            <v>3375</v>
          </cell>
          <cell r="BA706">
            <v>3375</v>
          </cell>
          <cell r="BK706">
            <v>0</v>
          </cell>
          <cell r="BL706">
            <v>0</v>
          </cell>
        </row>
        <row r="707">
          <cell r="A707" t="str">
            <v>Wynn Macau (WYNN)</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495.92391304347831</v>
          </cell>
          <cell r="AP707">
            <v>1962</v>
          </cell>
          <cell r="AQ707">
            <v>614.48097826086962</v>
          </cell>
          <cell r="AR707">
            <v>2039.6</v>
          </cell>
          <cell r="AS707">
            <v>2742.8</v>
          </cell>
          <cell r="AT707">
            <v>4062</v>
          </cell>
          <cell r="AU707">
            <v>4062</v>
          </cell>
          <cell r="AV707">
            <v>3226.6</v>
          </cell>
          <cell r="AW707">
            <v>4190</v>
          </cell>
          <cell r="AX707">
            <v>4190</v>
          </cell>
          <cell r="AY707">
            <v>4190</v>
          </cell>
          <cell r="AZ707">
            <v>4190</v>
          </cell>
          <cell r="BA707">
            <v>4190</v>
          </cell>
          <cell r="BK707">
            <v>3027</v>
          </cell>
          <cell r="BL707">
            <v>199.59999999999991</v>
          </cell>
        </row>
        <row r="708">
          <cell r="A708" t="str">
            <v>Wynn Cotai (WYNN)</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6000</v>
          </cell>
          <cell r="AZ708">
            <v>6000</v>
          </cell>
          <cell r="BA708">
            <v>6000</v>
          </cell>
          <cell r="BK708">
            <v>0</v>
          </cell>
          <cell r="BL708">
            <v>0</v>
          </cell>
        </row>
        <row r="709">
          <cell r="A709" t="str">
            <v>Wynn Cotai #2 (WYNN)</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6000</v>
          </cell>
          <cell r="AZ709">
            <v>6000</v>
          </cell>
          <cell r="BA709">
            <v>6000</v>
          </cell>
          <cell r="BK709">
            <v>0</v>
          </cell>
          <cell r="BL709">
            <v>0</v>
          </cell>
        </row>
        <row r="710">
          <cell r="A710" t="str">
            <v>MGM Grand (MGM)</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3434.8</v>
          </cell>
          <cell r="AV710">
            <v>858.7</v>
          </cell>
          <cell r="AW710">
            <v>3538.5</v>
          </cell>
          <cell r="AX710">
            <v>3538.5</v>
          </cell>
          <cell r="AY710">
            <v>3538.5</v>
          </cell>
          <cell r="AZ710">
            <v>3538.5</v>
          </cell>
          <cell r="BA710">
            <v>3538.5</v>
          </cell>
          <cell r="BK710">
            <v>802.5</v>
          </cell>
          <cell r="BL710">
            <v>56.200000000000045</v>
          </cell>
        </row>
        <row r="711">
          <cell r="A711" t="str">
            <v>MGM Cotai #1 (MGM)</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5500</v>
          </cell>
          <cell r="BA711">
            <v>5500</v>
          </cell>
          <cell r="BK711">
            <v>802.5</v>
          </cell>
          <cell r="BL711">
            <v>-802.5</v>
          </cell>
        </row>
        <row r="712">
          <cell r="A712" t="str">
            <v>Crown Macau (PBL/Melco)</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1299.9999999999998</v>
          </cell>
          <cell r="AT712">
            <v>1950</v>
          </cell>
          <cell r="AU712">
            <v>1950</v>
          </cell>
          <cell r="AV712">
            <v>1299.9999999999998</v>
          </cell>
          <cell r="AW712">
            <v>1850</v>
          </cell>
          <cell r="AX712">
            <v>1850</v>
          </cell>
          <cell r="AY712">
            <v>1850</v>
          </cell>
          <cell r="AZ712">
            <v>1850</v>
          </cell>
          <cell r="BA712">
            <v>1850</v>
          </cell>
          <cell r="BK712">
            <v>600</v>
          </cell>
          <cell r="BL712">
            <v>699.99999999999977</v>
          </cell>
        </row>
        <row r="713">
          <cell r="A713" t="str">
            <v>Penninsula Project (PBL/Melco)</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725</v>
          </cell>
          <cell r="AY713">
            <v>1850</v>
          </cell>
          <cell r="AZ713">
            <v>1850</v>
          </cell>
          <cell r="BA713">
            <v>1850</v>
          </cell>
          <cell r="BK713">
            <v>0</v>
          </cell>
          <cell r="BL713">
            <v>0</v>
          </cell>
        </row>
        <row r="714">
          <cell r="A714" t="str">
            <v>City of Dreams (PBL/Melco)</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5250</v>
          </cell>
          <cell r="AY714">
            <v>5250</v>
          </cell>
          <cell r="AZ714">
            <v>5250</v>
          </cell>
          <cell r="BA714">
            <v>5250</v>
          </cell>
          <cell r="BK714">
            <v>0</v>
          </cell>
          <cell r="BL714">
            <v>0</v>
          </cell>
        </row>
        <row r="715">
          <cell r="A715" t="str">
            <v>Galaxy Waldo (Galaxy)</v>
          </cell>
          <cell r="X715">
            <v>0</v>
          </cell>
          <cell r="Y715">
            <v>0</v>
          </cell>
          <cell r="Z715">
            <v>0</v>
          </cell>
          <cell r="AA715">
            <v>0</v>
          </cell>
          <cell r="AB715">
            <v>0</v>
          </cell>
          <cell r="AC715">
            <v>0</v>
          </cell>
          <cell r="AD715">
            <v>0</v>
          </cell>
          <cell r="AE715">
            <v>224.66666666666666</v>
          </cell>
          <cell r="AF715">
            <v>224.66666666666666</v>
          </cell>
          <cell r="AG715">
            <v>112.33333333333333</v>
          </cell>
          <cell r="AH715">
            <v>224.66666666666666</v>
          </cell>
          <cell r="AI715">
            <v>224.66666666666666</v>
          </cell>
          <cell r="AJ715">
            <v>224.66666666666666</v>
          </cell>
          <cell r="AK715">
            <v>225</v>
          </cell>
          <cell r="AL715">
            <v>224.75</v>
          </cell>
          <cell r="AM715">
            <v>225</v>
          </cell>
          <cell r="AN715">
            <v>225</v>
          </cell>
          <cell r="AO715">
            <v>225</v>
          </cell>
          <cell r="AP715">
            <v>225</v>
          </cell>
          <cell r="AQ715">
            <v>225</v>
          </cell>
          <cell r="AR715">
            <v>230</v>
          </cell>
          <cell r="AS715">
            <v>230</v>
          </cell>
          <cell r="AT715">
            <v>230</v>
          </cell>
          <cell r="AU715">
            <v>230</v>
          </cell>
          <cell r="AV715">
            <v>230</v>
          </cell>
          <cell r="AW715">
            <v>237.5</v>
          </cell>
          <cell r="AX715">
            <v>237.5</v>
          </cell>
          <cell r="AY715">
            <v>237.5</v>
          </cell>
          <cell r="AZ715">
            <v>237.5</v>
          </cell>
          <cell r="BA715">
            <v>237.5</v>
          </cell>
          <cell r="BK715">
            <v>230</v>
          </cell>
          <cell r="BL715">
            <v>0</v>
          </cell>
        </row>
        <row r="716">
          <cell r="A716" t="str">
            <v>Galaxy Rio (Galaxy)</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400</v>
          </cell>
          <cell r="AN716">
            <v>800</v>
          </cell>
          <cell r="AO716">
            <v>800</v>
          </cell>
          <cell r="AP716">
            <v>800</v>
          </cell>
          <cell r="AQ716">
            <v>700</v>
          </cell>
          <cell r="AR716">
            <v>810</v>
          </cell>
          <cell r="AS716">
            <v>810</v>
          </cell>
          <cell r="AT716">
            <v>810</v>
          </cell>
          <cell r="AU716">
            <v>810</v>
          </cell>
          <cell r="AV716">
            <v>810</v>
          </cell>
          <cell r="AW716">
            <v>825</v>
          </cell>
          <cell r="AX716">
            <v>825</v>
          </cell>
          <cell r="AY716">
            <v>825</v>
          </cell>
          <cell r="AZ716">
            <v>825</v>
          </cell>
          <cell r="BA716">
            <v>825</v>
          </cell>
          <cell r="BK716">
            <v>810</v>
          </cell>
          <cell r="BL716">
            <v>0</v>
          </cell>
        </row>
        <row r="717">
          <cell r="A717" t="str">
            <v>Galaxy President (Galaxy)</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366.66666666666663</v>
          </cell>
          <cell r="AO717">
            <v>550</v>
          </cell>
          <cell r="AP717">
            <v>550</v>
          </cell>
          <cell r="AQ717">
            <v>366.66666666666663</v>
          </cell>
          <cell r="AR717">
            <v>550</v>
          </cell>
          <cell r="AS717">
            <v>550</v>
          </cell>
          <cell r="AT717">
            <v>550</v>
          </cell>
          <cell r="AU717">
            <v>550</v>
          </cell>
          <cell r="AV717">
            <v>550</v>
          </cell>
          <cell r="AW717">
            <v>550</v>
          </cell>
          <cell r="AX717">
            <v>550</v>
          </cell>
          <cell r="AY717">
            <v>550</v>
          </cell>
          <cell r="AZ717">
            <v>550</v>
          </cell>
          <cell r="BA717">
            <v>550</v>
          </cell>
          <cell r="BK717">
            <v>550</v>
          </cell>
          <cell r="BL717">
            <v>0</v>
          </cell>
        </row>
        <row r="718">
          <cell r="A718" t="str">
            <v>Galaxy Grand Waldo (Galaxy)</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555.66666666666663</v>
          </cell>
          <cell r="AO718">
            <v>1111.3333333333333</v>
          </cell>
          <cell r="AP718">
            <v>1111.3333333333333</v>
          </cell>
          <cell r="AQ718">
            <v>694.58333333333337</v>
          </cell>
          <cell r="AR718">
            <v>1133.5999999999999</v>
          </cell>
          <cell r="AS718">
            <v>1133.5999999999999</v>
          </cell>
          <cell r="AT718">
            <v>1133.5999999999999</v>
          </cell>
          <cell r="AU718">
            <v>1133.5999999999999</v>
          </cell>
          <cell r="AV718">
            <v>1133.5999999999999</v>
          </cell>
          <cell r="AW718">
            <v>1167</v>
          </cell>
          <cell r="AX718">
            <v>1167</v>
          </cell>
          <cell r="AY718">
            <v>1167</v>
          </cell>
          <cell r="AZ718">
            <v>1167</v>
          </cell>
          <cell r="BA718">
            <v>1167</v>
          </cell>
          <cell r="BK718">
            <v>1133.5999999999999</v>
          </cell>
          <cell r="BL718">
            <v>0</v>
          </cell>
        </row>
        <row r="719">
          <cell r="A719" t="str">
            <v>Galaxy Starworld (Galaxy)</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1407.0169082125606</v>
          </cell>
          <cell r="AQ719">
            <v>351.75422705314014</v>
          </cell>
          <cell r="AR719">
            <v>2130</v>
          </cell>
          <cell r="AS719">
            <v>2130</v>
          </cell>
          <cell r="AT719">
            <v>2130</v>
          </cell>
          <cell r="AU719">
            <v>2130</v>
          </cell>
          <cell r="AV719">
            <v>2130</v>
          </cell>
          <cell r="AW719">
            <v>2165</v>
          </cell>
          <cell r="AX719">
            <v>2165</v>
          </cell>
          <cell r="AY719">
            <v>2165</v>
          </cell>
          <cell r="AZ719">
            <v>2165</v>
          </cell>
          <cell r="BA719">
            <v>2165</v>
          </cell>
          <cell r="BK719">
            <v>2148.4</v>
          </cell>
          <cell r="BL719">
            <v>-18.400000000000091</v>
          </cell>
        </row>
        <row r="720">
          <cell r="A720" t="str">
            <v>Galaxy Cotai (Galaxy)</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2300</v>
          </cell>
          <cell r="AX720">
            <v>4600</v>
          </cell>
          <cell r="AY720">
            <v>4500</v>
          </cell>
          <cell r="AZ720">
            <v>4500</v>
          </cell>
          <cell r="BA720">
            <v>4500</v>
          </cell>
          <cell r="BK720">
            <v>0</v>
          </cell>
          <cell r="BL720">
            <v>0</v>
          </cell>
        </row>
        <row r="721">
          <cell r="A721" t="str">
            <v>Ponte 16</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1620</v>
          </cell>
          <cell r="AU721">
            <v>1620</v>
          </cell>
          <cell r="AV721">
            <v>810</v>
          </cell>
          <cell r="AW721">
            <v>1650</v>
          </cell>
          <cell r="AX721">
            <v>1650</v>
          </cell>
          <cell r="AY721">
            <v>1650</v>
          </cell>
          <cell r="AZ721">
            <v>1650</v>
          </cell>
          <cell r="BA721">
            <v>1650</v>
          </cell>
          <cell r="BK721">
            <v>810</v>
          </cell>
          <cell r="BL721">
            <v>0</v>
          </cell>
        </row>
        <row r="722">
          <cell r="A722" t="str">
            <v>Grand Lisboa</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1296.8</v>
          </cell>
          <cell r="AS722">
            <v>2593.6</v>
          </cell>
          <cell r="AT722">
            <v>2593.6</v>
          </cell>
          <cell r="AU722">
            <v>2593.6</v>
          </cell>
          <cell r="AV722">
            <v>2269.4</v>
          </cell>
          <cell r="AW722">
            <v>2642</v>
          </cell>
          <cell r="AX722">
            <v>2642</v>
          </cell>
          <cell r="AY722">
            <v>2642</v>
          </cell>
          <cell r="AZ722">
            <v>2642</v>
          </cell>
          <cell r="BA722">
            <v>2642</v>
          </cell>
          <cell r="BK722">
            <v>3540</v>
          </cell>
          <cell r="BL722">
            <v>-1270.5999999999999</v>
          </cell>
        </row>
        <row r="723">
          <cell r="A723" t="str">
            <v>Babylon</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78.260869565217391</v>
          </cell>
          <cell r="AQ723">
            <v>19.565217391304348</v>
          </cell>
          <cell r="AR723">
            <v>915.6</v>
          </cell>
          <cell r="AS723">
            <v>915.6</v>
          </cell>
          <cell r="AT723">
            <v>915.6</v>
          </cell>
          <cell r="AU723">
            <v>1035.5999999999999</v>
          </cell>
          <cell r="AV723">
            <v>945.6</v>
          </cell>
          <cell r="AW723">
            <v>1069.5</v>
          </cell>
          <cell r="AX723">
            <v>1069.5</v>
          </cell>
          <cell r="AY723">
            <v>1069.5</v>
          </cell>
          <cell r="AZ723">
            <v>1069.5</v>
          </cell>
          <cell r="BA723">
            <v>1069.5</v>
          </cell>
          <cell r="BK723">
            <v>490</v>
          </cell>
          <cell r="BL723">
            <v>455.6</v>
          </cell>
        </row>
        <row r="724">
          <cell r="A724" t="str">
            <v>Arc de Triomphe</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700</v>
          </cell>
          <cell r="AX724">
            <v>700</v>
          </cell>
          <cell r="AY724">
            <v>700</v>
          </cell>
          <cell r="AZ724">
            <v>700</v>
          </cell>
          <cell r="BA724">
            <v>700</v>
          </cell>
          <cell r="BK724">
            <v>0</v>
          </cell>
          <cell r="BL724">
            <v>0</v>
          </cell>
        </row>
        <row r="725">
          <cell r="A725" t="str">
            <v>Oceanus</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5500</v>
          </cell>
          <cell r="AY725">
            <v>5500</v>
          </cell>
          <cell r="AZ725">
            <v>5500</v>
          </cell>
          <cell r="BA725">
            <v>5500</v>
          </cell>
          <cell r="BK725">
            <v>0</v>
          </cell>
          <cell r="BL725">
            <v>0</v>
          </cell>
        </row>
        <row r="726">
          <cell r="A726" t="str">
            <v>Shun Tak Nam Van</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1650</v>
          </cell>
          <cell r="AZ726">
            <v>1650</v>
          </cell>
          <cell r="BA726">
            <v>1650</v>
          </cell>
          <cell r="BK726">
            <v>0</v>
          </cell>
          <cell r="BL726">
            <v>0</v>
          </cell>
        </row>
        <row r="727">
          <cell r="A727" t="str">
            <v>Shun Tak Cotai</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5500</v>
          </cell>
          <cell r="BA727">
            <v>5500</v>
          </cell>
          <cell r="BK727">
            <v>0</v>
          </cell>
          <cell r="BL727">
            <v>0</v>
          </cell>
        </row>
        <row r="728">
          <cell r="A728" t="str">
            <v>Macau Studio City (eSun)</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4100</v>
          </cell>
          <cell r="AY728">
            <v>4100</v>
          </cell>
          <cell r="AZ728">
            <v>6650</v>
          </cell>
          <cell r="BA728">
            <v>6650</v>
          </cell>
          <cell r="BK728">
            <v>0</v>
          </cell>
          <cell r="BL728">
            <v>0</v>
          </cell>
        </row>
        <row r="729">
          <cell r="A729" t="str">
            <v>Other</v>
          </cell>
          <cell r="X729">
            <v>2849.3333333333335</v>
          </cell>
          <cell r="Y729">
            <v>2849.3333333333335</v>
          </cell>
          <cell r="Z729">
            <v>2849.3333333333335</v>
          </cell>
          <cell r="AA729">
            <v>2871</v>
          </cell>
          <cell r="AB729">
            <v>2854.75</v>
          </cell>
          <cell r="AC729">
            <v>2871</v>
          </cell>
          <cell r="AD729">
            <v>3200.2087912087914</v>
          </cell>
          <cell r="AE729">
            <v>2658</v>
          </cell>
          <cell r="AF729">
            <v>4784.594202898551</v>
          </cell>
          <cell r="AG729">
            <v>3378.4507485268355</v>
          </cell>
          <cell r="AH729">
            <v>6372.666666666667</v>
          </cell>
          <cell r="AI729">
            <v>6891.166666666667</v>
          </cell>
          <cell r="AJ729">
            <v>7218.666666666667</v>
          </cell>
          <cell r="AK729">
            <v>7724.5</v>
          </cell>
          <cell r="AL729">
            <v>7051.75</v>
          </cell>
          <cell r="AM729">
            <v>8482.1666666666661</v>
          </cell>
          <cell r="AN729">
            <v>9213.6666666666679</v>
          </cell>
          <cell r="AO729">
            <v>9268.032608695652</v>
          </cell>
          <cell r="AP729">
            <v>9323.2608695652179</v>
          </cell>
          <cell r="AQ729">
            <v>9071.7817028985519</v>
          </cell>
          <cell r="AR729">
            <v>9902.0463768115951</v>
          </cell>
          <cell r="AS729">
            <v>9902.0463768115951</v>
          </cell>
          <cell r="AT729">
            <v>9982.0463768115951</v>
          </cell>
          <cell r="AU729">
            <v>10062.046376811595</v>
          </cell>
          <cell r="AV729">
            <v>9962.0463768115951</v>
          </cell>
          <cell r="AW729">
            <v>10605.22463768116</v>
          </cell>
          <cell r="AX729">
            <v>10680.22463768116</v>
          </cell>
          <cell r="AY729">
            <v>10980.224637681158</v>
          </cell>
          <cell r="AZ729">
            <v>11280.224637681158</v>
          </cell>
          <cell r="BA729">
            <v>11580.224637681158</v>
          </cell>
          <cell r="BK729">
            <v>9503.6456521739128</v>
          </cell>
          <cell r="BL729">
            <v>458.40072463768229</v>
          </cell>
        </row>
        <row r="730">
          <cell r="X730" t="str">
            <v>______</v>
          </cell>
          <cell r="Y730" t="str">
            <v>______</v>
          </cell>
          <cell r="Z730" t="str">
            <v>______</v>
          </cell>
          <cell r="AA730" t="str">
            <v>______</v>
          </cell>
          <cell r="AB730" t="str">
            <v>______</v>
          </cell>
          <cell r="AC730" t="str">
            <v>______</v>
          </cell>
          <cell r="AD730" t="str">
            <v>______</v>
          </cell>
          <cell r="AE730" t="str">
            <v>______</v>
          </cell>
          <cell r="AF730" t="str">
            <v>______</v>
          </cell>
          <cell r="AG730" t="str">
            <v>______</v>
          </cell>
          <cell r="AH730" t="str">
            <v>______</v>
          </cell>
          <cell r="AI730" t="str">
            <v>______</v>
          </cell>
          <cell r="AJ730" t="str">
            <v>______</v>
          </cell>
          <cell r="AK730" t="str">
            <v>______</v>
          </cell>
          <cell r="AL730" t="str">
            <v>______</v>
          </cell>
          <cell r="AM730" t="str">
            <v>______</v>
          </cell>
          <cell r="AN730" t="str">
            <v>______</v>
          </cell>
          <cell r="AO730" t="str">
            <v>______</v>
          </cell>
          <cell r="AP730" t="str">
            <v>______</v>
          </cell>
          <cell r="AQ730" t="str">
            <v>______</v>
          </cell>
          <cell r="AR730" t="str">
            <v>______</v>
          </cell>
          <cell r="AS730" t="str">
            <v>______</v>
          </cell>
          <cell r="AT730" t="str">
            <v>______</v>
          </cell>
          <cell r="AU730" t="str">
            <v>______</v>
          </cell>
          <cell r="AV730" t="str">
            <v>______</v>
          </cell>
          <cell r="AW730" t="str">
            <v>______</v>
          </cell>
          <cell r="AX730" t="str">
            <v>______</v>
          </cell>
          <cell r="AY730" t="str">
            <v>______</v>
          </cell>
          <cell r="AZ730" t="str">
            <v>______</v>
          </cell>
          <cell r="BA730" t="str">
            <v>______</v>
          </cell>
          <cell r="BK730" t="str">
            <v>______</v>
          </cell>
          <cell r="BL730" t="e">
            <v>#VALUE!</v>
          </cell>
        </row>
        <row r="731">
          <cell r="A731" t="str">
            <v>Total Average Mass Market Positions</v>
          </cell>
          <cell r="X731">
            <v>2849.3333333333335</v>
          </cell>
          <cell r="Y731">
            <v>2849.3333333333335</v>
          </cell>
          <cell r="Z731">
            <v>2849.3333333333335</v>
          </cell>
          <cell r="AA731">
            <v>2871</v>
          </cell>
          <cell r="AB731">
            <v>2854.75</v>
          </cell>
          <cell r="AC731">
            <v>2871</v>
          </cell>
          <cell r="AD731">
            <v>4376.9597069597066</v>
          </cell>
          <cell r="AE731">
            <v>5635.6666666666661</v>
          </cell>
          <cell r="AF731">
            <v>7811.2608695652179</v>
          </cell>
          <cell r="AG731">
            <v>5173.721810797897</v>
          </cell>
          <cell r="AH731">
            <v>9737</v>
          </cell>
          <cell r="AI731">
            <v>10419.833333333334</v>
          </cell>
          <cell r="AJ731">
            <v>10800.666666666668</v>
          </cell>
          <cell r="AK731">
            <v>11558.833333333334</v>
          </cell>
          <cell r="AL731">
            <v>10629.083333333334</v>
          </cell>
          <cell r="AM731">
            <v>13199.5</v>
          </cell>
          <cell r="AN731">
            <v>15369.333333333336</v>
          </cell>
          <cell r="AO731">
            <v>17841.623188405796</v>
          </cell>
          <cell r="AP731">
            <v>22837.871980676333</v>
          </cell>
          <cell r="AQ731">
            <v>17312.082125603865</v>
          </cell>
          <cell r="AR731">
            <v>26470.846376811594</v>
          </cell>
          <cell r="AS731">
            <v>29770.846376811594</v>
          </cell>
          <cell r="AT731">
            <v>41330.046376811588</v>
          </cell>
          <cell r="AU731">
            <v>44964.846376811591</v>
          </cell>
          <cell r="AV731">
            <v>35634.146376811594</v>
          </cell>
          <cell r="AW731">
            <v>55476.22463768116</v>
          </cell>
          <cell r="AX731">
            <v>82788.724637681153</v>
          </cell>
          <cell r="AY731">
            <v>102626.22463768115</v>
          </cell>
          <cell r="AZ731">
            <v>119926.22463768115</v>
          </cell>
          <cell r="BA731">
            <v>120226.22463768115</v>
          </cell>
          <cell r="BK731">
            <v>34721.745652173908</v>
          </cell>
          <cell r="BL731">
            <v>912.40072463768593</v>
          </cell>
        </row>
        <row r="732">
          <cell r="BL732">
            <v>0</v>
          </cell>
        </row>
        <row r="733">
          <cell r="A733" t="str">
            <v>Las Vegas Sands</v>
          </cell>
          <cell r="X733">
            <v>0</v>
          </cell>
          <cell r="Y733">
            <v>0</v>
          </cell>
          <cell r="Z733">
            <v>0</v>
          </cell>
          <cell r="AA733">
            <v>0</v>
          </cell>
          <cell r="AB733">
            <v>0</v>
          </cell>
          <cell r="AC733">
            <v>0</v>
          </cell>
          <cell r="AD733">
            <v>1176.7509157509155</v>
          </cell>
          <cell r="AE733">
            <v>2753</v>
          </cell>
          <cell r="AF733">
            <v>2802</v>
          </cell>
          <cell r="AG733">
            <v>1682.9377289377287</v>
          </cell>
          <cell r="AH733">
            <v>3139.6666666666665</v>
          </cell>
          <cell r="AI733">
            <v>3304</v>
          </cell>
          <cell r="AJ733">
            <v>3357.3333333333335</v>
          </cell>
          <cell r="AK733">
            <v>3609.3333333333335</v>
          </cell>
          <cell r="AL733">
            <v>3352.5833333333335</v>
          </cell>
          <cell r="AM733">
            <v>4092.3333333333335</v>
          </cell>
          <cell r="AN733">
            <v>4208.333333333333</v>
          </cell>
          <cell r="AO733">
            <v>5391.333333333333</v>
          </cell>
          <cell r="AP733">
            <v>7381</v>
          </cell>
          <cell r="AQ733">
            <v>5268.25</v>
          </cell>
          <cell r="AR733">
            <v>7463.2</v>
          </cell>
          <cell r="AS733">
            <v>7463.2</v>
          </cell>
          <cell r="AT733">
            <v>15353.2</v>
          </cell>
          <cell r="AU733">
            <v>15353.2</v>
          </cell>
          <cell r="AV733">
            <v>11408.2</v>
          </cell>
          <cell r="AW733">
            <v>21986.5</v>
          </cell>
          <cell r="AX733">
            <v>31349</v>
          </cell>
          <cell r="AY733">
            <v>36211.5</v>
          </cell>
          <cell r="AZ733">
            <v>39661.5</v>
          </cell>
          <cell r="BA733">
            <v>39661.5</v>
          </cell>
          <cell r="BK733">
            <v>11076.6</v>
          </cell>
          <cell r="BL733">
            <v>331.60000000000036</v>
          </cell>
        </row>
        <row r="734">
          <cell r="A734" t="str">
            <v>Wynn</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495.92391304347831</v>
          </cell>
          <cell r="AP734">
            <v>1962</v>
          </cell>
          <cell r="AQ734">
            <v>614.48097826086962</v>
          </cell>
          <cell r="AR734">
            <v>2039.6</v>
          </cell>
          <cell r="AS734">
            <v>2742.8</v>
          </cell>
          <cell r="AT734">
            <v>4062</v>
          </cell>
          <cell r="AU734">
            <v>4062</v>
          </cell>
          <cell r="AV734">
            <v>3226.6</v>
          </cell>
          <cell r="AW734">
            <v>4190</v>
          </cell>
          <cell r="AX734">
            <v>4190</v>
          </cell>
          <cell r="AY734">
            <v>16190</v>
          </cell>
          <cell r="AZ734">
            <v>16190</v>
          </cell>
          <cell r="BA734">
            <v>16190</v>
          </cell>
          <cell r="BK734">
            <v>3027</v>
          </cell>
          <cell r="BL734">
            <v>199.59999999999991</v>
          </cell>
        </row>
        <row r="735">
          <cell r="A735" t="str">
            <v>MGM</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3434.8</v>
          </cell>
          <cell r="AV735">
            <v>858.7</v>
          </cell>
          <cell r="AW735">
            <v>3538.5</v>
          </cell>
          <cell r="AX735">
            <v>3538.5</v>
          </cell>
          <cell r="AY735">
            <v>3538.5</v>
          </cell>
          <cell r="AZ735">
            <v>9038.5</v>
          </cell>
          <cell r="BA735">
            <v>9038.5</v>
          </cell>
          <cell r="BK735">
            <v>802.5</v>
          </cell>
          <cell r="BL735">
            <v>56.200000000000045</v>
          </cell>
        </row>
        <row r="736">
          <cell r="A736" t="str">
            <v>PBL/Melco</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1299.9999999999998</v>
          </cell>
          <cell r="AT736">
            <v>1950</v>
          </cell>
          <cell r="AU736">
            <v>1950</v>
          </cell>
          <cell r="AV736">
            <v>1299.9999999999998</v>
          </cell>
          <cell r="AW736">
            <v>1850</v>
          </cell>
          <cell r="AX736">
            <v>7825</v>
          </cell>
          <cell r="AY736">
            <v>8950</v>
          </cell>
          <cell r="AZ736">
            <v>8950</v>
          </cell>
          <cell r="BA736">
            <v>8950</v>
          </cell>
          <cell r="BK736">
            <v>600</v>
          </cell>
          <cell r="BL736">
            <v>699.99999999999977</v>
          </cell>
        </row>
        <row r="737">
          <cell r="A737" t="str">
            <v>Galaxy Resorts</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1407.0169082125606</v>
          </cell>
          <cell r="AQ737">
            <v>351.75422705314014</v>
          </cell>
          <cell r="AR737">
            <v>2130</v>
          </cell>
          <cell r="AS737">
            <v>2130</v>
          </cell>
          <cell r="AT737">
            <v>2130</v>
          </cell>
          <cell r="AU737">
            <v>2130</v>
          </cell>
          <cell r="AV737">
            <v>2130</v>
          </cell>
          <cell r="AW737">
            <v>4465</v>
          </cell>
          <cell r="AX737">
            <v>6765</v>
          </cell>
          <cell r="AY737">
            <v>6665</v>
          </cell>
          <cell r="AZ737">
            <v>6665</v>
          </cell>
          <cell r="BA737">
            <v>6665</v>
          </cell>
          <cell r="BK737">
            <v>2148.4</v>
          </cell>
          <cell r="BL737">
            <v>-18.400000000000091</v>
          </cell>
        </row>
        <row r="738">
          <cell r="A738" t="str">
            <v>Galaxy City Clubs</v>
          </cell>
          <cell r="X738">
            <v>0</v>
          </cell>
          <cell r="Y738">
            <v>0</v>
          </cell>
          <cell r="Z738">
            <v>0</v>
          </cell>
          <cell r="AA738">
            <v>0</v>
          </cell>
          <cell r="AB738">
            <v>0</v>
          </cell>
          <cell r="AC738">
            <v>0</v>
          </cell>
          <cell r="AD738">
            <v>0</v>
          </cell>
          <cell r="AE738">
            <v>224.66666666666666</v>
          </cell>
          <cell r="AF738">
            <v>224.66666666666666</v>
          </cell>
          <cell r="AG738">
            <v>112.33333333333333</v>
          </cell>
          <cell r="AH738">
            <v>224.66666666666666</v>
          </cell>
          <cell r="AI738">
            <v>224.66666666666666</v>
          </cell>
          <cell r="AJ738">
            <v>224.66666666666666</v>
          </cell>
          <cell r="AK738">
            <v>225</v>
          </cell>
          <cell r="AL738">
            <v>224.75</v>
          </cell>
          <cell r="AM738">
            <v>625</v>
          </cell>
          <cell r="AN738">
            <v>1947.333333333333</v>
          </cell>
          <cell r="AO738">
            <v>2686.333333333333</v>
          </cell>
          <cell r="AP738">
            <v>2686.333333333333</v>
          </cell>
          <cell r="AQ738">
            <v>1986.25</v>
          </cell>
          <cell r="AR738">
            <v>2723.6</v>
          </cell>
          <cell r="AS738">
            <v>2723.6</v>
          </cell>
          <cell r="AT738">
            <v>2723.6</v>
          </cell>
          <cell r="AU738">
            <v>2723.6</v>
          </cell>
          <cell r="AV738">
            <v>2723.6</v>
          </cell>
          <cell r="AW738">
            <v>2779.5</v>
          </cell>
          <cell r="AX738">
            <v>2779.5</v>
          </cell>
          <cell r="AY738">
            <v>2779.5</v>
          </cell>
          <cell r="AZ738">
            <v>2779.5</v>
          </cell>
          <cell r="BA738">
            <v>2779.5</v>
          </cell>
          <cell r="BK738">
            <v>2723.6</v>
          </cell>
          <cell r="BL738">
            <v>0</v>
          </cell>
        </row>
        <row r="739">
          <cell r="A739" t="str">
            <v>Macau Studio City (eSun)</v>
          </cell>
          <cell r="AL739">
            <v>0</v>
          </cell>
          <cell r="AM739">
            <v>0</v>
          </cell>
          <cell r="AN739">
            <v>0</v>
          </cell>
          <cell r="AO739">
            <v>0</v>
          </cell>
          <cell r="AP739">
            <v>0</v>
          </cell>
          <cell r="AQ739">
            <v>0</v>
          </cell>
          <cell r="AR739">
            <v>0</v>
          </cell>
          <cell r="AS739">
            <v>0</v>
          </cell>
          <cell r="AT739">
            <v>0</v>
          </cell>
          <cell r="AU739">
            <v>0</v>
          </cell>
          <cell r="AV739">
            <v>0</v>
          </cell>
          <cell r="AW739">
            <v>0</v>
          </cell>
          <cell r="AX739">
            <v>4100</v>
          </cell>
          <cell r="AY739">
            <v>4100</v>
          </cell>
          <cell r="AZ739">
            <v>6650</v>
          </cell>
          <cell r="BA739">
            <v>6650</v>
          </cell>
        </row>
        <row r="740">
          <cell r="A740" t="str">
            <v>New SJM</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78.260869565217391</v>
          </cell>
          <cell r="AQ740">
            <v>19.565217391304348</v>
          </cell>
          <cell r="AR740">
            <v>2212.4</v>
          </cell>
          <cell r="AS740">
            <v>3509.2</v>
          </cell>
          <cell r="AT740">
            <v>5129.2000000000007</v>
          </cell>
          <cell r="AU740">
            <v>5249.2000000000007</v>
          </cell>
          <cell r="AV740">
            <v>4025</v>
          </cell>
          <cell r="AW740">
            <v>6061.5</v>
          </cell>
          <cell r="AX740">
            <v>11561.5</v>
          </cell>
          <cell r="AY740">
            <v>13211.5</v>
          </cell>
          <cell r="AZ740">
            <v>18711.5</v>
          </cell>
          <cell r="BA740">
            <v>18711.5</v>
          </cell>
          <cell r="BK740">
            <v>4840</v>
          </cell>
          <cell r="BL740">
            <v>-815</v>
          </cell>
        </row>
        <row r="741">
          <cell r="A741" t="str">
            <v>Old SJM</v>
          </cell>
          <cell r="X741">
            <v>2849.3333333333335</v>
          </cell>
          <cell r="Y741">
            <v>2849.3333333333335</v>
          </cell>
          <cell r="Z741">
            <v>2849.3333333333335</v>
          </cell>
          <cell r="AA741">
            <v>2871</v>
          </cell>
          <cell r="AB741">
            <v>2854.75</v>
          </cell>
          <cell r="AC741">
            <v>2871</v>
          </cell>
          <cell r="AD741">
            <v>3200.2087912087914</v>
          </cell>
          <cell r="AE741">
            <v>2658</v>
          </cell>
          <cell r="AF741">
            <v>4784.594202898551</v>
          </cell>
          <cell r="AG741">
            <v>3378.4507485268355</v>
          </cell>
          <cell r="AH741">
            <v>6372.666666666667</v>
          </cell>
          <cell r="AI741">
            <v>6891.166666666667</v>
          </cell>
          <cell r="AJ741">
            <v>7218.666666666667</v>
          </cell>
          <cell r="AK741">
            <v>7724.5</v>
          </cell>
          <cell r="AL741">
            <v>7051.75</v>
          </cell>
          <cell r="AM741">
            <v>8482.1666666666661</v>
          </cell>
          <cell r="AN741">
            <v>9213.6666666666679</v>
          </cell>
          <cell r="AO741">
            <v>9268.032608695652</v>
          </cell>
          <cell r="AP741">
            <v>9323.2608695652179</v>
          </cell>
          <cell r="AQ741">
            <v>9071.7817028985519</v>
          </cell>
          <cell r="AR741">
            <v>9902.0463768115951</v>
          </cell>
          <cell r="AS741">
            <v>9902.0463768115951</v>
          </cell>
          <cell r="AT741">
            <v>9982.0463768115951</v>
          </cell>
          <cell r="AU741">
            <v>10062.046376811595</v>
          </cell>
          <cell r="AV741">
            <v>9962.0463768115951</v>
          </cell>
          <cell r="AW741">
            <v>10605.22463768116</v>
          </cell>
          <cell r="AX741">
            <v>10680.22463768116</v>
          </cell>
          <cell r="AY741">
            <v>10980.224637681158</v>
          </cell>
          <cell r="AZ741">
            <v>11280.224637681158</v>
          </cell>
          <cell r="BA741">
            <v>11580.224637681158</v>
          </cell>
          <cell r="BK741">
            <v>9503.6456521739128</v>
          </cell>
          <cell r="BL741">
            <v>458.40072463768229</v>
          </cell>
        </row>
        <row r="742">
          <cell r="A742" t="str">
            <v xml:space="preserve">  Check</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K742">
            <v>0</v>
          </cell>
          <cell r="BL742">
            <v>0</v>
          </cell>
        </row>
        <row r="743">
          <cell r="BL743">
            <v>0</v>
          </cell>
        </row>
        <row r="744">
          <cell r="A744" t="str">
            <v>Slots scaling factor</v>
          </cell>
          <cell r="B744">
            <v>0.33333333333333331</v>
          </cell>
          <cell r="C744">
            <v>0.33333333333333331</v>
          </cell>
          <cell r="D744">
            <v>0.33333333333333331</v>
          </cell>
          <cell r="E744">
            <v>0.33333333333333331</v>
          </cell>
          <cell r="F744">
            <v>0.33333333333333331</v>
          </cell>
          <cell r="G744">
            <v>0.33333333333333331</v>
          </cell>
          <cell r="H744">
            <v>0.33333333333333331</v>
          </cell>
          <cell r="I744">
            <v>0.33333333333333331</v>
          </cell>
          <cell r="J744">
            <v>0.33333333333333331</v>
          </cell>
          <cell r="K744">
            <v>0.33333333333333331</v>
          </cell>
          <cell r="L744">
            <v>0.33333333333333331</v>
          </cell>
          <cell r="M744">
            <v>0.33333333333333331</v>
          </cell>
          <cell r="N744">
            <v>0.33333333333333331</v>
          </cell>
          <cell r="O744">
            <v>0.33333333333333331</v>
          </cell>
          <cell r="P744">
            <v>0.33333333333333331</v>
          </cell>
          <cell r="Q744">
            <v>0.33333333333333331</v>
          </cell>
          <cell r="R744">
            <v>0.33333333333333331</v>
          </cell>
          <cell r="S744">
            <v>0.33333333333333331</v>
          </cell>
          <cell r="T744">
            <v>0.33333333333333331</v>
          </cell>
          <cell r="U744">
            <v>0.33333333333333331</v>
          </cell>
          <cell r="V744">
            <v>0.33333333333333331</v>
          </cell>
          <cell r="W744">
            <v>0.33333333333333331</v>
          </cell>
          <cell r="X744">
            <v>0.33333333333333331</v>
          </cell>
          <cell r="Y744">
            <v>0.33333333333333331</v>
          </cell>
          <cell r="Z744">
            <v>0.33333333333333331</v>
          </cell>
          <cell r="AA744">
            <v>0.33333333333333331</v>
          </cell>
          <cell r="AB744">
            <v>0.33333333333333331</v>
          </cell>
          <cell r="AC744">
            <v>0.33333333333333331</v>
          </cell>
          <cell r="AD744">
            <v>0.33333333333333331</v>
          </cell>
          <cell r="AE744">
            <v>0.33333333333333331</v>
          </cell>
          <cell r="AF744">
            <v>0.33333333333333331</v>
          </cell>
          <cell r="AG744">
            <v>0.33333333333333331</v>
          </cell>
          <cell r="AH744">
            <v>0.33333333333333331</v>
          </cell>
          <cell r="AI744">
            <v>0.33333333333333331</v>
          </cell>
          <cell r="AJ744">
            <v>0.33333333333333331</v>
          </cell>
          <cell r="AK744">
            <v>0.33333333333333331</v>
          </cell>
          <cell r="AL744">
            <v>0.33333333333333331</v>
          </cell>
          <cell r="AM744">
            <v>0.33333333333333331</v>
          </cell>
          <cell r="AN744">
            <v>0.33333333333333331</v>
          </cell>
          <cell r="AO744">
            <v>0.33333333333333331</v>
          </cell>
          <cell r="AP744">
            <v>0.33333333333333331</v>
          </cell>
          <cell r="AQ744">
            <v>0.33333333333333331</v>
          </cell>
          <cell r="AR744">
            <v>0.4</v>
          </cell>
          <cell r="AS744">
            <v>0.4</v>
          </cell>
          <cell r="AT744">
            <v>0.4</v>
          </cell>
          <cell r="AU744">
            <v>0.4</v>
          </cell>
          <cell r="AV744">
            <v>0.4</v>
          </cell>
          <cell r="AW744">
            <v>0.5</v>
          </cell>
          <cell r="AX744">
            <v>0.5</v>
          </cell>
          <cell r="AY744">
            <v>0.5</v>
          </cell>
          <cell r="AZ744">
            <v>0.5</v>
          </cell>
          <cell r="BA744">
            <v>0.5</v>
          </cell>
          <cell r="BK744">
            <v>0.4</v>
          </cell>
          <cell r="BL744">
            <v>0</v>
          </cell>
        </row>
        <row r="745">
          <cell r="A745" t="str">
            <v>Positions per table</v>
          </cell>
          <cell r="B745">
            <v>10</v>
          </cell>
          <cell r="C745">
            <v>10</v>
          </cell>
          <cell r="D745">
            <v>10</v>
          </cell>
          <cell r="E745">
            <v>10</v>
          </cell>
          <cell r="F745">
            <v>10</v>
          </cell>
          <cell r="G745">
            <v>10</v>
          </cell>
          <cell r="H745">
            <v>10</v>
          </cell>
          <cell r="I745">
            <v>10</v>
          </cell>
          <cell r="J745">
            <v>10</v>
          </cell>
          <cell r="K745">
            <v>10</v>
          </cell>
          <cell r="L745">
            <v>10</v>
          </cell>
          <cell r="M745">
            <v>10</v>
          </cell>
          <cell r="N745">
            <v>10</v>
          </cell>
          <cell r="O745">
            <v>10</v>
          </cell>
          <cell r="P745">
            <v>10</v>
          </cell>
          <cell r="Q745">
            <v>10</v>
          </cell>
          <cell r="R745">
            <v>10</v>
          </cell>
          <cell r="S745">
            <v>10</v>
          </cell>
          <cell r="T745">
            <v>10</v>
          </cell>
          <cell r="U745">
            <v>10</v>
          </cell>
          <cell r="V745">
            <v>10</v>
          </cell>
          <cell r="W745">
            <v>10</v>
          </cell>
          <cell r="X745">
            <v>10</v>
          </cell>
          <cell r="Y745">
            <v>10</v>
          </cell>
          <cell r="Z745">
            <v>10</v>
          </cell>
          <cell r="AA745">
            <v>10</v>
          </cell>
          <cell r="AB745">
            <v>10</v>
          </cell>
          <cell r="AC745">
            <v>10</v>
          </cell>
          <cell r="AD745">
            <v>10</v>
          </cell>
          <cell r="AE745">
            <v>10</v>
          </cell>
          <cell r="AF745">
            <v>10</v>
          </cell>
          <cell r="AG745">
            <v>10</v>
          </cell>
          <cell r="AH745">
            <v>10</v>
          </cell>
          <cell r="AI745">
            <v>10</v>
          </cell>
          <cell r="AJ745">
            <v>10</v>
          </cell>
          <cell r="AK745">
            <v>10</v>
          </cell>
          <cell r="AL745">
            <v>10</v>
          </cell>
          <cell r="AM745">
            <v>10</v>
          </cell>
          <cell r="AN745">
            <v>10</v>
          </cell>
          <cell r="AO745">
            <v>10</v>
          </cell>
          <cell r="AP745">
            <v>10</v>
          </cell>
          <cell r="AQ745">
            <v>10</v>
          </cell>
          <cell r="AR745">
            <v>10</v>
          </cell>
          <cell r="AS745">
            <v>10</v>
          </cell>
          <cell r="AT745">
            <v>10</v>
          </cell>
          <cell r="AU745">
            <v>10</v>
          </cell>
          <cell r="AV745">
            <v>10</v>
          </cell>
          <cell r="AW745">
            <v>10</v>
          </cell>
          <cell r="AX745">
            <v>10</v>
          </cell>
          <cell r="AY745">
            <v>10</v>
          </cell>
          <cell r="AZ745">
            <v>10</v>
          </cell>
          <cell r="BA745">
            <v>10</v>
          </cell>
          <cell r="BK745">
            <v>10</v>
          </cell>
          <cell r="BL745">
            <v>0</v>
          </cell>
        </row>
        <row r="746">
          <cell r="BL746">
            <v>0</v>
          </cell>
        </row>
        <row r="747">
          <cell r="A747" t="str">
            <v>Average Hotel Rooms</v>
          </cell>
          <cell r="BL747">
            <v>0</v>
          </cell>
        </row>
        <row r="748">
          <cell r="A748" t="str">
            <v>Ponte 16 (SJM)</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210</v>
          </cell>
          <cell r="AX748">
            <v>420</v>
          </cell>
          <cell r="AY748">
            <v>420</v>
          </cell>
          <cell r="AZ748">
            <v>420</v>
          </cell>
          <cell r="BA748">
            <v>420</v>
          </cell>
          <cell r="BK748">
            <v>0</v>
          </cell>
          <cell r="BL748">
            <v>0</v>
          </cell>
        </row>
        <row r="749">
          <cell r="A749" t="str">
            <v>Grand Lisboa (SJM)</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650</v>
          </cell>
          <cell r="AU749">
            <v>650</v>
          </cell>
          <cell r="AV749">
            <v>325</v>
          </cell>
          <cell r="AW749">
            <v>650</v>
          </cell>
          <cell r="AX749">
            <v>650</v>
          </cell>
          <cell r="AY749">
            <v>650</v>
          </cell>
          <cell r="AZ749">
            <v>650</v>
          </cell>
          <cell r="BA749">
            <v>650</v>
          </cell>
          <cell r="BK749">
            <v>650</v>
          </cell>
          <cell r="BL749">
            <v>-325</v>
          </cell>
        </row>
        <row r="750">
          <cell r="A750" t="str">
            <v>Arc de Triomphe (SJM)</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400</v>
          </cell>
          <cell r="AX750">
            <v>400</v>
          </cell>
          <cell r="AY750">
            <v>400</v>
          </cell>
          <cell r="AZ750">
            <v>400</v>
          </cell>
          <cell r="BA750">
            <v>400</v>
          </cell>
          <cell r="BK750">
            <v>0</v>
          </cell>
          <cell r="BL750">
            <v>0</v>
          </cell>
        </row>
        <row r="751">
          <cell r="A751" t="str">
            <v>Oceanus (SJM)</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600</v>
          </cell>
          <cell r="AY751">
            <v>600</v>
          </cell>
          <cell r="AZ751">
            <v>600</v>
          </cell>
          <cell r="BA751">
            <v>600</v>
          </cell>
          <cell r="BK751">
            <v>0</v>
          </cell>
          <cell r="BL751">
            <v>0</v>
          </cell>
        </row>
        <row r="752">
          <cell r="A752" t="str">
            <v>Shun Tak Nam Van (SJM)</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500</v>
          </cell>
          <cell r="AZ752">
            <v>500</v>
          </cell>
          <cell r="BA752">
            <v>500</v>
          </cell>
          <cell r="BK752">
            <v>0</v>
          </cell>
          <cell r="BL752">
            <v>0</v>
          </cell>
        </row>
        <row r="753">
          <cell r="A753" t="str">
            <v>Shun Tak Cotai (SJM)</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2000</v>
          </cell>
          <cell r="BA753">
            <v>2000</v>
          </cell>
          <cell r="BK753">
            <v>0</v>
          </cell>
          <cell r="BL753">
            <v>0</v>
          </cell>
        </row>
        <row r="754">
          <cell r="A754" t="str">
            <v>Crown Macau (Melco/PBL)</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171.69230769230768</v>
          </cell>
          <cell r="AT754">
            <v>248</v>
          </cell>
          <cell r="AU754">
            <v>248</v>
          </cell>
          <cell r="AV754">
            <v>166.92307692307691</v>
          </cell>
          <cell r="AW754">
            <v>248</v>
          </cell>
          <cell r="AX754">
            <v>248</v>
          </cell>
          <cell r="AY754">
            <v>248</v>
          </cell>
          <cell r="AZ754">
            <v>248</v>
          </cell>
          <cell r="BA754">
            <v>248</v>
          </cell>
          <cell r="BK754">
            <v>180</v>
          </cell>
          <cell r="BL754">
            <v>-13.076923076923094</v>
          </cell>
        </row>
        <row r="755">
          <cell r="A755" t="str">
            <v>Penninsula Project (Melco/PBL)</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75</v>
          </cell>
          <cell r="AY755">
            <v>150</v>
          </cell>
          <cell r="AZ755">
            <v>150</v>
          </cell>
          <cell r="BA755">
            <v>150</v>
          </cell>
          <cell r="BK755">
            <v>0</v>
          </cell>
          <cell r="BL755">
            <v>0</v>
          </cell>
        </row>
        <row r="756">
          <cell r="A756" t="str">
            <v>City of Dreams (Melco/PBL)</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1140</v>
          </cell>
          <cell r="AY756">
            <v>1640</v>
          </cell>
          <cell r="AZ756">
            <v>1640</v>
          </cell>
          <cell r="BA756">
            <v>1640</v>
          </cell>
          <cell r="BK756">
            <v>0</v>
          </cell>
          <cell r="BL756">
            <v>0</v>
          </cell>
        </row>
        <row r="757">
          <cell r="A757" t="str">
            <v>Galaxy Grand Waldo (Galaxy)</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160</v>
          </cell>
          <cell r="AO757">
            <v>320</v>
          </cell>
          <cell r="AP757">
            <v>320</v>
          </cell>
          <cell r="AQ757">
            <v>200</v>
          </cell>
          <cell r="AR757">
            <v>320</v>
          </cell>
          <cell r="AS757">
            <v>320</v>
          </cell>
          <cell r="AT757">
            <v>320</v>
          </cell>
          <cell r="AU757">
            <v>320</v>
          </cell>
          <cell r="AV757">
            <v>320</v>
          </cell>
          <cell r="AW757">
            <v>320</v>
          </cell>
          <cell r="AX757">
            <v>320</v>
          </cell>
          <cell r="AY757">
            <v>320</v>
          </cell>
          <cell r="AZ757">
            <v>320</v>
          </cell>
          <cell r="BA757">
            <v>320</v>
          </cell>
          <cell r="BK757">
            <v>320</v>
          </cell>
          <cell r="BL757">
            <v>0</v>
          </cell>
        </row>
        <row r="758">
          <cell r="A758" t="str">
            <v>Galaxy StarWorld (Galaxy)</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203.84782608695653</v>
          </cell>
          <cell r="AQ758">
            <v>50.961956521739133</v>
          </cell>
          <cell r="AR758">
            <v>461.33333333333331</v>
          </cell>
          <cell r="AS758">
            <v>507</v>
          </cell>
          <cell r="AT758">
            <v>507</v>
          </cell>
          <cell r="AU758">
            <v>507</v>
          </cell>
          <cell r="AV758">
            <v>495.58333333333331</v>
          </cell>
          <cell r="AW758">
            <v>507</v>
          </cell>
          <cell r="AX758">
            <v>507</v>
          </cell>
          <cell r="AY758">
            <v>507</v>
          </cell>
          <cell r="AZ758">
            <v>507</v>
          </cell>
          <cell r="BA758">
            <v>507</v>
          </cell>
          <cell r="BK758">
            <v>500</v>
          </cell>
          <cell r="BL758">
            <v>-4.4166666666666856</v>
          </cell>
        </row>
        <row r="759">
          <cell r="A759" t="str">
            <v>Galaxy Cotai Mega Resort (Galaxy)</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750</v>
          </cell>
          <cell r="AX759">
            <v>1500</v>
          </cell>
          <cell r="AY759">
            <v>1500</v>
          </cell>
          <cell r="AZ759">
            <v>1500</v>
          </cell>
          <cell r="BA759">
            <v>1500</v>
          </cell>
          <cell r="BK759">
            <v>0</v>
          </cell>
          <cell r="BL759">
            <v>0</v>
          </cell>
        </row>
        <row r="760">
          <cell r="A760" t="str">
            <v>Sands Macao (LVS)</v>
          </cell>
          <cell r="X760">
            <v>0</v>
          </cell>
          <cell r="Y760">
            <v>0</v>
          </cell>
          <cell r="Z760">
            <v>0</v>
          </cell>
          <cell r="AA760">
            <v>0</v>
          </cell>
          <cell r="AB760">
            <v>0</v>
          </cell>
          <cell r="AC760">
            <v>0</v>
          </cell>
          <cell r="AD760">
            <v>0</v>
          </cell>
          <cell r="AE760">
            <v>25.5</v>
          </cell>
          <cell r="AF760">
            <v>51</v>
          </cell>
          <cell r="AG760">
            <v>19.125</v>
          </cell>
          <cell r="AH760">
            <v>51</v>
          </cell>
          <cell r="AI760">
            <v>51</v>
          </cell>
          <cell r="AJ760">
            <v>51</v>
          </cell>
          <cell r="AK760">
            <v>51</v>
          </cell>
          <cell r="AL760">
            <v>51</v>
          </cell>
          <cell r="AM760">
            <v>51</v>
          </cell>
          <cell r="AN760">
            <v>51</v>
          </cell>
          <cell r="AO760">
            <v>51</v>
          </cell>
          <cell r="AP760">
            <v>51</v>
          </cell>
          <cell r="AQ760">
            <v>51</v>
          </cell>
          <cell r="AR760">
            <v>51</v>
          </cell>
          <cell r="AS760">
            <v>51</v>
          </cell>
          <cell r="AT760">
            <v>231</v>
          </cell>
          <cell r="AU760">
            <v>231</v>
          </cell>
          <cell r="AV760">
            <v>141</v>
          </cell>
          <cell r="AW760">
            <v>231</v>
          </cell>
          <cell r="AX760">
            <v>231</v>
          </cell>
          <cell r="AY760">
            <v>231</v>
          </cell>
          <cell r="AZ760">
            <v>231</v>
          </cell>
          <cell r="BA760">
            <v>231</v>
          </cell>
          <cell r="BK760">
            <v>141</v>
          </cell>
          <cell r="BL760">
            <v>0</v>
          </cell>
        </row>
        <row r="761">
          <cell r="A761" t="str">
            <v>Venetian Macao (LVS)</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3000</v>
          </cell>
          <cell r="AU761">
            <v>3000</v>
          </cell>
          <cell r="AV761">
            <v>1500</v>
          </cell>
          <cell r="AW761">
            <v>3000</v>
          </cell>
          <cell r="AX761">
            <v>3000</v>
          </cell>
          <cell r="AY761">
            <v>3000</v>
          </cell>
          <cell r="AZ761">
            <v>3000</v>
          </cell>
          <cell r="BA761">
            <v>3000</v>
          </cell>
          <cell r="BK761">
            <v>1500</v>
          </cell>
          <cell r="BL761">
            <v>0</v>
          </cell>
        </row>
        <row r="762">
          <cell r="A762" t="str">
            <v>Cotai Site 2 - Four Seasons (LVS)</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400</v>
          </cell>
          <cell r="AX762">
            <v>400</v>
          </cell>
          <cell r="AY762">
            <v>400</v>
          </cell>
          <cell r="AZ762">
            <v>400</v>
          </cell>
          <cell r="BA762">
            <v>400</v>
          </cell>
          <cell r="BK762">
            <v>0</v>
          </cell>
          <cell r="BL762">
            <v>0</v>
          </cell>
        </row>
        <row r="763">
          <cell r="A763" t="str">
            <v>Cotai Site 3 - Far East (LVS)</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1800</v>
          </cell>
          <cell r="AY763">
            <v>3600</v>
          </cell>
          <cell r="AZ763">
            <v>3600</v>
          </cell>
          <cell r="BA763">
            <v>3600</v>
          </cell>
          <cell r="BK763">
            <v>0</v>
          </cell>
          <cell r="BL763">
            <v>0</v>
          </cell>
        </row>
        <row r="764">
          <cell r="A764" t="str">
            <v>Cotai Site 5 - Shangri-La/St.Regis/Traders (LVS)</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900</v>
          </cell>
          <cell r="AX764">
            <v>2200</v>
          </cell>
          <cell r="AY764">
            <v>2200</v>
          </cell>
          <cell r="AZ764">
            <v>2200</v>
          </cell>
          <cell r="BA764">
            <v>2200</v>
          </cell>
          <cell r="BK764">
            <v>0</v>
          </cell>
          <cell r="BL764">
            <v>0</v>
          </cell>
        </row>
        <row r="765">
          <cell r="A765" t="str">
            <v>Cotai Site 6 - Sheraton (LVS)</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1000</v>
          </cell>
          <cell r="AX765">
            <v>4000</v>
          </cell>
          <cell r="AY765">
            <v>4000</v>
          </cell>
          <cell r="AZ765">
            <v>4000</v>
          </cell>
          <cell r="BA765">
            <v>4000</v>
          </cell>
          <cell r="BK765">
            <v>0</v>
          </cell>
          <cell r="BL765">
            <v>0</v>
          </cell>
        </row>
        <row r="766">
          <cell r="A766" t="str">
            <v>Cotai Site 7 - Hilton (LVS)</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750</v>
          </cell>
          <cell r="AY766">
            <v>3000</v>
          </cell>
          <cell r="AZ766">
            <v>3000</v>
          </cell>
          <cell r="BA766">
            <v>3000</v>
          </cell>
          <cell r="BK766">
            <v>0</v>
          </cell>
          <cell r="BL766">
            <v>0</v>
          </cell>
        </row>
        <row r="767">
          <cell r="A767" t="str">
            <v>Cotai Site 8 - FHR/Raffles (LVS)</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750</v>
          </cell>
          <cell r="AY767">
            <v>3000</v>
          </cell>
          <cell r="AZ767">
            <v>3000</v>
          </cell>
          <cell r="BA767">
            <v>3000</v>
          </cell>
          <cell r="BK767">
            <v>0</v>
          </cell>
          <cell r="BL767">
            <v>0</v>
          </cell>
        </row>
        <row r="768">
          <cell r="A768" t="str">
            <v>Wynn Macau (WYNN)</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163.04347826086956</v>
          </cell>
          <cell r="AP768">
            <v>600</v>
          </cell>
          <cell r="AQ768">
            <v>190.76086956521738</v>
          </cell>
          <cell r="AR768">
            <v>600</v>
          </cell>
          <cell r="AS768">
            <v>600</v>
          </cell>
          <cell r="AT768">
            <v>600</v>
          </cell>
          <cell r="AU768">
            <v>600</v>
          </cell>
          <cell r="AV768">
            <v>600</v>
          </cell>
          <cell r="AW768">
            <v>600</v>
          </cell>
          <cell r="AX768">
            <v>1100</v>
          </cell>
          <cell r="AY768">
            <v>1100</v>
          </cell>
          <cell r="AZ768">
            <v>1100</v>
          </cell>
          <cell r="BA768">
            <v>1100</v>
          </cell>
          <cell r="BK768">
            <v>600</v>
          </cell>
          <cell r="BL768">
            <v>0</v>
          </cell>
        </row>
        <row r="769">
          <cell r="A769" t="str">
            <v>Wynn Cotai (WYNN)</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3000</v>
          </cell>
          <cell r="AZ769">
            <v>3000</v>
          </cell>
          <cell r="BA769">
            <v>3000</v>
          </cell>
          <cell r="BK769">
            <v>0</v>
          </cell>
          <cell r="BL769">
            <v>0</v>
          </cell>
        </row>
        <row r="770">
          <cell r="A770" t="str">
            <v>Wynn Cotai #2 (WYNN)</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3000</v>
          </cell>
          <cell r="AZ770">
            <v>3000</v>
          </cell>
          <cell r="BA770">
            <v>3000</v>
          </cell>
          <cell r="BK770">
            <v>0</v>
          </cell>
          <cell r="BL770">
            <v>0</v>
          </cell>
        </row>
        <row r="771">
          <cell r="A771" t="str">
            <v>MGM Grand (MGM)</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600</v>
          </cell>
          <cell r="AV771">
            <v>150</v>
          </cell>
          <cell r="AW771">
            <v>600</v>
          </cell>
          <cell r="AX771">
            <v>600</v>
          </cell>
          <cell r="AY771">
            <v>600</v>
          </cell>
          <cell r="AZ771">
            <v>600</v>
          </cell>
          <cell r="BA771">
            <v>600</v>
          </cell>
          <cell r="BK771">
            <v>150</v>
          </cell>
          <cell r="BL771">
            <v>0</v>
          </cell>
        </row>
        <row r="772">
          <cell r="A772" t="str">
            <v>MGM Cotai #1 (MGM)</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600</v>
          </cell>
          <cell r="AZ772">
            <v>600</v>
          </cell>
          <cell r="BA772">
            <v>600</v>
          </cell>
        </row>
        <row r="773">
          <cell r="A773" t="str">
            <v>Macau Studio City (eSun)</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1500</v>
          </cell>
          <cell r="AY773">
            <v>1500</v>
          </cell>
          <cell r="AZ773">
            <v>1500</v>
          </cell>
          <cell r="BA773">
            <v>1500</v>
          </cell>
          <cell r="BK773">
            <v>0</v>
          </cell>
          <cell r="BL773">
            <v>0</v>
          </cell>
        </row>
        <row r="774">
          <cell r="A774" t="str">
            <v>Mandarin Oriental (Shun Tak)</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210</v>
          </cell>
          <cell r="AY774">
            <v>210</v>
          </cell>
          <cell r="AZ774">
            <v>210</v>
          </cell>
          <cell r="BA774">
            <v>210</v>
          </cell>
          <cell r="BK774">
            <v>0</v>
          </cell>
          <cell r="BL774">
            <v>0</v>
          </cell>
        </row>
        <row r="775">
          <cell r="A775" t="str">
            <v>Nova de Taipa Phase 5 (Shun Tak)</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600</v>
          </cell>
          <cell r="AZ775">
            <v>600</v>
          </cell>
          <cell r="BA775">
            <v>600</v>
          </cell>
          <cell r="BK775">
            <v>0</v>
          </cell>
          <cell r="BL775">
            <v>0</v>
          </cell>
        </row>
        <row r="776">
          <cell r="A776" t="str">
            <v>Other</v>
          </cell>
          <cell r="X776">
            <v>8944.3333333333339</v>
          </cell>
          <cell r="Y776">
            <v>8922.6666666666661</v>
          </cell>
          <cell r="Z776">
            <v>8858.3333333333339</v>
          </cell>
          <cell r="AA776">
            <v>9087.3333333333339</v>
          </cell>
          <cell r="AB776">
            <v>8953.1666666666679</v>
          </cell>
          <cell r="AC776">
            <v>9232.3333333333339</v>
          </cell>
          <cell r="AD776">
            <v>9310.3333333333339</v>
          </cell>
          <cell r="AE776">
            <v>9228.1666666666661</v>
          </cell>
          <cell r="AF776">
            <v>9082.6666666666661</v>
          </cell>
          <cell r="AG776">
            <v>9213.375</v>
          </cell>
          <cell r="AH776">
            <v>10171.333333333334</v>
          </cell>
          <cell r="AI776">
            <v>10502.666666666666</v>
          </cell>
          <cell r="AJ776">
            <v>10545.666666666666</v>
          </cell>
          <cell r="AK776">
            <v>10715.666666666666</v>
          </cell>
          <cell r="AL776">
            <v>10483.833333333332</v>
          </cell>
          <cell r="AM776">
            <v>11066.666666666666</v>
          </cell>
          <cell r="AN776">
            <v>11254.333333333334</v>
          </cell>
          <cell r="AO776">
            <v>11463.95652173913</v>
          </cell>
          <cell r="AP776">
            <v>11521.81884057971</v>
          </cell>
          <cell r="AQ776">
            <v>11326.69384057971</v>
          </cell>
          <cell r="AR776">
            <v>11521.81884057971</v>
          </cell>
          <cell r="AS776">
            <v>11521.81884057971</v>
          </cell>
          <cell r="AT776">
            <v>11521.81884057971</v>
          </cell>
          <cell r="AU776">
            <v>11521.81884057971</v>
          </cell>
          <cell r="AV776">
            <v>11521.81884057971</v>
          </cell>
          <cell r="AW776">
            <v>11521.81884057971</v>
          </cell>
          <cell r="AX776">
            <v>11521.81884057971</v>
          </cell>
          <cell r="AY776">
            <v>11521.81884057971</v>
          </cell>
          <cell r="AZ776">
            <v>11521.81884057971</v>
          </cell>
          <cell r="BA776">
            <v>11521.81884057971</v>
          </cell>
          <cell r="BK776">
            <v>11254.333333333334</v>
          </cell>
          <cell r="BL776">
            <v>267.48550724637607</v>
          </cell>
        </row>
        <row r="777">
          <cell r="X777" t="str">
            <v>______</v>
          </cell>
          <cell r="Y777" t="str">
            <v>______</v>
          </cell>
          <cell r="Z777" t="str">
            <v>______</v>
          </cell>
          <cell r="AA777" t="str">
            <v>______</v>
          </cell>
          <cell r="AB777" t="str">
            <v>______</v>
          </cell>
          <cell r="AC777" t="str">
            <v>______</v>
          </cell>
          <cell r="AD777" t="str">
            <v>______</v>
          </cell>
          <cell r="AE777" t="str">
            <v>______</v>
          </cell>
          <cell r="AF777" t="str">
            <v>______</v>
          </cell>
          <cell r="AG777" t="str">
            <v>______</v>
          </cell>
          <cell r="AH777" t="str">
            <v>______</v>
          </cell>
          <cell r="AI777" t="str">
            <v>______</v>
          </cell>
          <cell r="AJ777" t="str">
            <v>______</v>
          </cell>
          <cell r="AK777" t="str">
            <v>______</v>
          </cell>
          <cell r="AL777" t="str">
            <v>______</v>
          </cell>
          <cell r="AM777" t="str">
            <v>______</v>
          </cell>
          <cell r="AN777" t="str">
            <v>______</v>
          </cell>
          <cell r="AO777" t="str">
            <v>______</v>
          </cell>
          <cell r="AP777" t="str">
            <v>______</v>
          </cell>
          <cell r="AQ777" t="str">
            <v>______</v>
          </cell>
          <cell r="AR777" t="str">
            <v>______</v>
          </cell>
          <cell r="AS777" t="str">
            <v>______</v>
          </cell>
          <cell r="AT777" t="str">
            <v>______</v>
          </cell>
          <cell r="AU777" t="str">
            <v>______</v>
          </cell>
          <cell r="AV777" t="str">
            <v>______</v>
          </cell>
          <cell r="AW777" t="str">
            <v>______</v>
          </cell>
          <cell r="AX777" t="str">
            <v>______</v>
          </cell>
          <cell r="AY777" t="str">
            <v>______</v>
          </cell>
          <cell r="AZ777" t="str">
            <v>______</v>
          </cell>
          <cell r="BA777" t="str">
            <v>______</v>
          </cell>
          <cell r="BK777" t="str">
            <v>______</v>
          </cell>
          <cell r="BL777" t="e">
            <v>#VALUE!</v>
          </cell>
        </row>
        <row r="778">
          <cell r="A778" t="str">
            <v>Total Average Hotel Rooms</v>
          </cell>
          <cell r="X778">
            <v>8944.3333333333339</v>
          </cell>
          <cell r="Y778">
            <v>8922.6666666666661</v>
          </cell>
          <cell r="Z778">
            <v>8858.3333333333339</v>
          </cell>
          <cell r="AA778">
            <v>9087.3333333333339</v>
          </cell>
          <cell r="AB778">
            <v>8953.1666666666679</v>
          </cell>
          <cell r="AC778">
            <v>9232.3333333333339</v>
          </cell>
          <cell r="AD778">
            <v>9310.3333333333339</v>
          </cell>
          <cell r="AE778">
            <v>9253.6666666666661</v>
          </cell>
          <cell r="AF778">
            <v>9133.6666666666661</v>
          </cell>
          <cell r="AG778">
            <v>9232.5</v>
          </cell>
          <cell r="AH778">
            <v>10222.333333333334</v>
          </cell>
          <cell r="AI778">
            <v>10553.666666666666</v>
          </cell>
          <cell r="AJ778">
            <v>10596.666666666666</v>
          </cell>
          <cell r="AK778">
            <v>10766.666666666666</v>
          </cell>
          <cell r="AL778">
            <v>10534.833333333332</v>
          </cell>
          <cell r="AM778">
            <v>11117.666666666666</v>
          </cell>
          <cell r="AN778">
            <v>11465.333333333334</v>
          </cell>
          <cell r="AO778">
            <v>11998</v>
          </cell>
          <cell r="AP778">
            <v>12696.666666666666</v>
          </cell>
          <cell r="AQ778">
            <v>11819.416666666666</v>
          </cell>
          <cell r="AR778">
            <v>12954.152173913044</v>
          </cell>
          <cell r="AS778">
            <v>13171.511148272017</v>
          </cell>
          <cell r="AT778">
            <v>17077.818840579712</v>
          </cell>
          <cell r="AU778">
            <v>17677.818840579712</v>
          </cell>
          <cell r="AV778">
            <v>15220.32525083612</v>
          </cell>
          <cell r="AW778">
            <v>21337.818840579712</v>
          </cell>
          <cell r="AX778">
            <v>33922.818840579712</v>
          </cell>
          <cell r="AY778">
            <v>48497.818840579712</v>
          </cell>
          <cell r="AZ778">
            <v>50497.818840579712</v>
          </cell>
          <cell r="BA778">
            <v>50497.818840579712</v>
          </cell>
          <cell r="BK778">
            <v>15295.333333333334</v>
          </cell>
          <cell r="BL778">
            <v>-75.008082497213763</v>
          </cell>
        </row>
        <row r="779">
          <cell r="A779" t="str">
            <v xml:space="preserve">  Growth</v>
          </cell>
          <cell r="AC779">
            <v>3.2199157753512564E-2</v>
          </cell>
          <cell r="AD779">
            <v>4.3447399880454318E-2</v>
          </cell>
          <cell r="AE779">
            <v>4.4628410159924581E-2</v>
          </cell>
          <cell r="AF779">
            <v>5.0986721443766481E-3</v>
          </cell>
          <cell r="AG779">
            <v>3.1199389415290435E-2</v>
          </cell>
          <cell r="AH779">
            <v>0.10723183016211135</v>
          </cell>
          <cell r="AI779">
            <v>0.13354337474490685</v>
          </cell>
          <cell r="AJ779">
            <v>0.14513165952235152</v>
          </cell>
          <cell r="AK779">
            <v>0.17878909528849318</v>
          </cell>
          <cell r="AL779">
            <v>0.14105966242440648</v>
          </cell>
          <cell r="AM779">
            <v>8.758600449995102E-2</v>
          </cell>
          <cell r="AN779">
            <v>8.6383879220492288E-2</v>
          </cell>
          <cell r="AO779">
            <v>0.13224284366152883</v>
          </cell>
          <cell r="AP779">
            <v>0.17925696594427243</v>
          </cell>
          <cell r="AQ779">
            <v>0.12193674951351863</v>
          </cell>
          <cell r="AR779">
            <v>0.16518623577306801</v>
          </cell>
          <cell r="AS779">
            <v>0.14881188059123285</v>
          </cell>
          <cell r="AT779">
            <v>0.42338880151522851</v>
          </cell>
          <cell r="AU779">
            <v>0.39231967765132936</v>
          </cell>
          <cell r="AV779">
            <v>0.28773912284188774</v>
          </cell>
          <cell r="AW779">
            <v>0.40192922877305337</v>
          </cell>
          <cell r="AX779">
            <v>0.58979786519070876</v>
          </cell>
          <cell r="AY779">
            <v>0.42965179481384541</v>
          </cell>
          <cell r="AZ779">
            <v>4.1238968015743671E-2</v>
          </cell>
          <cell r="BA779">
            <v>0</v>
          </cell>
          <cell r="BK779">
            <v>0.29242566927957458</v>
          </cell>
          <cell r="BL779">
            <v>-4.6865464376868449E-3</v>
          </cell>
        </row>
        <row r="782">
          <cell r="A782" t="str">
            <v>Sources:</v>
          </cell>
        </row>
        <row r="783">
          <cell r="A783" t="str">
            <v>Gross Receipts, gratuity exluded</v>
          </cell>
          <cell r="B783" t="str">
            <v>e_bet_pub_</v>
          </cell>
          <cell r="C783" t="str">
            <v>Economic Bulletin</v>
          </cell>
        </row>
        <row r="784">
          <cell r="A784" t="str">
            <v>Revenue from gambling tax</v>
          </cell>
          <cell r="B784" t="str">
            <v>e_bet_pub_</v>
          </cell>
          <cell r="C784" t="str">
            <v>Economic Bulletin</v>
          </cell>
        </row>
        <row r="785">
          <cell r="A785" t="str">
            <v>Non-resident workers (period-end)</v>
          </cell>
          <cell r="B785" t="str">
            <v>e_bet_pub_</v>
          </cell>
          <cell r="C785" t="str">
            <v>Economic Bulletin</v>
          </cell>
        </row>
        <row r="786">
          <cell r="A786" t="str">
            <v>Total employed population</v>
          </cell>
          <cell r="B786" t="str">
            <v>e_bet_pub_</v>
          </cell>
          <cell r="C786" t="str">
            <v>Economic Bulletin</v>
          </cell>
        </row>
        <row r="787">
          <cell r="A787" t="str">
            <v>Total employed population</v>
          </cell>
          <cell r="B787" t="str">
            <v>e_ie_pub_</v>
          </cell>
          <cell r="C787" t="str">
            <v>Employment Survey (quarterly)</v>
          </cell>
        </row>
        <row r="788">
          <cell r="A788" t="str">
            <v>Population (period-end)</v>
          </cell>
          <cell r="B788" t="str">
            <v>e_bet_pub_</v>
          </cell>
          <cell r="C788" t="str">
            <v>Economic Bulletin</v>
          </cell>
        </row>
        <row r="789">
          <cell r="A789" t="str">
            <v>Hotel &amp; restaurant employment</v>
          </cell>
          <cell r="B789" t="str">
            <v>e_ie_pub_</v>
          </cell>
          <cell r="C789" t="str">
            <v>Employment Survey (quarterly)</v>
          </cell>
        </row>
        <row r="790">
          <cell r="A790" t="str">
            <v>Other employment (includes gaming)</v>
          </cell>
          <cell r="B790" t="str">
            <v>e_ie_pub_</v>
          </cell>
          <cell r="C790" t="str">
            <v>Employment Survey (quarterly)</v>
          </cell>
        </row>
        <row r="791">
          <cell r="A791" t="str">
            <v>Construction Employment</v>
          </cell>
          <cell r="B791" t="str">
            <v>e_ie_pub_</v>
          </cell>
          <cell r="C791" t="str">
            <v>Employment Survey (quarterly)</v>
          </cell>
        </row>
        <row r="792">
          <cell r="A792" t="str">
            <v>Gaming Employment, Employment Survey</v>
          </cell>
          <cell r="B792" t="str">
            <v>e_ie_pub_</v>
          </cell>
          <cell r="C792" t="str">
            <v>Employment Survey (quarterly)</v>
          </cell>
        </row>
        <row r="793">
          <cell r="A793" t="str">
            <v>Unemployment Rate</v>
          </cell>
          <cell r="B793" t="str">
            <v>e_ie_pub_</v>
          </cell>
          <cell r="C793" t="str">
            <v>Employment Survey (quarterly)</v>
          </cell>
        </row>
        <row r="794">
          <cell r="A794" t="str">
            <v>Gambling Expenditures of Non-Residents (nominal)</v>
          </cell>
          <cell r="B794" t="str">
            <v>e_pib_fr_</v>
          </cell>
          <cell r="C794" t="str">
            <v>Gross Domestic Product</v>
          </cell>
        </row>
        <row r="795">
          <cell r="A795" t="str">
            <v>Gambling Expenditures of Non-Residents (1996 prices)</v>
          </cell>
          <cell r="B795" t="str">
            <v>e_pib_fr_</v>
          </cell>
          <cell r="C795" t="str">
            <v>Gross Domestic Product</v>
          </cell>
        </row>
        <row r="796">
          <cell r="A796" t="str">
            <v>GDP (nominal)</v>
          </cell>
          <cell r="B796" t="str">
            <v>e_pib_fr_</v>
          </cell>
          <cell r="C796" t="str">
            <v>Gross Domestic Product</v>
          </cell>
        </row>
        <row r="797">
          <cell r="A797" t="str">
            <v>Implicit GDP Deflator</v>
          </cell>
          <cell r="B797" t="str">
            <v>e_pib_fr_</v>
          </cell>
          <cell r="C797" t="str">
            <v>Gross Domestic Product</v>
          </cell>
        </row>
        <row r="798">
          <cell r="A798" t="str">
            <v>Unit counts</v>
          </cell>
          <cell r="B798" t="str">
            <v>Casino City</v>
          </cell>
        </row>
        <row r="799">
          <cell r="A799" t="str">
            <v>Real Estate</v>
          </cell>
          <cell r="B799" t="str">
            <v>e_ecp_fr</v>
          </cell>
          <cell r="C799" t="str">
            <v>Private Sector Construction Statistics</v>
          </cell>
        </row>
      </sheetData>
      <sheetData sheetId="2" refreshError="1">
        <row r="1">
          <cell r="B1" t="str">
            <v>Macau Monthly Data</v>
          </cell>
        </row>
        <row r="3">
          <cell r="B3" t="str">
            <v>Frequency</v>
          </cell>
          <cell r="C3" t="str">
            <v>A</v>
          </cell>
          <cell r="D3" t="str">
            <v>A</v>
          </cell>
          <cell r="E3" t="str">
            <v>A</v>
          </cell>
          <cell r="F3" t="str">
            <v>A</v>
          </cell>
          <cell r="G3" t="str">
            <v>A</v>
          </cell>
          <cell r="H3" t="str">
            <v>A</v>
          </cell>
          <cell r="I3" t="str">
            <v>A</v>
          </cell>
          <cell r="J3" t="str">
            <v>A</v>
          </cell>
          <cell r="K3" t="str">
            <v>A</v>
          </cell>
          <cell r="L3" t="str">
            <v>M</v>
          </cell>
          <cell r="M3" t="str">
            <v>M</v>
          </cell>
          <cell r="N3" t="str">
            <v>M</v>
          </cell>
          <cell r="O3" t="str">
            <v>M</v>
          </cell>
          <cell r="P3" t="str">
            <v>M</v>
          </cell>
          <cell r="Q3" t="str">
            <v>M</v>
          </cell>
          <cell r="R3" t="str">
            <v>M</v>
          </cell>
          <cell r="S3" t="str">
            <v>M</v>
          </cell>
          <cell r="T3" t="str">
            <v>M</v>
          </cell>
          <cell r="U3" t="str">
            <v>M</v>
          </cell>
          <cell r="V3" t="str">
            <v>M</v>
          </cell>
          <cell r="W3" t="str">
            <v>M</v>
          </cell>
          <cell r="X3" t="str">
            <v>M</v>
          </cell>
          <cell r="Y3" t="str">
            <v>M</v>
          </cell>
          <cell r="Z3" t="str">
            <v>M</v>
          </cell>
          <cell r="AA3" t="str">
            <v>M</v>
          </cell>
          <cell r="AB3" t="str">
            <v>M</v>
          </cell>
          <cell r="AC3" t="str">
            <v>M</v>
          </cell>
          <cell r="AD3" t="str">
            <v>M</v>
          </cell>
          <cell r="AE3" t="str">
            <v>M</v>
          </cell>
          <cell r="AF3" t="str">
            <v>M</v>
          </cell>
          <cell r="AG3" t="str">
            <v>M</v>
          </cell>
          <cell r="AH3" t="str">
            <v>M</v>
          </cell>
          <cell r="AI3" t="str">
            <v>M</v>
          </cell>
          <cell r="AJ3" t="str">
            <v>M</v>
          </cell>
          <cell r="AK3" t="str">
            <v>M</v>
          </cell>
          <cell r="AL3" t="str">
            <v>M</v>
          </cell>
          <cell r="AM3" t="str">
            <v>M</v>
          </cell>
          <cell r="AN3" t="str">
            <v>M</v>
          </cell>
          <cell r="AO3" t="str">
            <v>M</v>
          </cell>
          <cell r="AP3" t="str">
            <v>M</v>
          </cell>
          <cell r="AQ3" t="str">
            <v>M</v>
          </cell>
          <cell r="AR3" t="str">
            <v>M</v>
          </cell>
          <cell r="AS3" t="str">
            <v>M</v>
          </cell>
          <cell r="AT3" t="str">
            <v>M</v>
          </cell>
          <cell r="AU3" t="str">
            <v>M</v>
          </cell>
          <cell r="AV3" t="str">
            <v>M</v>
          </cell>
          <cell r="AW3" t="str">
            <v>M</v>
          </cell>
          <cell r="AX3" t="str">
            <v>M</v>
          </cell>
          <cell r="AY3" t="str">
            <v>M</v>
          </cell>
          <cell r="AZ3" t="str">
            <v>M</v>
          </cell>
          <cell r="BA3" t="str">
            <v>M</v>
          </cell>
          <cell r="BB3" t="str">
            <v>M</v>
          </cell>
          <cell r="BC3" t="str">
            <v>M</v>
          </cell>
          <cell r="BD3" t="str">
            <v>M</v>
          </cell>
          <cell r="BE3" t="str">
            <v>M</v>
          </cell>
          <cell r="BF3" t="str">
            <v>M</v>
          </cell>
          <cell r="BG3" t="str">
            <v>M</v>
          </cell>
          <cell r="BH3" t="str">
            <v>M</v>
          </cell>
          <cell r="BI3" t="str">
            <v>M</v>
          </cell>
          <cell r="BJ3" t="str">
            <v>M</v>
          </cell>
          <cell r="BK3" t="str">
            <v>M</v>
          </cell>
          <cell r="BL3" t="str">
            <v>M</v>
          </cell>
          <cell r="BM3" t="str">
            <v>M</v>
          </cell>
          <cell r="BN3" t="str">
            <v>M</v>
          </cell>
          <cell r="BO3" t="str">
            <v>M</v>
          </cell>
          <cell r="BP3" t="str">
            <v>M</v>
          </cell>
          <cell r="BQ3" t="str">
            <v>M</v>
          </cell>
          <cell r="BR3" t="str">
            <v>M</v>
          </cell>
          <cell r="BS3" t="str">
            <v>M</v>
          </cell>
          <cell r="BT3" t="str">
            <v>M</v>
          </cell>
          <cell r="BU3" t="str">
            <v>M</v>
          </cell>
          <cell r="BV3" t="str">
            <v>M</v>
          </cell>
          <cell r="BW3" t="str">
            <v>M</v>
          </cell>
          <cell r="BX3" t="str">
            <v>M</v>
          </cell>
          <cell r="BY3" t="str">
            <v>M</v>
          </cell>
          <cell r="BZ3" t="str">
            <v>M</v>
          </cell>
          <cell r="CA3" t="str">
            <v>M</v>
          </cell>
          <cell r="CB3" t="str">
            <v>M</v>
          </cell>
          <cell r="CC3" t="str">
            <v>M</v>
          </cell>
          <cell r="CD3" t="str">
            <v>M</v>
          </cell>
          <cell r="CE3" t="str">
            <v>M</v>
          </cell>
          <cell r="CF3" t="str">
            <v>M</v>
          </cell>
          <cell r="CG3" t="str">
            <v>M</v>
          </cell>
          <cell r="CH3" t="str">
            <v>M</v>
          </cell>
          <cell r="CI3" t="str">
            <v>M</v>
          </cell>
          <cell r="CJ3" t="str">
            <v>M</v>
          </cell>
          <cell r="CK3" t="str">
            <v>M</v>
          </cell>
          <cell r="CL3" t="str">
            <v>M</v>
          </cell>
          <cell r="CM3" t="str">
            <v>M</v>
          </cell>
          <cell r="CN3" t="str">
            <v>M</v>
          </cell>
          <cell r="CO3" t="str">
            <v>M</v>
          </cell>
          <cell r="CP3" t="str">
            <v>M</v>
          </cell>
          <cell r="CQ3" t="str">
            <v>M</v>
          </cell>
          <cell r="CR3" t="str">
            <v>M</v>
          </cell>
          <cell r="CS3" t="str">
            <v>M</v>
          </cell>
          <cell r="CT3" t="str">
            <v>M</v>
          </cell>
        </row>
        <row r="4">
          <cell r="B4" t="str">
            <v>Date</v>
          </cell>
          <cell r="C4">
            <v>33603</v>
          </cell>
          <cell r="D4">
            <v>33969</v>
          </cell>
          <cell r="E4">
            <v>34334</v>
          </cell>
          <cell r="F4">
            <v>34699</v>
          </cell>
          <cell r="G4">
            <v>35064</v>
          </cell>
          <cell r="H4">
            <v>35430</v>
          </cell>
          <cell r="I4">
            <v>35795</v>
          </cell>
          <cell r="J4">
            <v>36160</v>
          </cell>
          <cell r="K4">
            <v>36525</v>
          </cell>
          <cell r="L4">
            <v>36526</v>
          </cell>
          <cell r="M4">
            <v>36557</v>
          </cell>
          <cell r="N4">
            <v>36586</v>
          </cell>
          <cell r="O4">
            <v>36617</v>
          </cell>
          <cell r="P4">
            <v>36647</v>
          </cell>
          <cell r="Q4">
            <v>36678</v>
          </cell>
          <cell r="R4">
            <v>36708</v>
          </cell>
          <cell r="S4">
            <v>36739</v>
          </cell>
          <cell r="T4">
            <v>36770</v>
          </cell>
          <cell r="U4">
            <v>36800</v>
          </cell>
          <cell r="V4">
            <v>36831</v>
          </cell>
          <cell r="W4">
            <v>36861</v>
          </cell>
          <cell r="X4">
            <v>36892</v>
          </cell>
          <cell r="Y4">
            <v>36923</v>
          </cell>
          <cell r="Z4">
            <v>36951</v>
          </cell>
          <cell r="AA4">
            <v>36982</v>
          </cell>
          <cell r="AB4">
            <v>37012</v>
          </cell>
          <cell r="AC4">
            <v>37043</v>
          </cell>
          <cell r="AD4">
            <v>37073</v>
          </cell>
          <cell r="AE4">
            <v>37104</v>
          </cell>
          <cell r="AF4">
            <v>37135</v>
          </cell>
          <cell r="AG4">
            <v>37165</v>
          </cell>
          <cell r="AH4">
            <v>37196</v>
          </cell>
          <cell r="AI4">
            <v>37226</v>
          </cell>
          <cell r="AJ4">
            <v>37257</v>
          </cell>
          <cell r="AK4">
            <v>37288</v>
          </cell>
          <cell r="AL4">
            <v>37316</v>
          </cell>
          <cell r="AM4">
            <v>37347</v>
          </cell>
          <cell r="AN4">
            <v>37377</v>
          </cell>
          <cell r="AO4">
            <v>37408</v>
          </cell>
          <cell r="AP4">
            <v>37438</v>
          </cell>
          <cell r="AQ4">
            <v>37469</v>
          </cell>
          <cell r="AR4">
            <v>37500</v>
          </cell>
          <cell r="AS4">
            <v>37530</v>
          </cell>
          <cell r="AT4">
            <v>37561</v>
          </cell>
          <cell r="AU4">
            <v>37591</v>
          </cell>
          <cell r="AV4">
            <v>37622</v>
          </cell>
          <cell r="AW4">
            <v>37653</v>
          </cell>
          <cell r="AX4">
            <v>37681</v>
          </cell>
          <cell r="AY4">
            <v>37712</v>
          </cell>
          <cell r="AZ4">
            <v>37742</v>
          </cell>
          <cell r="BA4">
            <v>37773</v>
          </cell>
          <cell r="BB4">
            <v>37803</v>
          </cell>
          <cell r="BC4">
            <v>37834</v>
          </cell>
          <cell r="BD4">
            <v>37865</v>
          </cell>
          <cell r="BE4">
            <v>37895</v>
          </cell>
          <cell r="BF4">
            <v>37926</v>
          </cell>
          <cell r="BG4">
            <v>37956</v>
          </cell>
          <cell r="BH4">
            <v>37987</v>
          </cell>
          <cell r="BI4">
            <v>38018</v>
          </cell>
          <cell r="BJ4">
            <v>38047</v>
          </cell>
          <cell r="BK4">
            <v>38078</v>
          </cell>
          <cell r="BL4">
            <v>38108</v>
          </cell>
          <cell r="BM4">
            <v>38139</v>
          </cell>
          <cell r="BN4">
            <v>38169</v>
          </cell>
          <cell r="BO4">
            <v>38200</v>
          </cell>
          <cell r="BP4">
            <v>38231</v>
          </cell>
          <cell r="BQ4">
            <v>38261</v>
          </cell>
          <cell r="BR4">
            <v>38292</v>
          </cell>
          <cell r="BS4">
            <v>38322</v>
          </cell>
          <cell r="BT4">
            <v>38353</v>
          </cell>
          <cell r="BU4">
            <v>38384</v>
          </cell>
          <cell r="BV4">
            <v>38412</v>
          </cell>
          <cell r="BW4">
            <v>38443</v>
          </cell>
          <cell r="BX4">
            <v>38473</v>
          </cell>
          <cell r="BY4">
            <v>38504</v>
          </cell>
          <cell r="BZ4">
            <v>38534</v>
          </cell>
          <cell r="CA4">
            <v>38565</v>
          </cell>
          <cell r="CB4">
            <v>38596</v>
          </cell>
          <cell r="CC4">
            <v>38626</v>
          </cell>
          <cell r="CD4">
            <v>38657</v>
          </cell>
          <cell r="CE4">
            <v>38687</v>
          </cell>
          <cell r="CF4">
            <v>38718</v>
          </cell>
          <cell r="CG4">
            <v>38749</v>
          </cell>
          <cell r="CH4">
            <v>38777</v>
          </cell>
          <cell r="CI4">
            <v>38808</v>
          </cell>
          <cell r="CJ4">
            <v>38838</v>
          </cell>
          <cell r="CK4">
            <v>38869</v>
          </cell>
          <cell r="CL4">
            <v>38899</v>
          </cell>
          <cell r="CM4">
            <v>38930</v>
          </cell>
          <cell r="CN4">
            <v>38961</v>
          </cell>
          <cell r="CO4">
            <v>38991</v>
          </cell>
          <cell r="CP4">
            <v>39022</v>
          </cell>
          <cell r="CQ4">
            <v>39052</v>
          </cell>
          <cell r="CR4">
            <v>39083</v>
          </cell>
          <cell r="CS4">
            <v>39114</v>
          </cell>
          <cell r="CT4">
            <v>39142</v>
          </cell>
        </row>
        <row r="5">
          <cell r="B5" t="str">
            <v>Year</v>
          </cell>
          <cell r="C5">
            <v>33603</v>
          </cell>
          <cell r="D5">
            <v>33969</v>
          </cell>
          <cell r="E5">
            <v>34334</v>
          </cell>
          <cell r="F5">
            <v>34699</v>
          </cell>
          <cell r="G5">
            <v>35064</v>
          </cell>
          <cell r="H5">
            <v>35430</v>
          </cell>
          <cell r="I5">
            <v>35795</v>
          </cell>
          <cell r="J5">
            <v>36160</v>
          </cell>
          <cell r="K5">
            <v>36525</v>
          </cell>
          <cell r="L5">
            <v>2000</v>
          </cell>
          <cell r="M5">
            <v>2000</v>
          </cell>
          <cell r="N5">
            <v>2000</v>
          </cell>
          <cell r="O5">
            <v>2000</v>
          </cell>
          <cell r="P5">
            <v>2000</v>
          </cell>
          <cell r="Q5">
            <v>2000</v>
          </cell>
          <cell r="R5">
            <v>2000</v>
          </cell>
          <cell r="S5">
            <v>2000</v>
          </cell>
          <cell r="T5">
            <v>2000</v>
          </cell>
          <cell r="U5">
            <v>2000</v>
          </cell>
          <cell r="V5">
            <v>2000</v>
          </cell>
          <cell r="W5">
            <v>2000</v>
          </cell>
          <cell r="X5">
            <v>2001</v>
          </cell>
          <cell r="Y5">
            <v>2001</v>
          </cell>
          <cell r="Z5">
            <v>2001</v>
          </cell>
          <cell r="AA5">
            <v>2001</v>
          </cell>
          <cell r="AB5">
            <v>2001</v>
          </cell>
          <cell r="AC5">
            <v>2001</v>
          </cell>
          <cell r="AD5">
            <v>2001</v>
          </cell>
          <cell r="AE5">
            <v>2001</v>
          </cell>
          <cell r="AF5">
            <v>2001</v>
          </cell>
          <cell r="AG5">
            <v>2001</v>
          </cell>
          <cell r="AH5">
            <v>2001</v>
          </cell>
          <cell r="AI5">
            <v>2001</v>
          </cell>
          <cell r="AJ5">
            <v>2002</v>
          </cell>
          <cell r="AK5">
            <v>2002</v>
          </cell>
          <cell r="AL5">
            <v>2002</v>
          </cell>
          <cell r="AM5">
            <v>2002</v>
          </cell>
          <cell r="AN5">
            <v>2002</v>
          </cell>
          <cell r="AO5">
            <v>2002</v>
          </cell>
          <cell r="AP5">
            <v>2002</v>
          </cell>
          <cell r="AQ5">
            <v>2002</v>
          </cell>
          <cell r="AR5">
            <v>2002</v>
          </cell>
          <cell r="AS5">
            <v>2002</v>
          </cell>
          <cell r="AT5">
            <v>2002</v>
          </cell>
          <cell r="AU5">
            <v>2002</v>
          </cell>
          <cell r="AV5">
            <v>2003</v>
          </cell>
          <cell r="AW5">
            <v>2003</v>
          </cell>
          <cell r="AX5">
            <v>2003</v>
          </cell>
          <cell r="AY5">
            <v>2003</v>
          </cell>
          <cell r="AZ5">
            <v>2003</v>
          </cell>
          <cell r="BA5">
            <v>2003</v>
          </cell>
          <cell r="BB5">
            <v>2003</v>
          </cell>
          <cell r="BC5">
            <v>2003</v>
          </cell>
          <cell r="BD5">
            <v>2003</v>
          </cell>
          <cell r="BE5">
            <v>2003</v>
          </cell>
          <cell r="BF5">
            <v>2003</v>
          </cell>
          <cell r="BG5">
            <v>2003</v>
          </cell>
          <cell r="BH5">
            <v>2004</v>
          </cell>
          <cell r="BI5">
            <v>2004</v>
          </cell>
          <cell r="BJ5">
            <v>2004</v>
          </cell>
          <cell r="BK5">
            <v>2004</v>
          </cell>
          <cell r="BL5">
            <v>2004</v>
          </cell>
          <cell r="BM5">
            <v>2004</v>
          </cell>
          <cell r="BN5">
            <v>2004</v>
          </cell>
          <cell r="BO5">
            <v>2004</v>
          </cell>
          <cell r="BP5">
            <v>2004</v>
          </cell>
          <cell r="BQ5">
            <v>2004</v>
          </cell>
          <cell r="BR5">
            <v>2004</v>
          </cell>
          <cell r="BS5">
            <v>2004</v>
          </cell>
          <cell r="BT5">
            <v>2005</v>
          </cell>
          <cell r="BU5">
            <v>2005</v>
          </cell>
          <cell r="BV5">
            <v>2005</v>
          </cell>
          <cell r="BW5">
            <v>2005</v>
          </cell>
          <cell r="BX5">
            <v>2005</v>
          </cell>
          <cell r="BY5">
            <v>2005</v>
          </cell>
          <cell r="BZ5">
            <v>2005</v>
          </cell>
          <cell r="CA5">
            <v>2005</v>
          </cell>
          <cell r="CB5">
            <v>2005</v>
          </cell>
          <cell r="CC5">
            <v>2005</v>
          </cell>
          <cell r="CD5">
            <v>2005</v>
          </cell>
          <cell r="CE5">
            <v>2005</v>
          </cell>
          <cell r="CF5">
            <v>2006</v>
          </cell>
          <cell r="CG5">
            <v>2006</v>
          </cell>
          <cell r="CH5">
            <v>2006</v>
          </cell>
          <cell r="CI5">
            <v>2006</v>
          </cell>
          <cell r="CJ5">
            <v>2006</v>
          </cell>
          <cell r="CK5">
            <v>2006</v>
          </cell>
          <cell r="CL5">
            <v>2006</v>
          </cell>
          <cell r="CM5">
            <v>2006</v>
          </cell>
          <cell r="CN5">
            <v>2006</v>
          </cell>
          <cell r="CO5">
            <v>2006</v>
          </cell>
          <cell r="CP5">
            <v>2006</v>
          </cell>
          <cell r="CQ5">
            <v>2006</v>
          </cell>
          <cell r="CR5">
            <v>2007</v>
          </cell>
          <cell r="CS5">
            <v>2007</v>
          </cell>
          <cell r="CT5">
            <v>2007</v>
          </cell>
        </row>
        <row r="6">
          <cell r="B6" t="str">
            <v>Quarter</v>
          </cell>
          <cell r="L6" t="str">
            <v>2000q1</v>
          </cell>
          <cell r="M6" t="str">
            <v>2000q1</v>
          </cell>
          <cell r="N6" t="str">
            <v>2000q1</v>
          </cell>
          <cell r="O6" t="str">
            <v>2000q2</v>
          </cell>
          <cell r="P6" t="str">
            <v>2000q2</v>
          </cell>
          <cell r="Q6" t="str">
            <v>2000q2</v>
          </cell>
          <cell r="R6" t="str">
            <v>2000q3</v>
          </cell>
          <cell r="S6" t="str">
            <v>2000q3</v>
          </cell>
          <cell r="T6" t="str">
            <v>2000q3</v>
          </cell>
          <cell r="U6" t="str">
            <v>2000q4</v>
          </cell>
          <cell r="V6" t="str">
            <v>2000q4</v>
          </cell>
          <cell r="W6" t="str">
            <v>2000q4</v>
          </cell>
          <cell r="X6" t="str">
            <v>2001q1</v>
          </cell>
          <cell r="Y6" t="str">
            <v>2001q1</v>
          </cell>
          <cell r="Z6" t="str">
            <v>2001q1</v>
          </cell>
          <cell r="AA6" t="str">
            <v>2001q2</v>
          </cell>
          <cell r="AB6" t="str">
            <v>2001q2</v>
          </cell>
          <cell r="AC6" t="str">
            <v>2001q2</v>
          </cell>
          <cell r="AD6" t="str">
            <v>2001q3</v>
          </cell>
          <cell r="AE6" t="str">
            <v>2001q3</v>
          </cell>
          <cell r="AF6" t="str">
            <v>2001q3</v>
          </cell>
          <cell r="AG6" t="str">
            <v>2001q4</v>
          </cell>
          <cell r="AH6" t="str">
            <v>2001q4</v>
          </cell>
          <cell r="AI6" t="str">
            <v>2001q4</v>
          </cell>
          <cell r="AJ6" t="str">
            <v>2002q1</v>
          </cell>
          <cell r="AK6" t="str">
            <v>2002q1</v>
          </cell>
          <cell r="AL6" t="str">
            <v>2002q1</v>
          </cell>
          <cell r="AM6" t="str">
            <v>2002q2</v>
          </cell>
          <cell r="AN6" t="str">
            <v>2002q2</v>
          </cell>
          <cell r="AO6" t="str">
            <v>2002q2</v>
          </cell>
          <cell r="AP6" t="str">
            <v>2002q3</v>
          </cell>
          <cell r="AQ6" t="str">
            <v>2002q3</v>
          </cell>
          <cell r="AR6" t="str">
            <v>2002q3</v>
          </cell>
          <cell r="AS6" t="str">
            <v>2002q4</v>
          </cell>
          <cell r="AT6" t="str">
            <v>2002q4</v>
          </cell>
          <cell r="AU6" t="str">
            <v>2002q4</v>
          </cell>
          <cell r="AV6" t="str">
            <v>2003q1</v>
          </cell>
          <cell r="AW6" t="str">
            <v>2003q1</v>
          </cell>
          <cell r="AX6" t="str">
            <v>2003q1</v>
          </cell>
          <cell r="AY6" t="str">
            <v>2003q2</v>
          </cell>
          <cell r="AZ6" t="str">
            <v>2003q2</v>
          </cell>
          <cell r="BA6" t="str">
            <v>2003q2</v>
          </cell>
          <cell r="BB6" t="str">
            <v>2003q3</v>
          </cell>
          <cell r="BC6" t="str">
            <v>2003q3</v>
          </cell>
          <cell r="BD6" t="str">
            <v>2003q3</v>
          </cell>
          <cell r="BE6" t="str">
            <v>2003q4</v>
          </cell>
          <cell r="BF6" t="str">
            <v>2003q4</v>
          </cell>
          <cell r="BG6" t="str">
            <v>2003q4</v>
          </cell>
          <cell r="BH6" t="str">
            <v>2004q1</v>
          </cell>
          <cell r="BI6" t="str">
            <v>2004q1</v>
          </cell>
          <cell r="BJ6" t="str">
            <v>2004q1</v>
          </cell>
          <cell r="BK6" t="str">
            <v>2004q2</v>
          </cell>
          <cell r="BL6" t="str">
            <v>2004q2</v>
          </cell>
          <cell r="BM6" t="str">
            <v>2004q2</v>
          </cell>
          <cell r="BN6" t="str">
            <v>2004q3</v>
          </cell>
          <cell r="BO6" t="str">
            <v>2004q3</v>
          </cell>
          <cell r="BP6" t="str">
            <v>2004q3</v>
          </cell>
          <cell r="BQ6" t="str">
            <v>2004q4</v>
          </cell>
          <cell r="BR6" t="str">
            <v>2004q4</v>
          </cell>
          <cell r="BS6" t="str">
            <v>2004q4</v>
          </cell>
          <cell r="BT6" t="str">
            <v>2005q1</v>
          </cell>
          <cell r="BU6" t="str">
            <v>2005q1</v>
          </cell>
          <cell r="BV6" t="str">
            <v>2005q1</v>
          </cell>
          <cell r="BW6" t="str">
            <v>2005q2</v>
          </cell>
          <cell r="BX6" t="str">
            <v>2005q2</v>
          </cell>
          <cell r="BY6" t="str">
            <v>2005q2</v>
          </cell>
          <cell r="BZ6" t="str">
            <v>2005q3</v>
          </cell>
          <cell r="CA6" t="str">
            <v>2005q3</v>
          </cell>
          <cell r="CB6" t="str">
            <v>2005q3</v>
          </cell>
          <cell r="CC6" t="str">
            <v>2005q4</v>
          </cell>
          <cell r="CD6" t="str">
            <v>2005q4</v>
          </cell>
          <cell r="CE6" t="str">
            <v>2005q4</v>
          </cell>
          <cell r="CF6" t="str">
            <v>2006q1</v>
          </cell>
          <cell r="CG6" t="str">
            <v>2006q1</v>
          </cell>
          <cell r="CH6" t="str">
            <v>2006q1</v>
          </cell>
          <cell r="CI6" t="str">
            <v>2006q2</v>
          </cell>
          <cell r="CJ6" t="str">
            <v>2006q2</v>
          </cell>
          <cell r="CK6" t="str">
            <v>2006q2</v>
          </cell>
          <cell r="CL6" t="str">
            <v>2006q3</v>
          </cell>
          <cell r="CM6" t="str">
            <v>2006q3</v>
          </cell>
          <cell r="CN6" t="str">
            <v>2006q3</v>
          </cell>
          <cell r="CO6" t="str">
            <v>2006q4</v>
          </cell>
          <cell r="CP6" t="str">
            <v>2006q4</v>
          </cell>
          <cell r="CQ6" t="str">
            <v>2006q4</v>
          </cell>
          <cell r="CR6" t="str">
            <v>2007q1</v>
          </cell>
          <cell r="CS6" t="str">
            <v>2007q1</v>
          </cell>
          <cell r="CT6" t="str">
            <v>2007q1</v>
          </cell>
        </row>
        <row r="7">
          <cell r="B7" t="str">
            <v>Month</v>
          </cell>
          <cell r="L7" t="str">
            <v>2000m1</v>
          </cell>
          <cell r="M7" t="str">
            <v>2000m2</v>
          </cell>
          <cell r="N7" t="str">
            <v>2000m3</v>
          </cell>
          <cell r="O7" t="str">
            <v>2000m4</v>
          </cell>
          <cell r="P7" t="str">
            <v>2000m5</v>
          </cell>
          <cell r="Q7" t="str">
            <v>2000m6</v>
          </cell>
          <cell r="R7" t="str">
            <v>2000m7</v>
          </cell>
          <cell r="S7" t="str">
            <v>2000m8</v>
          </cell>
          <cell r="T7" t="str">
            <v>2000m9</v>
          </cell>
          <cell r="U7" t="str">
            <v>2000m10</v>
          </cell>
          <cell r="V7" t="str">
            <v>2000m11</v>
          </cell>
          <cell r="W7" t="str">
            <v>2000m12</v>
          </cell>
          <cell r="X7" t="str">
            <v>2001m1</v>
          </cell>
          <cell r="Y7" t="str">
            <v>2001m2</v>
          </cell>
          <cell r="Z7" t="str">
            <v>2001m3</v>
          </cell>
          <cell r="AA7" t="str">
            <v>2001m4</v>
          </cell>
          <cell r="AB7" t="str">
            <v>2001m5</v>
          </cell>
          <cell r="AC7" t="str">
            <v>2001m6</v>
          </cell>
          <cell r="AD7" t="str">
            <v>2001m7</v>
          </cell>
          <cell r="AE7" t="str">
            <v>2001m8</v>
          </cell>
          <cell r="AF7" t="str">
            <v>2001m9</v>
          </cell>
          <cell r="AG7" t="str">
            <v>2001m10</v>
          </cell>
          <cell r="AH7" t="str">
            <v>2001m11</v>
          </cell>
          <cell r="AI7" t="str">
            <v>2001m12</v>
          </cell>
          <cell r="AJ7" t="str">
            <v>2002m1</v>
          </cell>
          <cell r="AK7" t="str">
            <v>2002m2</v>
          </cell>
          <cell r="AL7" t="str">
            <v>2002m3</v>
          </cell>
          <cell r="AM7" t="str">
            <v>2002m4</v>
          </cell>
          <cell r="AN7" t="str">
            <v>2002m5</v>
          </cell>
          <cell r="AO7" t="str">
            <v>2002m6</v>
          </cell>
          <cell r="AP7" t="str">
            <v>2002m7</v>
          </cell>
          <cell r="AQ7" t="str">
            <v>2002m8</v>
          </cell>
          <cell r="AR7" t="str">
            <v>2002m9</v>
          </cell>
          <cell r="AS7" t="str">
            <v>2002m10</v>
          </cell>
          <cell r="AT7" t="str">
            <v>2002m11</v>
          </cell>
          <cell r="AU7" t="str">
            <v>2002m12</v>
          </cell>
          <cell r="AV7" t="str">
            <v>2003m1</v>
          </cell>
          <cell r="AW7" t="str">
            <v>2003m2</v>
          </cell>
          <cell r="AX7" t="str">
            <v>2003m3</v>
          </cell>
          <cell r="AY7" t="str">
            <v>2003m4</v>
          </cell>
          <cell r="AZ7" t="str">
            <v>2003m5</v>
          </cell>
          <cell r="BA7" t="str">
            <v>2003m6</v>
          </cell>
          <cell r="BB7" t="str">
            <v>2003m7</v>
          </cell>
          <cell r="BC7" t="str">
            <v>2003m8</v>
          </cell>
          <cell r="BD7" t="str">
            <v>2003m9</v>
          </cell>
          <cell r="BE7" t="str">
            <v>2003m10</v>
          </cell>
          <cell r="BF7" t="str">
            <v>2003m11</v>
          </cell>
          <cell r="BG7" t="str">
            <v>2003m12</v>
          </cell>
          <cell r="BH7" t="str">
            <v>2004m1</v>
          </cell>
          <cell r="BI7" t="str">
            <v>2004m2</v>
          </cell>
          <cell r="BJ7" t="str">
            <v>2004m3</v>
          </cell>
          <cell r="BK7" t="str">
            <v>2004m4</v>
          </cell>
          <cell r="BL7" t="str">
            <v>2004m5</v>
          </cell>
          <cell r="BM7" t="str">
            <v>2004m6</v>
          </cell>
          <cell r="BN7" t="str">
            <v>2004m7</v>
          </cell>
          <cell r="BO7" t="str">
            <v>2004m8</v>
          </cell>
          <cell r="BP7" t="str">
            <v>2004m9</v>
          </cell>
          <cell r="BQ7" t="str">
            <v>2004m10</v>
          </cell>
          <cell r="BR7" t="str">
            <v>2004m11</v>
          </cell>
          <cell r="BS7" t="str">
            <v>2004m12</v>
          </cell>
          <cell r="BT7" t="str">
            <v>2005m1</v>
          </cell>
          <cell r="BU7" t="str">
            <v>2005m2</v>
          </cell>
          <cell r="BV7" t="str">
            <v>2005m3</v>
          </cell>
          <cell r="BW7" t="str">
            <v>2005m4</v>
          </cell>
          <cell r="BX7" t="str">
            <v>2005m5</v>
          </cell>
          <cell r="BY7" t="str">
            <v>2005m6</v>
          </cell>
          <cell r="BZ7" t="str">
            <v>2005m7</v>
          </cell>
          <cell r="CA7" t="str">
            <v>2005m8</v>
          </cell>
          <cell r="CB7" t="str">
            <v>2005m9</v>
          </cell>
          <cell r="CC7" t="str">
            <v>2005m10</v>
          </cell>
          <cell r="CD7" t="str">
            <v>2005m11</v>
          </cell>
          <cell r="CE7" t="str">
            <v>2005m12</v>
          </cell>
          <cell r="CF7" t="str">
            <v>2006m1</v>
          </cell>
          <cell r="CG7" t="str">
            <v>2006m2</v>
          </cell>
          <cell r="CH7" t="str">
            <v>2006m3</v>
          </cell>
          <cell r="CI7" t="str">
            <v>2006m4</v>
          </cell>
          <cell r="CJ7" t="str">
            <v>2006m5</v>
          </cell>
          <cell r="CK7" t="str">
            <v>2006m6</v>
          </cell>
          <cell r="CL7" t="str">
            <v>2006m7</v>
          </cell>
          <cell r="CM7" t="str">
            <v>2006m8</v>
          </cell>
          <cell r="CN7" t="str">
            <v>2006m9</v>
          </cell>
          <cell r="CO7" t="str">
            <v>2006m10</v>
          </cell>
          <cell r="CP7" t="str">
            <v>2006m11</v>
          </cell>
          <cell r="CQ7" t="str">
            <v>2006m12</v>
          </cell>
          <cell r="CR7" t="str">
            <v>2007m1</v>
          </cell>
          <cell r="CS7" t="str">
            <v>2007m2</v>
          </cell>
          <cell r="CT7" t="str">
            <v>2007m3</v>
          </cell>
        </row>
        <row r="10">
          <cell r="B10" t="str">
            <v>Gross Gaming Receipts</v>
          </cell>
        </row>
        <row r="11">
          <cell r="B11" t="str">
            <v>Games of Fortune</v>
          </cell>
          <cell r="BN11">
            <v>4240.3040000000001</v>
          </cell>
          <cell r="BO11">
            <v>3668.652</v>
          </cell>
          <cell r="BP11">
            <v>2998.614</v>
          </cell>
          <cell r="BQ11">
            <v>3848.8780000000002</v>
          </cell>
          <cell r="BR11">
            <v>3639.7170000000001</v>
          </cell>
          <cell r="BS11">
            <v>3386.98</v>
          </cell>
          <cell r="BT11">
            <v>3670.527</v>
          </cell>
          <cell r="BU11">
            <v>3007.2640000000001</v>
          </cell>
          <cell r="BV11">
            <v>3922.248</v>
          </cell>
          <cell r="BW11">
            <v>3533.482</v>
          </cell>
          <cell r="BX11">
            <v>4186.4970000000003</v>
          </cell>
          <cell r="BY11">
            <v>3620.45</v>
          </cell>
          <cell r="BZ11">
            <v>3775.8069999999998</v>
          </cell>
          <cell r="CA11">
            <v>4336.732</v>
          </cell>
          <cell r="CB11">
            <v>3283.26</v>
          </cell>
          <cell r="CC11">
            <v>3990.5340000000001</v>
          </cell>
          <cell r="CD11">
            <v>3646.4250000000002</v>
          </cell>
          <cell r="CE11">
            <v>3751.3939999999998</v>
          </cell>
          <cell r="CF11">
            <v>3500.3270000000002</v>
          </cell>
          <cell r="CG11">
            <v>4298.4120000000003</v>
          </cell>
          <cell r="CH11">
            <v>4552.8180000000002</v>
          </cell>
          <cell r="CI11">
            <v>4390.8810000000003</v>
          </cell>
          <cell r="CJ11">
            <v>4342.5039999999999</v>
          </cell>
          <cell r="CK11">
            <v>3926.4720000000002</v>
          </cell>
          <cell r="CL11">
            <v>4471.1289999999999</v>
          </cell>
          <cell r="CM11">
            <v>4593.9709999999995</v>
          </cell>
          <cell r="CN11">
            <v>4483.9000000000005</v>
          </cell>
          <cell r="CO11">
            <v>5740.54</v>
          </cell>
          <cell r="CP11">
            <v>4799.018</v>
          </cell>
          <cell r="CQ11">
            <v>5897.2520000000004</v>
          </cell>
          <cell r="CR11">
            <v>6000.17</v>
          </cell>
          <cell r="CS11">
            <v>5734.9049999999997</v>
          </cell>
        </row>
        <row r="12">
          <cell r="B12" t="str">
            <v>Other (lottery, racing, etc.)</v>
          </cell>
          <cell r="BN12">
            <v>158.93700000000001</v>
          </cell>
          <cell r="BO12">
            <v>163.13800000000001</v>
          </cell>
          <cell r="BP12">
            <v>81.332999999999998</v>
          </cell>
          <cell r="BQ12">
            <v>149.935</v>
          </cell>
          <cell r="BR12">
            <v>142.47999999999999</v>
          </cell>
          <cell r="BS12">
            <v>104.15900000000001</v>
          </cell>
          <cell r="BT12">
            <v>141.43100000000001</v>
          </cell>
          <cell r="BU12">
            <v>114</v>
          </cell>
          <cell r="BV12">
            <v>97.91</v>
          </cell>
          <cell r="BW12">
            <v>105.08199999999999</v>
          </cell>
          <cell r="BX12">
            <v>100.47799999999999</v>
          </cell>
          <cell r="BY12">
            <v>73.63</v>
          </cell>
          <cell r="BZ12">
            <v>68.935000000000002</v>
          </cell>
          <cell r="CA12">
            <v>81.426000000000002</v>
          </cell>
          <cell r="CB12">
            <v>58.231000000000002</v>
          </cell>
          <cell r="CC12">
            <v>88.471999999999994</v>
          </cell>
          <cell r="CD12">
            <v>68.165999999999997</v>
          </cell>
          <cell r="CE12">
            <v>78.069000000000003</v>
          </cell>
          <cell r="CF12">
            <v>83.650999999999996</v>
          </cell>
          <cell r="CG12">
            <v>80.003999999999991</v>
          </cell>
          <cell r="CH12">
            <v>73.905000000000001</v>
          </cell>
          <cell r="CI12">
            <v>83.915000000000006</v>
          </cell>
          <cell r="CJ12">
            <v>80.185000000000002</v>
          </cell>
          <cell r="CK12">
            <v>76.088999999999999</v>
          </cell>
          <cell r="CL12">
            <v>81.191999999999993</v>
          </cell>
          <cell r="CM12">
            <v>78.369</v>
          </cell>
          <cell r="CN12">
            <v>54.165999999999997</v>
          </cell>
          <cell r="CO12">
            <v>70.096000000000004</v>
          </cell>
          <cell r="CP12">
            <v>71.19</v>
          </cell>
          <cell r="CQ12">
            <v>53.808999999999997</v>
          </cell>
          <cell r="CR12">
            <v>61.8645</v>
          </cell>
          <cell r="CS12">
            <v>58.191000000000003</v>
          </cell>
        </row>
        <row r="13">
          <cell r="BN13" t="str">
            <v>______</v>
          </cell>
          <cell r="BO13" t="str">
            <v>______</v>
          </cell>
          <cell r="BP13" t="str">
            <v>______</v>
          </cell>
          <cell r="BQ13" t="str">
            <v>______</v>
          </cell>
          <cell r="BR13" t="str">
            <v>______</v>
          </cell>
          <cell r="BS13" t="str">
            <v>______</v>
          </cell>
          <cell r="BT13" t="str">
            <v>______</v>
          </cell>
          <cell r="BU13" t="str">
            <v>______</v>
          </cell>
          <cell r="BV13" t="str">
            <v>______</v>
          </cell>
          <cell r="BW13" t="str">
            <v>______</v>
          </cell>
          <cell r="BX13" t="str">
            <v>______</v>
          </cell>
          <cell r="BY13" t="str">
            <v>______</v>
          </cell>
          <cell r="BZ13" t="str">
            <v>______</v>
          </cell>
          <cell r="CA13" t="str">
            <v>______</v>
          </cell>
          <cell r="CB13" t="str">
            <v>______</v>
          </cell>
          <cell r="CC13" t="str">
            <v>______</v>
          </cell>
          <cell r="CD13" t="str">
            <v>______</v>
          </cell>
          <cell r="CE13" t="str">
            <v>______</v>
          </cell>
          <cell r="CF13" t="str">
            <v>______</v>
          </cell>
          <cell r="CG13" t="str">
            <v>______</v>
          </cell>
          <cell r="CH13" t="str">
            <v>______</v>
          </cell>
          <cell r="CI13" t="str">
            <v>______</v>
          </cell>
          <cell r="CJ13" t="str">
            <v>______</v>
          </cell>
          <cell r="CK13" t="str">
            <v>______</v>
          </cell>
          <cell r="CL13" t="str">
            <v>______</v>
          </cell>
          <cell r="CM13" t="str">
            <v>______</v>
          </cell>
          <cell r="CN13" t="str">
            <v>______</v>
          </cell>
          <cell r="CO13" t="str">
            <v>______</v>
          </cell>
          <cell r="CP13" t="str">
            <v>______</v>
          </cell>
          <cell r="CQ13" t="str">
            <v>______</v>
          </cell>
          <cell r="CR13" t="str">
            <v>______</v>
          </cell>
          <cell r="CS13" t="str">
            <v>______</v>
          </cell>
        </row>
        <row r="14">
          <cell r="B14" t="str">
            <v>Total</v>
          </cell>
          <cell r="BN14">
            <v>4399.241</v>
          </cell>
          <cell r="BO14">
            <v>3831.79</v>
          </cell>
          <cell r="BP14">
            <v>3079.9470000000001</v>
          </cell>
          <cell r="BQ14">
            <v>3998.8130000000001</v>
          </cell>
          <cell r="BR14">
            <v>3782.1970000000001</v>
          </cell>
          <cell r="BS14">
            <v>3491.1390000000001</v>
          </cell>
          <cell r="BT14">
            <v>3811.9580000000001</v>
          </cell>
          <cell r="BU14">
            <v>3121.2640000000001</v>
          </cell>
          <cell r="BV14">
            <v>4020.1579999999999</v>
          </cell>
          <cell r="BW14">
            <v>3638.5639999999999</v>
          </cell>
          <cell r="BX14">
            <v>4286.9750000000004</v>
          </cell>
          <cell r="BY14">
            <v>3694.08</v>
          </cell>
          <cell r="BZ14">
            <v>3844.7419999999997</v>
          </cell>
          <cell r="CA14">
            <v>4418.1580000000004</v>
          </cell>
          <cell r="CB14">
            <v>3341.4910000000004</v>
          </cell>
          <cell r="CC14">
            <v>4079.0060000000003</v>
          </cell>
          <cell r="CD14">
            <v>3714.5910000000003</v>
          </cell>
          <cell r="CE14">
            <v>3829.4629999999997</v>
          </cell>
          <cell r="CF14">
            <v>3583.9780000000001</v>
          </cell>
          <cell r="CG14">
            <v>4378.4160000000002</v>
          </cell>
          <cell r="CH14">
            <v>4626.723</v>
          </cell>
          <cell r="CI14">
            <v>4474.7960000000003</v>
          </cell>
          <cell r="CJ14">
            <v>4422.6890000000003</v>
          </cell>
          <cell r="CK14">
            <v>4002.5610000000001</v>
          </cell>
          <cell r="CL14">
            <v>4552.3209999999999</v>
          </cell>
          <cell r="CM14">
            <v>4672.3399999999992</v>
          </cell>
          <cell r="CN14">
            <v>4538.0660000000007</v>
          </cell>
          <cell r="CO14">
            <v>5810.6360000000004</v>
          </cell>
          <cell r="CP14">
            <v>4870.2079999999996</v>
          </cell>
          <cell r="CQ14">
            <v>5951.0610000000006</v>
          </cell>
          <cell r="CR14">
            <v>6062.0344999999998</v>
          </cell>
          <cell r="CS14">
            <v>5793.0959999999995</v>
          </cell>
          <cell r="CT14">
            <v>6064.9249999999993</v>
          </cell>
        </row>
        <row r="15">
          <cell r="B15" t="str">
            <v>% Change</v>
          </cell>
          <cell r="BZ15">
            <v>-0.1260442426318541</v>
          </cell>
          <cell r="CA15">
            <v>0.15302717528883369</v>
          </cell>
          <cell r="CB15">
            <v>8.4918344374107946E-2</v>
          </cell>
          <cell r="CC15">
            <v>2.0054201084171774E-2</v>
          </cell>
          <cell r="CD15">
            <v>-1.7874796051078223E-2</v>
          </cell>
          <cell r="CE15">
            <v>9.6909346777656058E-2</v>
          </cell>
          <cell r="CF15">
            <v>-5.9806535119222182E-2</v>
          </cell>
          <cell r="CG15">
            <v>0.40277015978142194</v>
          </cell>
          <cell r="CH15">
            <v>0.15088088577613123</v>
          </cell>
          <cell r="CI15">
            <v>0.22982473305402906</v>
          </cell>
          <cell r="CJ15">
            <v>3.165728748126595E-2</v>
          </cell>
          <cell r="CK15">
            <v>8.3506854209979275E-2</v>
          </cell>
          <cell r="CL15">
            <v>0.1840380967045383</v>
          </cell>
          <cell r="CM15">
            <v>5.7531215497498955E-2</v>
          </cell>
          <cell r="CN15">
            <v>0.35809613133777707</v>
          </cell>
          <cell r="CO15">
            <v>0.4245225429920918</v>
          </cell>
          <cell r="CP15">
            <v>0.31110208364797076</v>
          </cell>
          <cell r="CQ15">
            <v>0.55401971503576375</v>
          </cell>
          <cell r="CR15">
            <v>0.69142625875493646</v>
          </cell>
          <cell r="CS15">
            <v>0.32310314963219566</v>
          </cell>
        </row>
        <row r="16">
          <cell r="B16" t="str">
            <v>Games of Fortune % Change</v>
          </cell>
          <cell r="BZ16">
            <v>-0.1095433251955521</v>
          </cell>
          <cell r="CA16">
            <v>0.18210503476481277</v>
          </cell>
          <cell r="CB16">
            <v>9.4925855745354504E-2</v>
          </cell>
          <cell r="CC16">
            <v>3.6804492114325349E-2</v>
          </cell>
          <cell r="CD16">
            <v>1.8430004310774351E-3</v>
          </cell>
          <cell r="CE16">
            <v>0.10759260462122588</v>
          </cell>
          <cell r="CF16">
            <v>-4.6369363309410327E-2</v>
          </cell>
          <cell r="CG16">
            <v>0.4293430839460719</v>
          </cell>
          <cell r="CH16">
            <v>0.1607674986385359</v>
          </cell>
          <cell r="CI16">
            <v>0.24264988473126525</v>
          </cell>
          <cell r="CJ16">
            <v>3.7264328626056553E-2</v>
          </cell>
          <cell r="CK16">
            <v>8.4525956718087603E-2</v>
          </cell>
          <cell r="CL16">
            <v>0.18415189123808506</v>
          </cell>
          <cell r="CM16">
            <v>5.9316323904728074E-2</v>
          </cell>
          <cell r="CN16">
            <v>0.36568532495142025</v>
          </cell>
          <cell r="CO16">
            <v>0.43853930326116752</v>
          </cell>
          <cell r="CP16">
            <v>0.31608849763809754</v>
          </cell>
          <cell r="CQ16">
            <v>0.57201616252518428</v>
          </cell>
          <cell r="CR16">
            <v>0.71417413287387133</v>
          </cell>
          <cell r="CS16">
            <v>0.33419155725416716</v>
          </cell>
        </row>
        <row r="17">
          <cell r="CR17">
            <v>1212.4069</v>
          </cell>
          <cell r="CS17">
            <v>926.89535999999998</v>
          </cell>
          <cell r="CT17">
            <v>970.38799999999992</v>
          </cell>
          <cell r="CU17">
            <v>388.71128249999998</v>
          </cell>
        </row>
        <row r="18">
          <cell r="B18" t="str">
            <v>Gaming Tax Receipts</v>
          </cell>
          <cell r="CT18">
            <v>0.17353128510120966</v>
          </cell>
          <cell r="CU18">
            <v>116.61338474999999</v>
          </cell>
        </row>
        <row r="19">
          <cell r="B19" t="str">
            <v>DSEC reported receipts</v>
          </cell>
          <cell r="BH19">
            <v>1005.035965</v>
          </cell>
          <cell r="BI19">
            <v>1150.3999820000001</v>
          </cell>
          <cell r="BJ19">
            <v>1046.5487170000001</v>
          </cell>
          <cell r="BK19">
            <v>1232.4445869999995</v>
          </cell>
          <cell r="BL19">
            <v>1051.4479160000001</v>
          </cell>
          <cell r="BM19">
            <v>1294.503966</v>
          </cell>
          <cell r="BN19">
            <v>1224.6592430000001</v>
          </cell>
          <cell r="BO19">
            <v>1593.9445140000003</v>
          </cell>
          <cell r="BP19">
            <v>1414.1295260000002</v>
          </cell>
          <cell r="BQ19">
            <v>1127.824631</v>
          </cell>
          <cell r="BR19">
            <v>1449.272594</v>
          </cell>
          <cell r="BS19">
            <v>1646.4008220000001</v>
          </cell>
          <cell r="BT19">
            <v>1397.7420769999999</v>
          </cell>
          <cell r="BU19">
            <v>1425.7593319999999</v>
          </cell>
          <cell r="BV19">
            <v>1169.8463509999997</v>
          </cell>
          <cell r="BW19">
            <v>1513.1694279999999</v>
          </cell>
          <cell r="BX19">
            <v>1373.2174170000001</v>
          </cell>
          <cell r="BY19">
            <v>1638.494919</v>
          </cell>
          <cell r="BZ19">
            <v>1417.5680150000001</v>
          </cell>
          <cell r="CA19">
            <v>1459.2882480000001</v>
          </cell>
          <cell r="CB19">
            <v>1676.55897</v>
          </cell>
          <cell r="CC19">
            <v>1281.054228</v>
          </cell>
          <cell r="CD19">
            <v>1550.998</v>
          </cell>
          <cell r="CE19">
            <v>1414.8672199999999</v>
          </cell>
          <cell r="CF19">
            <v>1577.4936250000001</v>
          </cell>
          <cell r="CG19">
            <v>1366.7267729999999</v>
          </cell>
          <cell r="CH19">
            <v>1670.083529</v>
          </cell>
          <cell r="CI19">
            <v>1764.008223</v>
          </cell>
          <cell r="CJ19">
            <v>1706.5882120000001</v>
          </cell>
          <cell r="CK19">
            <v>1690.9518129999999</v>
          </cell>
          <cell r="CL19">
            <v>1541.1408489999997</v>
          </cell>
          <cell r="CM19">
            <v>1746.611451</v>
          </cell>
          <cell r="CN19">
            <v>1794.638455</v>
          </cell>
          <cell r="CO19">
            <v>1760.143546</v>
          </cell>
          <cell r="CP19">
            <v>2239.7921780000001</v>
          </cell>
        </row>
        <row r="20">
          <cell r="B20" t="str">
            <v>% Change</v>
          </cell>
          <cell r="BT20">
            <v>0.39073836725832978</v>
          </cell>
          <cell r="BU20">
            <v>0.23935966125562724</v>
          </cell>
          <cell r="BV20">
            <v>0.11781356376169505</v>
          </cell>
          <cell r="BW20">
            <v>0.22777887457263879</v>
          </cell>
          <cell r="BX20">
            <v>0.306025145043894</v>
          </cell>
          <cell r="BY20">
            <v>0.2657318648956537</v>
          </cell>
          <cell r="BZ20">
            <v>0.15752036585086215</v>
          </cell>
          <cell r="CA20">
            <v>-8.4479895515359282E-2</v>
          </cell>
          <cell r="CB20">
            <v>0.18557666690003027</v>
          </cell>
          <cell r="CC20">
            <v>0.13586296378731944</v>
          </cell>
          <cell r="CD20">
            <v>7.0190664213995335E-2</v>
          </cell>
          <cell r="CE20">
            <v>-0.14063015452017325</v>
          </cell>
          <cell r="CF20">
            <v>0.12860137142455086</v>
          </cell>
          <cell r="CG20">
            <v>-4.1404294311853773E-2</v>
          </cell>
          <cell r="CH20">
            <v>0.42760929892407762</v>
          </cell>
          <cell r="CI20">
            <v>0.16577046189172684</v>
          </cell>
          <cell r="CJ20">
            <v>0.24276621522052833</v>
          </cell>
          <cell r="CK20">
            <v>3.2015292444126153E-2</v>
          </cell>
          <cell r="CL20">
            <v>8.7172419730420891E-2</v>
          </cell>
          <cell r="CM20">
            <v>0.19689269984445179</v>
          </cell>
          <cell r="CN20">
            <v>7.0429664039792117E-2</v>
          </cell>
          <cell r="CO20">
            <v>0.37398051349314154</v>
          </cell>
          <cell r="CP20">
            <v>0.44409739922295199</v>
          </cell>
          <cell r="CQ20">
            <v>-1</v>
          </cell>
          <cell r="CR20">
            <v>-1</v>
          </cell>
          <cell r="CS20">
            <v>-1</v>
          </cell>
        </row>
        <row r="21">
          <cell r="B21" t="str">
            <v>% of Revenues, lagged</v>
          </cell>
          <cell r="BO21">
            <v>0.36232261746969541</v>
          </cell>
          <cell r="BP21">
            <v>0.36905193812813336</v>
          </cell>
          <cell r="BQ21">
            <v>0.36618312944995479</v>
          </cell>
          <cell r="BR21">
            <v>0.36242569832597821</v>
          </cell>
          <cell r="BS21">
            <v>0.43530276767709353</v>
          </cell>
          <cell r="BT21">
            <v>0.40036849778825762</v>
          </cell>
          <cell r="BU21">
            <v>0.37402283341002179</v>
          </cell>
          <cell r="BV21">
            <v>0.37479891191517273</v>
          </cell>
          <cell r="BW21">
            <v>0.3763955118181922</v>
          </cell>
          <cell r="BX21">
            <v>0.37740642104962291</v>
          </cell>
          <cell r="BY21">
            <v>0.38220304970287905</v>
          </cell>
          <cell r="BZ21">
            <v>0.38374047530102218</v>
          </cell>
          <cell r="CA21">
            <v>0.37955427126189484</v>
          </cell>
          <cell r="CB21">
            <v>0.37947012533277441</v>
          </cell>
          <cell r="CC21">
            <v>0.38337802735365734</v>
          </cell>
          <cell r="CD21">
            <v>0.38023920533580974</v>
          </cell>
          <cell r="CE21">
            <v>0.38089448340342175</v>
          </cell>
          <cell r="CF21">
            <v>0.41193598815290816</v>
          </cell>
          <cell r="CG21">
            <v>0.3813435163385489</v>
          </cell>
          <cell r="CH21">
            <v>0.38143555317722205</v>
          </cell>
          <cell r="CI21">
            <v>0.38126514662753747</v>
          </cell>
          <cell r="CJ21">
            <v>0.38137788001955841</v>
          </cell>
          <cell r="CK21">
            <v>0.38233568152768593</v>
          </cell>
          <cell r="CL21">
            <v>0.38503869122794121</v>
          </cell>
          <cell r="CM21">
            <v>0.38367493219392923</v>
          </cell>
          <cell r="CN21">
            <v>0.38409842926670584</v>
          </cell>
          <cell r="CO21">
            <v>0.38786204211221248</v>
          </cell>
          <cell r="CP21">
            <v>0.38546420357427308</v>
          </cell>
          <cell r="CQ21">
            <v>0</v>
          </cell>
          <cell r="CR21">
            <v>0</v>
          </cell>
          <cell r="CS21">
            <v>0</v>
          </cell>
        </row>
        <row r="23">
          <cell r="B23" t="str">
            <v>DSF reported receipts, preliminary</v>
          </cell>
          <cell r="BH23">
            <v>974.88488604999998</v>
          </cell>
          <cell r="BI23">
            <v>1099.8151139499998</v>
          </cell>
          <cell r="BJ23">
            <v>1006.6000000000004</v>
          </cell>
          <cell r="BK23">
            <v>1185.1999999999998</v>
          </cell>
          <cell r="BL23">
            <v>1012.8000000000002</v>
          </cell>
          <cell r="BM23">
            <v>1246.3999999999996</v>
          </cell>
          <cell r="BN23">
            <v>1182.8000000000002</v>
          </cell>
          <cell r="BO23">
            <v>1545.7000000000007</v>
          </cell>
          <cell r="BP23">
            <v>1374.6999999999989</v>
          </cell>
          <cell r="BQ23">
            <v>1099.3999999999996</v>
          </cell>
          <cell r="BR23">
            <v>1407</v>
          </cell>
          <cell r="BS23">
            <v>1604.7000000000007</v>
          </cell>
          <cell r="BT23">
            <v>1340.1</v>
          </cell>
          <cell r="BU23">
            <v>1363.8000000000002</v>
          </cell>
          <cell r="BV23">
            <v>1120.1999999999998</v>
          </cell>
          <cell r="BW23">
            <v>1447.2000000000003</v>
          </cell>
          <cell r="BX23">
            <v>1313.8000000000002</v>
          </cell>
          <cell r="BY23">
            <v>1566.5999999999995</v>
          </cell>
          <cell r="BZ23">
            <v>1357.3000000000002</v>
          </cell>
          <cell r="CA23">
            <v>1395.5</v>
          </cell>
          <cell r="CB23">
            <v>1602.5</v>
          </cell>
          <cell r="CC23">
            <v>1223.3999999999996</v>
          </cell>
          <cell r="CD23">
            <v>1481.5</v>
          </cell>
          <cell r="CE23">
            <v>1350.0000000000018</v>
          </cell>
          <cell r="CF23">
            <v>1512.4</v>
          </cell>
          <cell r="CG23">
            <v>1305.4000000000001</v>
          </cell>
          <cell r="CH23">
            <v>1596.8999999999996</v>
          </cell>
          <cell r="CI23">
            <v>1686.7088875461268</v>
          </cell>
          <cell r="CJ23">
            <v>1630.5911124538734</v>
          </cell>
          <cell r="CK23">
            <v>1615.5</v>
          </cell>
          <cell r="CL23">
            <v>1467.7000000000007</v>
          </cell>
          <cell r="CM23">
            <v>1664.6999999999989</v>
          </cell>
          <cell r="CN23">
            <v>1710.4746647160841</v>
          </cell>
          <cell r="CO23">
            <v>1674.3253352839165</v>
          </cell>
          <cell r="CP23">
            <v>2129.5999999999985</v>
          </cell>
          <cell r="CR23">
            <v>2174.0175767802889</v>
          </cell>
          <cell r="CS23">
            <v>4552.8824232197112</v>
          </cell>
        </row>
        <row r="24">
          <cell r="B24" t="str">
            <v>% Change</v>
          </cell>
          <cell r="BT24">
            <v>0.37462383423520307</v>
          </cell>
          <cell r="BU24">
            <v>0.24002660329143444</v>
          </cell>
          <cell r="BV24">
            <v>0.11285515597059348</v>
          </cell>
          <cell r="BW24">
            <v>0.22105973675329094</v>
          </cell>
          <cell r="BX24">
            <v>0.29719589257503953</v>
          </cell>
          <cell r="BY24">
            <v>0.25689987163029526</v>
          </cell>
          <cell r="BZ24">
            <v>0.14753128170443008</v>
          </cell>
          <cell r="CA24">
            <v>-9.7172801966746936E-2</v>
          </cell>
          <cell r="CB24">
            <v>0.16570888193787825</v>
          </cell>
          <cell r="CC24">
            <v>0.11278879388757512</v>
          </cell>
          <cell r="CD24">
            <v>5.2949538024164911E-2</v>
          </cell>
          <cell r="CE24">
            <v>-0.15872125630958978</v>
          </cell>
          <cell r="CF24">
            <v>0.12857249458995601</v>
          </cell>
          <cell r="CG24">
            <v>-4.2821528083296756E-2</v>
          </cell>
          <cell r="CH24">
            <v>0.42554900910551674</v>
          </cell>
          <cell r="CI24">
            <v>0.16549812572286249</v>
          </cell>
          <cell r="CJ24">
            <v>0.24112582771645097</v>
          </cell>
          <cell r="CK24">
            <v>3.1214094216775568E-2</v>
          </cell>
          <cell r="CL24">
            <v>8.1337950342592391E-2</v>
          </cell>
          <cell r="CM24">
            <v>0.19290576854174057</v>
          </cell>
          <cell r="CN24">
            <v>6.7378885938274014E-2</v>
          </cell>
          <cell r="CO24">
            <v>0.36858373000156686</v>
          </cell>
          <cell r="CP24">
            <v>0.43746203172460252</v>
          </cell>
          <cell r="CQ24">
            <v>-1</v>
          </cell>
          <cell r="CR24">
            <v>0.43746203172460252</v>
          </cell>
          <cell r="CS24">
            <v>2.4877297557987674</v>
          </cell>
        </row>
        <row r="25">
          <cell r="B25" t="str">
            <v>% of Revenues, lagged</v>
          </cell>
          <cell r="BO25">
            <v>0.35135606346640269</v>
          </cell>
          <cell r="BP25">
            <v>0.35876183193755373</v>
          </cell>
          <cell r="BQ25">
            <v>0.35695419434165576</v>
          </cell>
          <cell r="BR25">
            <v>0.35185441279699747</v>
          </cell>
          <cell r="BS25">
            <v>0.42427721242441913</v>
          </cell>
          <cell r="BT25">
            <v>0.38385753188286109</v>
          </cell>
          <cell r="BU25">
            <v>0.35776889462055989</v>
          </cell>
          <cell r="BV25">
            <v>0.35889306383567676</v>
          </cell>
          <cell r="BW25">
            <v>0.35998585130236183</v>
          </cell>
          <cell r="BX25">
            <v>0.36107651260222445</v>
          </cell>
          <cell r="BY25">
            <v>0.36543250193901278</v>
          </cell>
          <cell r="BZ25">
            <v>0.36742571898821902</v>
          </cell>
          <cell r="CA25">
            <v>0.36296323654487089</v>
          </cell>
          <cell r="CB25">
            <v>0.36270771665476875</v>
          </cell>
          <cell r="CC25">
            <v>0.36612398477206715</v>
          </cell>
          <cell r="CD25">
            <v>0.3632012308881134</v>
          </cell>
          <cell r="CE25">
            <v>0.36343166717412539</v>
          </cell>
          <cell r="CF25">
            <v>0.39493788032421262</v>
          </cell>
          <cell r="CG25">
            <v>0.36423214651429225</v>
          </cell>
          <cell r="CH25">
            <v>0.36472094017562506</v>
          </cell>
          <cell r="CI25">
            <v>0.36455800088877738</v>
          </cell>
          <cell r="CJ25">
            <v>0.36439451372841875</v>
          </cell>
          <cell r="CK25">
            <v>0.36527551451164664</v>
          </cell>
          <cell r="CL25">
            <v>0.36669022658243078</v>
          </cell>
          <cell r="CM25">
            <v>0.36568159407036521</v>
          </cell>
          <cell r="CN25">
            <v>0.36608523025209733</v>
          </cell>
          <cell r="CO25">
            <v>0.36895129671624788</v>
          </cell>
          <cell r="CP25">
            <v>0.3665003280191701</v>
          </cell>
          <cell r="CQ25">
            <v>0</v>
          </cell>
          <cell r="CR25">
            <v>0.36531596244439246</v>
          </cell>
          <cell r="CS25">
            <v>0.75104858331302993</v>
          </cell>
        </row>
        <row r="26">
          <cell r="B26" t="str">
            <v>% of DSEC number</v>
          </cell>
          <cell r="BH26">
            <v>0.97</v>
          </cell>
          <cell r="BI26">
            <v>0.95602845198062569</v>
          </cell>
          <cell r="BJ26">
            <v>0.96182813437054759</v>
          </cell>
          <cell r="BK26">
            <v>0.96166595439799707</v>
          </cell>
          <cell r="BL26">
            <v>0.96324314746180928</v>
          </cell>
          <cell r="BM26">
            <v>0.96283984656405419</v>
          </cell>
          <cell r="BN26">
            <v>0.96581968148343134</v>
          </cell>
          <cell r="BO26">
            <v>0.96973262646456238</v>
          </cell>
          <cell r="BP26">
            <v>0.97211745793079407</v>
          </cell>
          <cell r="BQ26">
            <v>0.97479694074884915</v>
          </cell>
          <cell r="BR26">
            <v>0.97083185442475839</v>
          </cell>
          <cell r="BS26">
            <v>0.97467152503644749</v>
          </cell>
          <cell r="BT26">
            <v>0.95876057682707938</v>
          </cell>
          <cell r="BU26">
            <v>0.9565429237534181</v>
          </cell>
          <cell r="BV26">
            <v>0.95756164819631095</v>
          </cell>
          <cell r="BW26">
            <v>0.95640314509447011</v>
          </cell>
          <cell r="BX26">
            <v>0.95673123842995955</v>
          </cell>
          <cell r="BY26">
            <v>0.95612136591556895</v>
          </cell>
          <cell r="BZ26">
            <v>0.95748492180814349</v>
          </cell>
          <cell r="CA26">
            <v>0.95628810957161903</v>
          </cell>
          <cell r="CB26">
            <v>0.95582680279954602</v>
          </cell>
          <cell r="CC26">
            <v>0.95499470144209986</v>
          </cell>
          <cell r="CD26">
            <v>0.95519143158147202</v>
          </cell>
          <cell r="CE26">
            <v>0.95415313954337144</v>
          </cell>
          <cell r="CF26">
            <v>0.9587360456052556</v>
          </cell>
          <cell r="CG26">
            <v>0.95512872491303735</v>
          </cell>
          <cell r="CH26">
            <v>0.95617971931989498</v>
          </cell>
          <cell r="CI26">
            <v>0.95617971931989498</v>
          </cell>
          <cell r="CJ26">
            <v>0.95546840238802333</v>
          </cell>
          <cell r="CK26">
            <v>0.95537908743470512</v>
          </cell>
          <cell r="CL26">
            <v>0.95234643929680241</v>
          </cell>
          <cell r="CM26">
            <v>0.95310264858672278</v>
          </cell>
          <cell r="CN26">
            <v>0.95310264858672278</v>
          </cell>
          <cell r="CO26">
            <v>0.95124362958287745</v>
          </cell>
          <cell r="CP26">
            <v>0.95080249896291869</v>
          </cell>
          <cell r="CQ26" t="e">
            <v>#DIV/0!</v>
          </cell>
          <cell r="CR26" t="e">
            <v>#DIV/0!</v>
          </cell>
          <cell r="CS26" t="e">
            <v>#DIV/0!</v>
          </cell>
        </row>
        <row r="28">
          <cell r="B28" t="str">
            <v>Leaked Revenues</v>
          </cell>
          <cell r="BN28">
            <v>4000</v>
          </cell>
          <cell r="BP28">
            <v>3000</v>
          </cell>
          <cell r="BR28">
            <v>3600</v>
          </cell>
          <cell r="BS28">
            <v>3500</v>
          </cell>
          <cell r="BT28">
            <v>3600</v>
          </cell>
          <cell r="BU28">
            <v>3000</v>
          </cell>
          <cell r="BV28">
            <v>3720</v>
          </cell>
          <cell r="BW28">
            <v>3700</v>
          </cell>
          <cell r="BX28">
            <v>3900</v>
          </cell>
          <cell r="BY28">
            <v>3500</v>
          </cell>
          <cell r="BZ28">
            <v>3700</v>
          </cell>
          <cell r="CA28">
            <v>4100</v>
          </cell>
          <cell r="CD28">
            <v>3600</v>
          </cell>
          <cell r="CF28">
            <v>3500</v>
          </cell>
          <cell r="CG28">
            <v>4200</v>
          </cell>
          <cell r="CH28">
            <v>4320</v>
          </cell>
          <cell r="CI28">
            <v>4250</v>
          </cell>
          <cell r="CK28">
            <v>3915.0579999999973</v>
          </cell>
          <cell r="CN28">
            <v>4400</v>
          </cell>
          <cell r="CO28">
            <v>5500</v>
          </cell>
          <cell r="CQ28">
            <v>5900</v>
          </cell>
          <cell r="CR28">
            <v>6000</v>
          </cell>
          <cell r="CS28">
            <v>5600</v>
          </cell>
          <cell r="CT28">
            <v>6064.9249999999993</v>
          </cell>
        </row>
        <row r="29">
          <cell r="B29" t="str">
            <v xml:space="preserve">  Difference</v>
          </cell>
          <cell r="BN29">
            <v>240.30400000000009</v>
          </cell>
          <cell r="BP29">
            <v>-1.3859999999999673</v>
          </cell>
          <cell r="BR29">
            <v>39.717000000000098</v>
          </cell>
          <cell r="BS29">
            <v>-113.01999999999998</v>
          </cell>
          <cell r="BT29">
            <v>70.527000000000044</v>
          </cell>
          <cell r="BU29">
            <v>7.2640000000001237</v>
          </cell>
          <cell r="BV29">
            <v>202.24800000000005</v>
          </cell>
          <cell r="BW29">
            <v>-166.51800000000003</v>
          </cell>
          <cell r="BX29">
            <v>286.4970000000003</v>
          </cell>
          <cell r="BY29">
            <v>120.44999999999982</v>
          </cell>
          <cell r="BZ29">
            <v>75.806999999999789</v>
          </cell>
          <cell r="CA29">
            <v>236.73199999999997</v>
          </cell>
          <cell r="CD29">
            <v>46.425000000000182</v>
          </cell>
          <cell r="CF29">
            <v>0.32700000000022555</v>
          </cell>
          <cell r="CG29">
            <v>98.412000000000262</v>
          </cell>
          <cell r="CH29">
            <v>232.81800000000021</v>
          </cell>
          <cell r="CI29">
            <v>140.88100000000031</v>
          </cell>
          <cell r="CK29">
            <v>11.414000000002943</v>
          </cell>
        </row>
        <row r="30">
          <cell r="B30" t="str">
            <v>Leaked Growth</v>
          </cell>
          <cell r="BT30">
            <v>0.1</v>
          </cell>
          <cell r="BU30">
            <v>0.04</v>
          </cell>
          <cell r="BV30">
            <v>0.16</v>
          </cell>
          <cell r="BW30">
            <v>0.4</v>
          </cell>
          <cell r="BX30">
            <v>0.15</v>
          </cell>
          <cell r="BY30">
            <v>0.1</v>
          </cell>
          <cell r="BZ30">
            <v>-0.12</v>
          </cell>
          <cell r="CA30">
            <v>0.15</v>
          </cell>
          <cell r="CD30">
            <v>0</v>
          </cell>
          <cell r="CE30">
            <v>0.15</v>
          </cell>
          <cell r="CF30">
            <v>0</v>
          </cell>
          <cell r="CK30">
            <v>8.1373309947657679E-2</v>
          </cell>
          <cell r="CL30">
            <v>0.16500000000000001</v>
          </cell>
          <cell r="CN30">
            <v>0.3401314547126939</v>
          </cell>
          <cell r="CO30">
            <v>0.37826165620941965</v>
          </cell>
          <cell r="CP30">
            <v>-1</v>
          </cell>
          <cell r="CQ30">
            <v>0.57274869022022212</v>
          </cell>
          <cell r="CR30">
            <v>0.71412556598283516</v>
          </cell>
          <cell r="CS30">
            <v>0.30280671094348333</v>
          </cell>
          <cell r="CT30">
            <v>0.33212550995888668</v>
          </cell>
        </row>
        <row r="31">
          <cell r="B31" t="str">
            <v xml:space="preserve">  Difference</v>
          </cell>
          <cell r="BZ31">
            <v>1.0456674804447896E-2</v>
          </cell>
          <cell r="CA31">
            <v>3.2105034764812773E-2</v>
          </cell>
          <cell r="CD31">
            <v>1.8430004310774351E-3</v>
          </cell>
          <cell r="CE31">
            <v>-4.240739537877411E-2</v>
          </cell>
          <cell r="CF31">
            <v>-4.6369363309410327E-2</v>
          </cell>
          <cell r="CK31">
            <v>3.1526467704299233E-3</v>
          </cell>
          <cell r="CL31">
            <v>1.9151891238085056E-2</v>
          </cell>
          <cell r="CO31">
            <v>6.0277647051747874E-2</v>
          </cell>
          <cell r="CP31">
            <v>1.3160884976380975</v>
          </cell>
          <cell r="CQ31">
            <v>-7.3252769503784343E-4</v>
          </cell>
          <cell r="CR31">
            <v>4.8566891036161408E-5</v>
          </cell>
          <cell r="CS31">
            <v>3.1384846310683834E-2</v>
          </cell>
          <cell r="CT31">
            <v>-0.33212550995888668</v>
          </cell>
        </row>
        <row r="33">
          <cell r="B33" t="str">
            <v>Establishments</v>
          </cell>
        </row>
        <row r="34">
          <cell r="B34" t="str">
            <v>Grand Total</v>
          </cell>
          <cell r="K34">
            <v>74</v>
          </cell>
          <cell r="L34">
            <v>74</v>
          </cell>
          <cell r="M34">
            <v>74</v>
          </cell>
          <cell r="N34">
            <v>74</v>
          </cell>
          <cell r="O34">
            <v>72</v>
          </cell>
          <cell r="P34">
            <v>72</v>
          </cell>
          <cell r="Q34">
            <v>72</v>
          </cell>
          <cell r="R34">
            <v>72</v>
          </cell>
          <cell r="S34">
            <v>72</v>
          </cell>
          <cell r="T34">
            <v>72</v>
          </cell>
          <cell r="U34">
            <v>72</v>
          </cell>
          <cell r="V34">
            <v>72</v>
          </cell>
          <cell r="W34">
            <v>71</v>
          </cell>
          <cell r="X34">
            <v>71</v>
          </cell>
          <cell r="Y34">
            <v>71</v>
          </cell>
          <cell r="Z34">
            <v>71</v>
          </cell>
          <cell r="AA34">
            <v>72</v>
          </cell>
          <cell r="AB34">
            <v>69</v>
          </cell>
          <cell r="AC34">
            <v>69</v>
          </cell>
          <cell r="AD34">
            <v>71</v>
          </cell>
          <cell r="AE34">
            <v>70</v>
          </cell>
          <cell r="AF34">
            <v>70</v>
          </cell>
          <cell r="AG34">
            <v>70</v>
          </cell>
          <cell r="AH34">
            <v>70</v>
          </cell>
          <cell r="AI34">
            <v>70</v>
          </cell>
          <cell r="AJ34">
            <v>69</v>
          </cell>
          <cell r="AK34">
            <v>69</v>
          </cell>
          <cell r="AL34">
            <v>69</v>
          </cell>
          <cell r="AM34">
            <v>69</v>
          </cell>
          <cell r="AN34">
            <v>69</v>
          </cell>
          <cell r="AO34">
            <v>67</v>
          </cell>
          <cell r="AP34">
            <v>67</v>
          </cell>
          <cell r="AQ34">
            <v>67</v>
          </cell>
          <cell r="AR34">
            <v>67</v>
          </cell>
          <cell r="AS34">
            <v>68</v>
          </cell>
          <cell r="AT34">
            <v>68</v>
          </cell>
          <cell r="AU34">
            <v>68</v>
          </cell>
          <cell r="AV34">
            <v>68</v>
          </cell>
          <cell r="AW34">
            <v>68</v>
          </cell>
          <cell r="AX34">
            <v>67</v>
          </cell>
          <cell r="AY34">
            <v>67</v>
          </cell>
          <cell r="AZ34">
            <v>67</v>
          </cell>
          <cell r="BA34">
            <v>67</v>
          </cell>
          <cell r="BB34">
            <v>68</v>
          </cell>
          <cell r="BC34">
            <v>68</v>
          </cell>
          <cell r="BD34">
            <v>69</v>
          </cell>
          <cell r="BE34">
            <v>69</v>
          </cell>
          <cell r="BF34">
            <v>70</v>
          </cell>
          <cell r="BG34">
            <v>69</v>
          </cell>
          <cell r="BH34">
            <v>70</v>
          </cell>
          <cell r="BI34">
            <v>70</v>
          </cell>
          <cell r="BJ34">
            <v>70</v>
          </cell>
          <cell r="BK34">
            <v>70</v>
          </cell>
          <cell r="BL34">
            <v>70</v>
          </cell>
          <cell r="BM34">
            <v>70</v>
          </cell>
          <cell r="BN34">
            <v>72</v>
          </cell>
          <cell r="BO34">
            <v>72</v>
          </cell>
          <cell r="BP34">
            <v>70</v>
          </cell>
          <cell r="BQ34">
            <v>68</v>
          </cell>
          <cell r="BR34">
            <v>68</v>
          </cell>
          <cell r="BS34">
            <v>70</v>
          </cell>
          <cell r="BT34">
            <v>72</v>
          </cell>
          <cell r="BU34">
            <v>74</v>
          </cell>
          <cell r="BV34">
            <v>75</v>
          </cell>
          <cell r="BW34">
            <v>75</v>
          </cell>
          <cell r="BX34">
            <v>75</v>
          </cell>
          <cell r="BY34">
            <v>73</v>
          </cell>
          <cell r="BZ34">
            <v>73</v>
          </cell>
          <cell r="CA34">
            <v>73</v>
          </cell>
          <cell r="CB34">
            <v>73</v>
          </cell>
          <cell r="CC34">
            <v>73</v>
          </cell>
          <cell r="CD34">
            <v>75</v>
          </cell>
          <cell r="CE34">
            <v>75</v>
          </cell>
          <cell r="CF34">
            <v>76</v>
          </cell>
          <cell r="CG34">
            <v>77</v>
          </cell>
          <cell r="CH34">
            <v>77</v>
          </cell>
          <cell r="CI34">
            <v>77</v>
          </cell>
          <cell r="CJ34">
            <v>77</v>
          </cell>
          <cell r="CK34">
            <v>78</v>
          </cell>
          <cell r="CL34">
            <v>78</v>
          </cell>
          <cell r="CM34">
            <v>78</v>
          </cell>
          <cell r="CN34">
            <v>79</v>
          </cell>
          <cell r="CO34">
            <v>79</v>
          </cell>
          <cell r="CP34">
            <v>80</v>
          </cell>
          <cell r="CQ34">
            <v>80</v>
          </cell>
          <cell r="CR34">
            <v>81</v>
          </cell>
          <cell r="CS34">
            <v>81</v>
          </cell>
        </row>
        <row r="35">
          <cell r="B35" t="str">
            <v>Hotel Total</v>
          </cell>
          <cell r="K35">
            <v>40</v>
          </cell>
          <cell r="L35">
            <v>40</v>
          </cell>
          <cell r="M35">
            <v>39</v>
          </cell>
          <cell r="N35">
            <v>39</v>
          </cell>
          <cell r="O35">
            <v>38</v>
          </cell>
          <cell r="P35">
            <v>38</v>
          </cell>
          <cell r="Q35">
            <v>38</v>
          </cell>
          <cell r="R35">
            <v>38</v>
          </cell>
          <cell r="S35">
            <v>38</v>
          </cell>
          <cell r="T35">
            <v>38</v>
          </cell>
          <cell r="U35">
            <v>38</v>
          </cell>
          <cell r="V35">
            <v>38</v>
          </cell>
          <cell r="W35">
            <v>38</v>
          </cell>
          <cell r="X35">
            <v>38</v>
          </cell>
          <cell r="Y35">
            <v>38</v>
          </cell>
          <cell r="Z35">
            <v>38</v>
          </cell>
          <cell r="AA35">
            <v>38</v>
          </cell>
          <cell r="AB35">
            <v>37</v>
          </cell>
          <cell r="AC35">
            <v>36</v>
          </cell>
          <cell r="AD35">
            <v>37</v>
          </cell>
          <cell r="AE35">
            <v>37</v>
          </cell>
          <cell r="AF35">
            <v>37</v>
          </cell>
          <cell r="AG35">
            <v>37</v>
          </cell>
          <cell r="AH35">
            <v>37</v>
          </cell>
          <cell r="AI35">
            <v>37</v>
          </cell>
          <cell r="AJ35">
            <v>36</v>
          </cell>
          <cell r="AK35">
            <v>36</v>
          </cell>
          <cell r="AL35">
            <v>36</v>
          </cell>
          <cell r="AM35">
            <v>36</v>
          </cell>
          <cell r="AN35">
            <v>36</v>
          </cell>
          <cell r="AO35">
            <v>34</v>
          </cell>
          <cell r="AP35">
            <v>34</v>
          </cell>
          <cell r="AQ35">
            <v>34</v>
          </cell>
          <cell r="AR35">
            <v>34</v>
          </cell>
          <cell r="AS35">
            <v>35</v>
          </cell>
          <cell r="AT35">
            <v>35</v>
          </cell>
          <cell r="AU35">
            <v>35</v>
          </cell>
          <cell r="AV35">
            <v>35</v>
          </cell>
          <cell r="AW35">
            <v>35</v>
          </cell>
          <cell r="AX35">
            <v>34</v>
          </cell>
          <cell r="AY35">
            <v>34</v>
          </cell>
          <cell r="AZ35">
            <v>34</v>
          </cell>
          <cell r="BA35">
            <v>34</v>
          </cell>
          <cell r="BB35">
            <v>35</v>
          </cell>
          <cell r="BC35">
            <v>35</v>
          </cell>
          <cell r="BD35">
            <v>36</v>
          </cell>
          <cell r="BE35">
            <v>36</v>
          </cell>
          <cell r="BF35">
            <v>37</v>
          </cell>
          <cell r="BG35">
            <v>37</v>
          </cell>
          <cell r="BH35">
            <v>37</v>
          </cell>
          <cell r="BI35">
            <v>37</v>
          </cell>
          <cell r="BJ35">
            <v>37</v>
          </cell>
          <cell r="BK35">
            <v>37</v>
          </cell>
          <cell r="BL35">
            <v>37</v>
          </cell>
          <cell r="BM35">
            <v>37</v>
          </cell>
          <cell r="BN35">
            <v>39</v>
          </cell>
          <cell r="BO35">
            <v>39</v>
          </cell>
          <cell r="BP35">
            <v>38</v>
          </cell>
          <cell r="BQ35">
            <v>38</v>
          </cell>
          <cell r="BR35">
            <v>38</v>
          </cell>
          <cell r="BS35">
            <v>39</v>
          </cell>
          <cell r="BT35">
            <v>41</v>
          </cell>
          <cell r="BU35">
            <v>42</v>
          </cell>
          <cell r="BV35">
            <v>43</v>
          </cell>
          <cell r="BW35">
            <v>43</v>
          </cell>
          <cell r="BX35">
            <v>43</v>
          </cell>
          <cell r="BY35">
            <v>42</v>
          </cell>
          <cell r="BZ35">
            <v>42</v>
          </cell>
          <cell r="CA35">
            <v>42</v>
          </cell>
          <cell r="CB35">
            <v>42</v>
          </cell>
          <cell r="CC35">
            <v>42</v>
          </cell>
          <cell r="CD35">
            <v>44</v>
          </cell>
          <cell r="CE35">
            <v>44</v>
          </cell>
          <cell r="CF35">
            <v>45</v>
          </cell>
          <cell r="CG35">
            <v>46</v>
          </cell>
          <cell r="CH35">
            <v>46</v>
          </cell>
          <cell r="CI35">
            <v>46</v>
          </cell>
          <cell r="CJ35">
            <v>46</v>
          </cell>
          <cell r="CK35">
            <v>47</v>
          </cell>
          <cell r="CL35">
            <v>47</v>
          </cell>
          <cell r="CM35">
            <v>47</v>
          </cell>
          <cell r="CN35">
            <v>48</v>
          </cell>
          <cell r="CO35">
            <v>48</v>
          </cell>
          <cell r="CP35">
            <v>49</v>
          </cell>
          <cell r="CQ35">
            <v>49</v>
          </cell>
          <cell r="CR35">
            <v>50</v>
          </cell>
          <cell r="CS35">
            <v>50</v>
          </cell>
        </row>
        <row r="36">
          <cell r="B36" t="str">
            <v>5-star hotels</v>
          </cell>
          <cell r="K36">
            <v>8</v>
          </cell>
          <cell r="L36">
            <v>8</v>
          </cell>
          <cell r="M36">
            <v>8</v>
          </cell>
          <cell r="N36">
            <v>8</v>
          </cell>
          <cell r="O36">
            <v>8</v>
          </cell>
          <cell r="P36">
            <v>8</v>
          </cell>
          <cell r="Q36">
            <v>8</v>
          </cell>
          <cell r="R36">
            <v>8</v>
          </cell>
          <cell r="S36">
            <v>8</v>
          </cell>
          <cell r="T36">
            <v>8</v>
          </cell>
          <cell r="U36">
            <v>8</v>
          </cell>
          <cell r="V36">
            <v>8</v>
          </cell>
          <cell r="W36">
            <v>8</v>
          </cell>
          <cell r="X36">
            <v>8</v>
          </cell>
          <cell r="Y36">
            <v>8</v>
          </cell>
          <cell r="Z36">
            <v>8</v>
          </cell>
          <cell r="AA36">
            <v>8</v>
          </cell>
          <cell r="AB36">
            <v>8</v>
          </cell>
          <cell r="AC36">
            <v>8</v>
          </cell>
          <cell r="AD36">
            <v>8</v>
          </cell>
          <cell r="AE36">
            <v>8</v>
          </cell>
          <cell r="AF36">
            <v>8</v>
          </cell>
          <cell r="AG36">
            <v>8</v>
          </cell>
          <cell r="AH36">
            <v>8</v>
          </cell>
          <cell r="AI36">
            <v>8</v>
          </cell>
          <cell r="AJ36">
            <v>8</v>
          </cell>
          <cell r="AK36">
            <v>8</v>
          </cell>
          <cell r="AL36">
            <v>8</v>
          </cell>
          <cell r="AM36">
            <v>8</v>
          </cell>
          <cell r="AN36">
            <v>8</v>
          </cell>
          <cell r="AO36">
            <v>8</v>
          </cell>
          <cell r="AP36">
            <v>8</v>
          </cell>
          <cell r="AQ36">
            <v>8</v>
          </cell>
          <cell r="AR36">
            <v>8</v>
          </cell>
          <cell r="AS36">
            <v>8</v>
          </cell>
          <cell r="AT36">
            <v>8</v>
          </cell>
          <cell r="AU36">
            <v>8</v>
          </cell>
          <cell r="AV36">
            <v>8</v>
          </cell>
          <cell r="AW36">
            <v>8</v>
          </cell>
          <cell r="AX36">
            <v>8</v>
          </cell>
          <cell r="AY36">
            <v>8</v>
          </cell>
          <cell r="AZ36">
            <v>8</v>
          </cell>
          <cell r="BA36">
            <v>8</v>
          </cell>
          <cell r="BB36">
            <v>8</v>
          </cell>
          <cell r="BC36">
            <v>8</v>
          </cell>
          <cell r="BD36">
            <v>8</v>
          </cell>
          <cell r="BE36">
            <v>8</v>
          </cell>
          <cell r="BF36">
            <v>9</v>
          </cell>
          <cell r="BG36">
            <v>9</v>
          </cell>
          <cell r="BH36">
            <v>9</v>
          </cell>
          <cell r="BI36">
            <v>9</v>
          </cell>
          <cell r="BJ36">
            <v>9</v>
          </cell>
          <cell r="BK36">
            <v>9</v>
          </cell>
          <cell r="BL36">
            <v>9</v>
          </cell>
          <cell r="BM36">
            <v>9</v>
          </cell>
          <cell r="BN36">
            <v>9</v>
          </cell>
          <cell r="BO36">
            <v>9</v>
          </cell>
          <cell r="BP36">
            <v>9</v>
          </cell>
          <cell r="BQ36">
            <v>9</v>
          </cell>
          <cell r="BR36">
            <v>9</v>
          </cell>
          <cell r="BS36">
            <v>9</v>
          </cell>
          <cell r="BT36">
            <v>9</v>
          </cell>
          <cell r="BU36">
            <v>9</v>
          </cell>
          <cell r="BV36">
            <v>9</v>
          </cell>
          <cell r="BW36">
            <v>9</v>
          </cell>
          <cell r="BX36">
            <v>9</v>
          </cell>
          <cell r="BY36">
            <v>9</v>
          </cell>
          <cell r="BZ36">
            <v>9</v>
          </cell>
          <cell r="CA36">
            <v>9</v>
          </cell>
          <cell r="CB36">
            <v>9</v>
          </cell>
          <cell r="CC36">
            <v>9</v>
          </cell>
          <cell r="CD36">
            <v>9</v>
          </cell>
          <cell r="CE36">
            <v>9</v>
          </cell>
          <cell r="CF36">
            <v>9</v>
          </cell>
          <cell r="CG36">
            <v>9</v>
          </cell>
          <cell r="CH36">
            <v>9</v>
          </cell>
          <cell r="CI36">
            <v>9</v>
          </cell>
          <cell r="CJ36">
            <v>9</v>
          </cell>
          <cell r="CK36">
            <v>10</v>
          </cell>
          <cell r="CL36">
            <v>9</v>
          </cell>
          <cell r="CM36">
            <v>9</v>
          </cell>
          <cell r="CN36">
            <v>10</v>
          </cell>
          <cell r="CO36">
            <v>10</v>
          </cell>
          <cell r="CP36">
            <v>11</v>
          </cell>
          <cell r="CQ36">
            <v>11</v>
          </cell>
          <cell r="CR36">
            <v>11</v>
          </cell>
          <cell r="CS36">
            <v>11</v>
          </cell>
        </row>
        <row r="37">
          <cell r="B37" t="str">
            <v>4-star hotels</v>
          </cell>
          <cell r="K37">
            <v>8</v>
          </cell>
          <cell r="L37">
            <v>8</v>
          </cell>
          <cell r="M37">
            <v>8</v>
          </cell>
          <cell r="N37">
            <v>8</v>
          </cell>
          <cell r="O37">
            <v>8</v>
          </cell>
          <cell r="P37">
            <v>8</v>
          </cell>
          <cell r="Q37">
            <v>8</v>
          </cell>
          <cell r="R37">
            <v>8</v>
          </cell>
          <cell r="S37">
            <v>8</v>
          </cell>
          <cell r="T37">
            <v>8</v>
          </cell>
          <cell r="U37">
            <v>8</v>
          </cell>
          <cell r="V37">
            <v>9</v>
          </cell>
          <cell r="W37">
            <v>9</v>
          </cell>
          <cell r="X37">
            <v>9</v>
          </cell>
          <cell r="Y37">
            <v>9</v>
          </cell>
          <cell r="Z37">
            <v>9</v>
          </cell>
          <cell r="AA37">
            <v>9</v>
          </cell>
          <cell r="AB37">
            <v>9</v>
          </cell>
          <cell r="AC37">
            <v>8</v>
          </cell>
          <cell r="AD37">
            <v>9</v>
          </cell>
          <cell r="AE37">
            <v>9</v>
          </cell>
          <cell r="AF37">
            <v>9</v>
          </cell>
          <cell r="AG37">
            <v>9</v>
          </cell>
          <cell r="AH37">
            <v>9</v>
          </cell>
          <cell r="AI37">
            <v>9</v>
          </cell>
          <cell r="AJ37">
            <v>9</v>
          </cell>
          <cell r="AK37">
            <v>9</v>
          </cell>
          <cell r="AL37">
            <v>9</v>
          </cell>
          <cell r="AM37">
            <v>9</v>
          </cell>
          <cell r="AN37">
            <v>9</v>
          </cell>
          <cell r="AO37">
            <v>9</v>
          </cell>
          <cell r="AP37">
            <v>9</v>
          </cell>
          <cell r="AQ37">
            <v>9</v>
          </cell>
          <cell r="AR37">
            <v>9</v>
          </cell>
          <cell r="AS37">
            <v>9</v>
          </cell>
          <cell r="AT37">
            <v>9</v>
          </cell>
          <cell r="AU37">
            <v>9</v>
          </cell>
          <cell r="AV37">
            <v>9</v>
          </cell>
          <cell r="AW37">
            <v>9</v>
          </cell>
          <cell r="AX37">
            <v>9</v>
          </cell>
          <cell r="AY37">
            <v>9</v>
          </cell>
          <cell r="AZ37">
            <v>9</v>
          </cell>
          <cell r="BA37">
            <v>9</v>
          </cell>
          <cell r="BB37">
            <v>9</v>
          </cell>
          <cell r="BC37">
            <v>9</v>
          </cell>
          <cell r="BD37">
            <v>9</v>
          </cell>
          <cell r="BE37">
            <v>9</v>
          </cell>
          <cell r="BF37">
            <v>9</v>
          </cell>
          <cell r="BG37">
            <v>9</v>
          </cell>
          <cell r="BH37">
            <v>9</v>
          </cell>
          <cell r="BI37">
            <v>9</v>
          </cell>
          <cell r="BJ37">
            <v>9</v>
          </cell>
          <cell r="BK37">
            <v>9</v>
          </cell>
          <cell r="BL37">
            <v>9</v>
          </cell>
          <cell r="BM37">
            <v>9</v>
          </cell>
          <cell r="BN37">
            <v>9</v>
          </cell>
          <cell r="BO37">
            <v>9</v>
          </cell>
          <cell r="BP37">
            <v>9</v>
          </cell>
          <cell r="BQ37">
            <v>9</v>
          </cell>
          <cell r="BR37">
            <v>9</v>
          </cell>
          <cell r="BS37">
            <v>9</v>
          </cell>
          <cell r="BT37">
            <v>10</v>
          </cell>
          <cell r="BU37">
            <v>10</v>
          </cell>
          <cell r="BV37">
            <v>11</v>
          </cell>
          <cell r="BW37">
            <v>11</v>
          </cell>
          <cell r="BX37">
            <v>11</v>
          </cell>
          <cell r="BY37">
            <v>10</v>
          </cell>
          <cell r="BZ37">
            <v>10</v>
          </cell>
          <cell r="CA37">
            <v>10</v>
          </cell>
          <cell r="CB37">
            <v>10</v>
          </cell>
          <cell r="CC37">
            <v>10</v>
          </cell>
          <cell r="CD37">
            <v>11</v>
          </cell>
          <cell r="CE37">
            <v>11</v>
          </cell>
          <cell r="CF37">
            <v>11</v>
          </cell>
          <cell r="CG37">
            <v>12</v>
          </cell>
          <cell r="CH37">
            <v>12</v>
          </cell>
          <cell r="CI37">
            <v>12</v>
          </cell>
          <cell r="CJ37">
            <v>12</v>
          </cell>
          <cell r="CK37">
            <v>12</v>
          </cell>
          <cell r="CL37">
            <v>12</v>
          </cell>
          <cell r="CM37">
            <v>12</v>
          </cell>
          <cell r="CN37">
            <v>12</v>
          </cell>
          <cell r="CO37">
            <v>12</v>
          </cell>
          <cell r="CP37">
            <v>12</v>
          </cell>
          <cell r="CQ37">
            <v>12</v>
          </cell>
          <cell r="CR37">
            <v>12</v>
          </cell>
          <cell r="CS37">
            <v>12</v>
          </cell>
        </row>
        <row r="38">
          <cell r="B38" t="str">
            <v>3-star hotels</v>
          </cell>
          <cell r="K38">
            <v>10</v>
          </cell>
          <cell r="L38">
            <v>10</v>
          </cell>
          <cell r="M38">
            <v>9</v>
          </cell>
          <cell r="N38">
            <v>9</v>
          </cell>
          <cell r="O38">
            <v>9</v>
          </cell>
          <cell r="P38">
            <v>9</v>
          </cell>
          <cell r="Q38">
            <v>9</v>
          </cell>
          <cell r="R38">
            <v>9</v>
          </cell>
          <cell r="S38">
            <v>9</v>
          </cell>
          <cell r="T38">
            <v>9</v>
          </cell>
          <cell r="U38">
            <v>9</v>
          </cell>
          <cell r="V38">
            <v>9</v>
          </cell>
          <cell r="W38">
            <v>9</v>
          </cell>
          <cell r="X38">
            <v>9</v>
          </cell>
          <cell r="Y38">
            <v>9</v>
          </cell>
          <cell r="Z38">
            <v>9</v>
          </cell>
          <cell r="AA38">
            <v>9</v>
          </cell>
          <cell r="AB38">
            <v>8</v>
          </cell>
          <cell r="AC38">
            <v>8</v>
          </cell>
          <cell r="AD38">
            <v>8</v>
          </cell>
          <cell r="AE38">
            <v>8</v>
          </cell>
          <cell r="AF38">
            <v>8</v>
          </cell>
          <cell r="AG38">
            <v>8</v>
          </cell>
          <cell r="AH38">
            <v>8</v>
          </cell>
          <cell r="AI38">
            <v>8</v>
          </cell>
          <cell r="AJ38">
            <v>8</v>
          </cell>
          <cell r="AK38">
            <v>8</v>
          </cell>
          <cell r="AL38">
            <v>8</v>
          </cell>
          <cell r="AM38">
            <v>8</v>
          </cell>
          <cell r="AN38">
            <v>8</v>
          </cell>
          <cell r="AO38">
            <v>8</v>
          </cell>
          <cell r="AP38">
            <v>8</v>
          </cell>
          <cell r="AQ38">
            <v>8</v>
          </cell>
          <cell r="AR38">
            <v>8</v>
          </cell>
          <cell r="AS38">
            <v>8</v>
          </cell>
          <cell r="AT38">
            <v>8</v>
          </cell>
          <cell r="AU38">
            <v>8</v>
          </cell>
          <cell r="AV38">
            <v>8</v>
          </cell>
          <cell r="AW38">
            <v>8</v>
          </cell>
          <cell r="AX38">
            <v>8</v>
          </cell>
          <cell r="AY38">
            <v>8</v>
          </cell>
          <cell r="AZ38">
            <v>8</v>
          </cell>
          <cell r="BA38">
            <v>8</v>
          </cell>
          <cell r="BB38">
            <v>8</v>
          </cell>
          <cell r="BC38">
            <v>8</v>
          </cell>
          <cell r="BD38">
            <v>8</v>
          </cell>
          <cell r="BE38">
            <v>8</v>
          </cell>
          <cell r="BF38">
            <v>8</v>
          </cell>
          <cell r="BG38">
            <v>8</v>
          </cell>
          <cell r="BH38">
            <v>8</v>
          </cell>
          <cell r="BI38">
            <v>8</v>
          </cell>
          <cell r="BJ38">
            <v>8</v>
          </cell>
          <cell r="BK38">
            <v>8</v>
          </cell>
          <cell r="BL38">
            <v>8</v>
          </cell>
          <cell r="BM38">
            <v>8</v>
          </cell>
          <cell r="BN38">
            <v>9</v>
          </cell>
          <cell r="BO38">
            <v>9</v>
          </cell>
          <cell r="BP38">
            <v>8</v>
          </cell>
          <cell r="BQ38">
            <v>8</v>
          </cell>
          <cell r="BR38">
            <v>8</v>
          </cell>
          <cell r="BS38">
            <v>9</v>
          </cell>
          <cell r="BT38">
            <v>10</v>
          </cell>
          <cell r="BU38">
            <v>11</v>
          </cell>
          <cell r="BV38">
            <v>11</v>
          </cell>
          <cell r="BW38">
            <v>11</v>
          </cell>
          <cell r="BX38">
            <v>11</v>
          </cell>
          <cell r="BY38">
            <v>11</v>
          </cell>
          <cell r="BZ38">
            <v>11</v>
          </cell>
          <cell r="CA38">
            <v>11</v>
          </cell>
          <cell r="CB38">
            <v>11</v>
          </cell>
          <cell r="CC38">
            <v>11</v>
          </cell>
          <cell r="CD38">
            <v>12</v>
          </cell>
          <cell r="CE38">
            <v>12</v>
          </cell>
          <cell r="CF38">
            <v>13</v>
          </cell>
          <cell r="CG38">
            <v>13</v>
          </cell>
          <cell r="CH38">
            <v>13</v>
          </cell>
          <cell r="CI38">
            <v>13</v>
          </cell>
          <cell r="CJ38">
            <v>13</v>
          </cell>
          <cell r="CK38">
            <v>13</v>
          </cell>
          <cell r="CL38">
            <v>14</v>
          </cell>
          <cell r="CM38">
            <v>14</v>
          </cell>
          <cell r="CN38">
            <v>14</v>
          </cell>
          <cell r="CO38">
            <v>14</v>
          </cell>
          <cell r="CP38">
            <v>14</v>
          </cell>
          <cell r="CQ38">
            <v>15</v>
          </cell>
          <cell r="CR38">
            <v>15</v>
          </cell>
          <cell r="CS38">
            <v>15</v>
          </cell>
        </row>
        <row r="39">
          <cell r="B39" t="str">
            <v>2-star hotels</v>
          </cell>
          <cell r="K39">
            <v>14</v>
          </cell>
          <cell r="L39">
            <v>14</v>
          </cell>
          <cell r="M39">
            <v>14</v>
          </cell>
          <cell r="N39">
            <v>14</v>
          </cell>
          <cell r="O39">
            <v>13</v>
          </cell>
          <cell r="P39">
            <v>13</v>
          </cell>
          <cell r="Q39">
            <v>13</v>
          </cell>
          <cell r="R39">
            <v>13</v>
          </cell>
          <cell r="S39">
            <v>13</v>
          </cell>
          <cell r="T39">
            <v>13</v>
          </cell>
          <cell r="U39">
            <v>13</v>
          </cell>
          <cell r="V39">
            <v>12</v>
          </cell>
          <cell r="W39">
            <v>12</v>
          </cell>
          <cell r="X39">
            <v>12</v>
          </cell>
          <cell r="Y39">
            <v>12</v>
          </cell>
          <cell r="Z39">
            <v>12</v>
          </cell>
          <cell r="AA39">
            <v>12</v>
          </cell>
          <cell r="AB39">
            <v>12</v>
          </cell>
          <cell r="AC39">
            <v>12</v>
          </cell>
          <cell r="AD39">
            <v>12</v>
          </cell>
          <cell r="AE39">
            <v>12</v>
          </cell>
          <cell r="AF39">
            <v>12</v>
          </cell>
          <cell r="AG39">
            <v>12</v>
          </cell>
          <cell r="AH39">
            <v>12</v>
          </cell>
          <cell r="AI39">
            <v>12</v>
          </cell>
          <cell r="AJ39">
            <v>11</v>
          </cell>
          <cell r="AK39">
            <v>11</v>
          </cell>
          <cell r="AL39">
            <v>11</v>
          </cell>
          <cell r="AM39">
            <v>11</v>
          </cell>
          <cell r="AN39">
            <v>11</v>
          </cell>
          <cell r="AO39">
            <v>9</v>
          </cell>
          <cell r="AP39">
            <v>9</v>
          </cell>
          <cell r="AQ39">
            <v>9</v>
          </cell>
          <cell r="AR39">
            <v>9</v>
          </cell>
          <cell r="AS39">
            <v>10</v>
          </cell>
          <cell r="AT39">
            <v>10</v>
          </cell>
          <cell r="AU39">
            <v>10</v>
          </cell>
          <cell r="AV39">
            <v>10</v>
          </cell>
          <cell r="AW39">
            <v>10</v>
          </cell>
          <cell r="AX39">
            <v>9</v>
          </cell>
          <cell r="AY39">
            <v>9</v>
          </cell>
          <cell r="AZ39">
            <v>9</v>
          </cell>
          <cell r="BA39">
            <v>9</v>
          </cell>
          <cell r="BB39">
            <v>10</v>
          </cell>
          <cell r="BC39">
            <v>10</v>
          </cell>
          <cell r="BD39">
            <v>11</v>
          </cell>
          <cell r="BE39">
            <v>11</v>
          </cell>
          <cell r="BF39">
            <v>11</v>
          </cell>
          <cell r="BG39">
            <v>11</v>
          </cell>
          <cell r="BH39">
            <v>11</v>
          </cell>
          <cell r="BI39">
            <v>11</v>
          </cell>
          <cell r="BJ39">
            <v>11</v>
          </cell>
          <cell r="BK39">
            <v>11</v>
          </cell>
          <cell r="BL39">
            <v>11</v>
          </cell>
          <cell r="BM39">
            <v>11</v>
          </cell>
          <cell r="BN39">
            <v>12</v>
          </cell>
          <cell r="BO39">
            <v>12</v>
          </cell>
          <cell r="BP39">
            <v>12</v>
          </cell>
          <cell r="BQ39">
            <v>12</v>
          </cell>
          <cell r="BR39">
            <v>12</v>
          </cell>
          <cell r="BS39">
            <v>12</v>
          </cell>
          <cell r="BT39">
            <v>12</v>
          </cell>
          <cell r="BU39">
            <v>12</v>
          </cell>
          <cell r="BV39">
            <v>12</v>
          </cell>
          <cell r="BW39">
            <v>12</v>
          </cell>
          <cell r="BX39">
            <v>12</v>
          </cell>
          <cell r="BY39">
            <v>12</v>
          </cell>
          <cell r="BZ39">
            <v>12</v>
          </cell>
          <cell r="CA39">
            <v>12</v>
          </cell>
          <cell r="CB39">
            <v>12</v>
          </cell>
          <cell r="CC39">
            <v>12</v>
          </cell>
          <cell r="CD39">
            <v>12</v>
          </cell>
          <cell r="CE39">
            <v>12</v>
          </cell>
          <cell r="CF39">
            <v>12</v>
          </cell>
          <cell r="CG39">
            <v>12</v>
          </cell>
          <cell r="CH39">
            <v>12</v>
          </cell>
          <cell r="CI39">
            <v>12</v>
          </cell>
          <cell r="CJ39">
            <v>12</v>
          </cell>
          <cell r="CK39">
            <v>12</v>
          </cell>
          <cell r="CL39">
            <v>12</v>
          </cell>
          <cell r="CM39">
            <v>12</v>
          </cell>
          <cell r="CN39">
            <v>12</v>
          </cell>
          <cell r="CO39">
            <v>12</v>
          </cell>
          <cell r="CP39">
            <v>12</v>
          </cell>
          <cell r="CQ39">
            <v>11</v>
          </cell>
          <cell r="CR39">
            <v>12</v>
          </cell>
          <cell r="CS39">
            <v>12</v>
          </cell>
        </row>
        <row r="40">
          <cell r="B40" t="str">
            <v>Guest-houses</v>
          </cell>
          <cell r="K40">
            <v>34</v>
          </cell>
          <cell r="L40">
            <v>34</v>
          </cell>
          <cell r="M40">
            <v>35</v>
          </cell>
          <cell r="N40">
            <v>35</v>
          </cell>
          <cell r="O40">
            <v>34</v>
          </cell>
          <cell r="P40">
            <v>34</v>
          </cell>
          <cell r="Q40">
            <v>34</v>
          </cell>
          <cell r="R40">
            <v>34</v>
          </cell>
          <cell r="S40">
            <v>34</v>
          </cell>
          <cell r="T40">
            <v>34</v>
          </cell>
          <cell r="U40">
            <v>34</v>
          </cell>
          <cell r="V40">
            <v>34</v>
          </cell>
          <cell r="W40">
            <v>33</v>
          </cell>
          <cell r="X40">
            <v>33</v>
          </cell>
          <cell r="Y40">
            <v>33</v>
          </cell>
          <cell r="Z40">
            <v>33</v>
          </cell>
          <cell r="AA40">
            <v>34</v>
          </cell>
          <cell r="AB40">
            <v>32</v>
          </cell>
          <cell r="AC40">
            <v>33</v>
          </cell>
          <cell r="AD40">
            <v>34</v>
          </cell>
          <cell r="AE40">
            <v>33</v>
          </cell>
          <cell r="AF40">
            <v>33</v>
          </cell>
          <cell r="AG40">
            <v>33</v>
          </cell>
          <cell r="AH40">
            <v>33</v>
          </cell>
          <cell r="AI40">
            <v>33</v>
          </cell>
          <cell r="AJ40">
            <v>33</v>
          </cell>
          <cell r="AK40">
            <v>33</v>
          </cell>
          <cell r="AL40">
            <v>33</v>
          </cell>
          <cell r="AM40">
            <v>33</v>
          </cell>
          <cell r="AN40">
            <v>33</v>
          </cell>
          <cell r="AO40">
            <v>33</v>
          </cell>
          <cell r="AP40">
            <v>33</v>
          </cell>
          <cell r="AQ40">
            <v>33</v>
          </cell>
          <cell r="AR40">
            <v>33</v>
          </cell>
          <cell r="AS40">
            <v>33</v>
          </cell>
          <cell r="AT40">
            <v>33</v>
          </cell>
          <cell r="AU40">
            <v>33</v>
          </cell>
          <cell r="AV40">
            <v>33</v>
          </cell>
          <cell r="AW40">
            <v>33</v>
          </cell>
          <cell r="AX40">
            <v>33</v>
          </cell>
          <cell r="AY40">
            <v>33</v>
          </cell>
          <cell r="AZ40">
            <v>33</v>
          </cell>
          <cell r="BA40">
            <v>33</v>
          </cell>
          <cell r="BB40">
            <v>33</v>
          </cell>
          <cell r="BC40">
            <v>33</v>
          </cell>
          <cell r="BD40">
            <v>33</v>
          </cell>
          <cell r="BE40">
            <v>33</v>
          </cell>
          <cell r="BF40">
            <v>33</v>
          </cell>
          <cell r="BG40">
            <v>32</v>
          </cell>
          <cell r="BH40">
            <v>33</v>
          </cell>
          <cell r="BI40">
            <v>33</v>
          </cell>
          <cell r="BJ40">
            <v>33</v>
          </cell>
          <cell r="BK40">
            <v>33</v>
          </cell>
          <cell r="BL40">
            <v>33</v>
          </cell>
          <cell r="BM40">
            <v>33</v>
          </cell>
          <cell r="BN40">
            <v>33</v>
          </cell>
          <cell r="BO40">
            <v>33</v>
          </cell>
          <cell r="BP40">
            <v>32</v>
          </cell>
          <cell r="BQ40">
            <v>30</v>
          </cell>
          <cell r="BR40">
            <v>30</v>
          </cell>
          <cell r="BS40">
            <v>31</v>
          </cell>
          <cell r="BT40">
            <v>31</v>
          </cell>
          <cell r="BU40">
            <v>32</v>
          </cell>
          <cell r="BV40">
            <v>32</v>
          </cell>
          <cell r="BW40">
            <v>32</v>
          </cell>
          <cell r="BX40">
            <v>32</v>
          </cell>
          <cell r="BY40">
            <v>31</v>
          </cell>
          <cell r="BZ40">
            <v>31</v>
          </cell>
          <cell r="CA40">
            <v>31</v>
          </cell>
          <cell r="CB40">
            <v>31</v>
          </cell>
          <cell r="CC40">
            <v>31</v>
          </cell>
          <cell r="CD40">
            <v>31</v>
          </cell>
          <cell r="CE40">
            <v>31</v>
          </cell>
          <cell r="CF40">
            <v>31</v>
          </cell>
          <cell r="CG40">
            <v>31</v>
          </cell>
          <cell r="CH40">
            <v>31</v>
          </cell>
          <cell r="CI40">
            <v>31</v>
          </cell>
          <cell r="CJ40">
            <v>31</v>
          </cell>
          <cell r="CK40">
            <v>31</v>
          </cell>
          <cell r="CL40">
            <v>31</v>
          </cell>
          <cell r="CM40">
            <v>31</v>
          </cell>
          <cell r="CN40">
            <v>31</v>
          </cell>
          <cell r="CO40">
            <v>31</v>
          </cell>
          <cell r="CP40">
            <v>31</v>
          </cell>
          <cell r="CQ40">
            <v>31</v>
          </cell>
          <cell r="CR40">
            <v>31</v>
          </cell>
          <cell r="CS40">
            <v>31</v>
          </cell>
        </row>
        <row r="41">
          <cell r="B41" t="str">
            <v>Total % Change</v>
          </cell>
          <cell r="X41">
            <v>-4.0540540540540571E-2</v>
          </cell>
          <cell r="Y41">
            <v>-4.0540540540540571E-2</v>
          </cell>
          <cell r="Z41">
            <v>-4.0540540540540571E-2</v>
          </cell>
          <cell r="AA41">
            <v>0</v>
          </cell>
          <cell r="AB41">
            <v>-4.166666666666663E-2</v>
          </cell>
          <cell r="AC41">
            <v>-4.166666666666663E-2</v>
          </cell>
          <cell r="AD41">
            <v>-1.388888888888884E-2</v>
          </cell>
          <cell r="AE41">
            <v>-2.777777777777779E-2</v>
          </cell>
          <cell r="AF41">
            <v>-2.777777777777779E-2</v>
          </cell>
          <cell r="AG41">
            <v>-2.777777777777779E-2</v>
          </cell>
          <cell r="AH41">
            <v>-2.777777777777779E-2</v>
          </cell>
          <cell r="AI41">
            <v>-1.4084507042253502E-2</v>
          </cell>
          <cell r="AJ41">
            <v>-2.8169014084507005E-2</v>
          </cell>
          <cell r="AK41">
            <v>-2.8169014084507005E-2</v>
          </cell>
          <cell r="AL41">
            <v>-2.8169014084507005E-2</v>
          </cell>
          <cell r="AM41">
            <v>-4.166666666666663E-2</v>
          </cell>
          <cell r="AN41">
            <v>0</v>
          </cell>
          <cell r="AO41">
            <v>-2.8985507246376829E-2</v>
          </cell>
          <cell r="AP41">
            <v>-5.633802816901412E-2</v>
          </cell>
          <cell r="AQ41">
            <v>-4.2857142857142816E-2</v>
          </cell>
          <cell r="AR41">
            <v>-4.2857142857142816E-2</v>
          </cell>
          <cell r="AS41">
            <v>-2.8571428571428581E-2</v>
          </cell>
          <cell r="AT41">
            <v>-2.8571428571428581E-2</v>
          </cell>
          <cell r="AU41">
            <v>-2.8571428571428581E-2</v>
          </cell>
          <cell r="AV41">
            <v>-1.4492753623188359E-2</v>
          </cell>
          <cell r="AW41">
            <v>-1.4492753623188359E-2</v>
          </cell>
          <cell r="AX41">
            <v>-2.8985507246376829E-2</v>
          </cell>
          <cell r="AY41">
            <v>-2.8985507246376829E-2</v>
          </cell>
          <cell r="AZ41">
            <v>-2.8985507246376829E-2</v>
          </cell>
          <cell r="BA41">
            <v>0</v>
          </cell>
          <cell r="BB41">
            <v>1.4925373134328401E-2</v>
          </cell>
          <cell r="BC41">
            <v>1.4925373134328401E-2</v>
          </cell>
          <cell r="BD41">
            <v>2.9850746268656803E-2</v>
          </cell>
          <cell r="BE41">
            <v>1.4705882352941124E-2</v>
          </cell>
          <cell r="BF41">
            <v>2.9411764705882248E-2</v>
          </cell>
          <cell r="BG41">
            <v>1.4705882352941124E-2</v>
          </cell>
          <cell r="BH41">
            <v>2.9411764705882248E-2</v>
          </cell>
          <cell r="BI41">
            <v>2.9411764705882248E-2</v>
          </cell>
          <cell r="BJ41">
            <v>4.4776119402984982E-2</v>
          </cell>
          <cell r="BK41">
            <v>4.4776119402984982E-2</v>
          </cell>
          <cell r="BL41">
            <v>4.4776119402984982E-2</v>
          </cell>
          <cell r="BM41">
            <v>4.4776119402984982E-2</v>
          </cell>
          <cell r="BN41">
            <v>5.8823529411764719E-2</v>
          </cell>
          <cell r="BO41">
            <v>5.8823529411764719E-2</v>
          </cell>
          <cell r="BP41">
            <v>1.449275362318847E-2</v>
          </cell>
          <cell r="BQ41">
            <v>-1.4492753623188359E-2</v>
          </cell>
          <cell r="BR41">
            <v>-2.8571428571428581E-2</v>
          </cell>
          <cell r="BS41">
            <v>1.449275362318847E-2</v>
          </cell>
          <cell r="BT41">
            <v>2.857142857142847E-2</v>
          </cell>
          <cell r="BU41">
            <v>5.7142857142857162E-2</v>
          </cell>
          <cell r="BV41">
            <v>7.1428571428571397E-2</v>
          </cell>
          <cell r="BW41">
            <v>7.1428571428571397E-2</v>
          </cell>
          <cell r="BX41">
            <v>7.1428571428571397E-2</v>
          </cell>
          <cell r="BY41">
            <v>4.2857142857142927E-2</v>
          </cell>
          <cell r="BZ41">
            <v>1.388888888888884E-2</v>
          </cell>
          <cell r="CA41">
            <v>1.388888888888884E-2</v>
          </cell>
          <cell r="CB41">
            <v>4.2857142857142927E-2</v>
          </cell>
          <cell r="CC41">
            <v>7.3529411764705843E-2</v>
          </cell>
          <cell r="CD41">
            <v>0.10294117647058831</v>
          </cell>
          <cell r="CE41">
            <v>7.1428571428571397E-2</v>
          </cell>
          <cell r="CF41">
            <v>5.555555555555558E-2</v>
          </cell>
          <cell r="CG41">
            <v>4.0540540540540571E-2</v>
          </cell>
          <cell r="CH41">
            <v>2.6666666666666616E-2</v>
          </cell>
          <cell r="CI41">
            <v>2.6666666666666616E-2</v>
          </cell>
          <cell r="CJ41">
            <v>2.6666666666666616E-2</v>
          </cell>
          <cell r="CK41">
            <v>6.8493150684931559E-2</v>
          </cell>
          <cell r="CL41">
            <v>6.8493150684931559E-2</v>
          </cell>
          <cell r="CM41">
            <v>6.8493150684931559E-2</v>
          </cell>
          <cell r="CN41">
            <v>8.2191780821917915E-2</v>
          </cell>
          <cell r="CO41">
            <v>8.2191780821917915E-2</v>
          </cell>
          <cell r="CP41">
            <v>6.6666666666666652E-2</v>
          </cell>
          <cell r="CQ41">
            <v>6.6666666666666652E-2</v>
          </cell>
          <cell r="CR41">
            <v>6.578947368421062E-2</v>
          </cell>
          <cell r="CS41">
            <v>5.1948051948051965E-2</v>
          </cell>
        </row>
        <row r="43">
          <cell r="B43" t="str">
            <v>Rooms</v>
          </cell>
        </row>
        <row r="44">
          <cell r="B44" t="str">
            <v>Grand Total</v>
          </cell>
          <cell r="K44">
            <v>9431</v>
          </cell>
          <cell r="L44">
            <v>9416</v>
          </cell>
          <cell r="M44">
            <v>9440</v>
          </cell>
          <cell r="N44">
            <v>9440</v>
          </cell>
          <cell r="O44">
            <v>9317</v>
          </cell>
          <cell r="P44">
            <v>9139</v>
          </cell>
          <cell r="Q44">
            <v>9360</v>
          </cell>
          <cell r="R44">
            <v>9307</v>
          </cell>
          <cell r="S44">
            <v>9295</v>
          </cell>
          <cell r="T44">
            <v>9297</v>
          </cell>
          <cell r="U44">
            <v>9303</v>
          </cell>
          <cell r="V44">
            <v>9202</v>
          </cell>
          <cell r="W44">
            <v>9201</v>
          </cell>
          <cell r="X44">
            <v>9174</v>
          </cell>
          <cell r="Y44">
            <v>9178</v>
          </cell>
          <cell r="Z44">
            <v>9178</v>
          </cell>
          <cell r="AA44">
            <v>9201</v>
          </cell>
          <cell r="AB44">
            <v>9093</v>
          </cell>
          <cell r="AC44">
            <v>8650</v>
          </cell>
          <cell r="AD44">
            <v>9018</v>
          </cell>
          <cell r="AE44">
            <v>9019</v>
          </cell>
          <cell r="AF44">
            <v>9016</v>
          </cell>
          <cell r="AG44">
            <v>9009</v>
          </cell>
          <cell r="AH44">
            <v>9022</v>
          </cell>
          <cell r="AI44">
            <v>9030</v>
          </cell>
          <cell r="AJ44">
            <v>8936</v>
          </cell>
          <cell r="AK44">
            <v>8993</v>
          </cell>
          <cell r="AL44">
            <v>8975</v>
          </cell>
          <cell r="AM44">
            <v>8985</v>
          </cell>
          <cell r="AN44">
            <v>8955</v>
          </cell>
          <cell r="AO44">
            <v>8779</v>
          </cell>
          <cell r="AP44">
            <v>8790</v>
          </cell>
          <cell r="AQ44">
            <v>8798</v>
          </cell>
          <cell r="AR44">
            <v>8808</v>
          </cell>
          <cell r="AS44">
            <v>8946</v>
          </cell>
          <cell r="AT44">
            <v>8928</v>
          </cell>
          <cell r="AU44">
            <v>8954</v>
          </cell>
          <cell r="AV44">
            <v>8962</v>
          </cell>
          <cell r="AW44">
            <v>8943</v>
          </cell>
          <cell r="AX44">
            <v>8928</v>
          </cell>
          <cell r="AY44">
            <v>8929</v>
          </cell>
          <cell r="AZ44">
            <v>8917</v>
          </cell>
          <cell r="BA44">
            <v>8922</v>
          </cell>
          <cell r="BB44">
            <v>8805</v>
          </cell>
          <cell r="BC44">
            <v>8863</v>
          </cell>
          <cell r="BD44">
            <v>8907</v>
          </cell>
          <cell r="BE44">
            <v>8899</v>
          </cell>
          <cell r="BF44">
            <v>9178</v>
          </cell>
          <cell r="BG44">
            <v>9185</v>
          </cell>
          <cell r="BH44">
            <v>9188</v>
          </cell>
          <cell r="BI44">
            <v>9208</v>
          </cell>
          <cell r="BJ44">
            <v>9301</v>
          </cell>
          <cell r="BK44">
            <v>9318</v>
          </cell>
          <cell r="BL44">
            <v>9313</v>
          </cell>
          <cell r="BM44">
            <v>9300</v>
          </cell>
          <cell r="BN44">
            <v>9375</v>
          </cell>
          <cell r="BO44">
            <v>9281</v>
          </cell>
          <cell r="BP44">
            <v>9105</v>
          </cell>
          <cell r="BQ44">
            <v>9078</v>
          </cell>
          <cell r="BR44">
            <v>9155</v>
          </cell>
          <cell r="BS44">
            <v>9168</v>
          </cell>
          <cell r="BT44">
            <v>9901</v>
          </cell>
          <cell r="BU44">
            <v>10181</v>
          </cell>
          <cell r="BV44">
            <v>10585</v>
          </cell>
          <cell r="BW44">
            <v>10636</v>
          </cell>
          <cell r="BX44">
            <v>10454</v>
          </cell>
          <cell r="BY44">
            <v>10571</v>
          </cell>
          <cell r="BZ44">
            <v>10562</v>
          </cell>
          <cell r="CA44">
            <v>10549</v>
          </cell>
          <cell r="CB44">
            <v>10679</v>
          </cell>
          <cell r="CC44">
            <v>10635</v>
          </cell>
          <cell r="CD44">
            <v>10833</v>
          </cell>
          <cell r="CE44">
            <v>10832</v>
          </cell>
          <cell r="CF44">
            <v>11015</v>
          </cell>
          <cell r="CG44">
            <v>11041</v>
          </cell>
          <cell r="CH44">
            <v>11297</v>
          </cell>
          <cell r="CI44">
            <v>11323</v>
          </cell>
          <cell r="CJ44">
            <v>11325</v>
          </cell>
          <cell r="CK44">
            <v>11748</v>
          </cell>
          <cell r="CL44">
            <v>11792</v>
          </cell>
          <cell r="CM44">
            <v>11791</v>
          </cell>
          <cell r="CN44">
            <v>12411</v>
          </cell>
          <cell r="CO44">
            <v>12419</v>
          </cell>
          <cell r="CP44">
            <v>12693</v>
          </cell>
          <cell r="CQ44">
            <v>12978</v>
          </cell>
          <cell r="CR44">
            <v>12922</v>
          </cell>
          <cell r="CS44">
            <v>13063</v>
          </cell>
        </row>
        <row r="45">
          <cell r="B45" t="str">
            <v>Hotel Total</v>
          </cell>
          <cell r="K45">
            <v>8848</v>
          </cell>
          <cell r="L45">
            <v>8833</v>
          </cell>
          <cell r="M45">
            <v>8814</v>
          </cell>
          <cell r="N45">
            <v>8815</v>
          </cell>
          <cell r="O45">
            <v>8721</v>
          </cell>
          <cell r="P45">
            <v>8543</v>
          </cell>
          <cell r="Q45">
            <v>8766</v>
          </cell>
          <cell r="R45">
            <v>8713</v>
          </cell>
          <cell r="S45">
            <v>8700</v>
          </cell>
          <cell r="T45">
            <v>8694</v>
          </cell>
          <cell r="U45">
            <v>8700</v>
          </cell>
          <cell r="V45">
            <v>8599</v>
          </cell>
          <cell r="W45">
            <v>8611</v>
          </cell>
          <cell r="X45">
            <v>8584</v>
          </cell>
          <cell r="Y45">
            <v>8588</v>
          </cell>
          <cell r="Z45">
            <v>8588</v>
          </cell>
          <cell r="AA45">
            <v>8606</v>
          </cell>
          <cell r="AB45">
            <v>8515</v>
          </cell>
          <cell r="AC45">
            <v>8059</v>
          </cell>
          <cell r="AD45">
            <v>8437</v>
          </cell>
          <cell r="AE45">
            <v>8437</v>
          </cell>
          <cell r="AF45">
            <v>8434</v>
          </cell>
          <cell r="AG45">
            <v>8427</v>
          </cell>
          <cell r="AH45">
            <v>8432</v>
          </cell>
          <cell r="AI45">
            <v>8440</v>
          </cell>
          <cell r="AJ45">
            <v>8349</v>
          </cell>
          <cell r="AK45">
            <v>8403</v>
          </cell>
          <cell r="AL45">
            <v>8385</v>
          </cell>
          <cell r="AM45">
            <v>8395</v>
          </cell>
          <cell r="AN45">
            <v>8365</v>
          </cell>
          <cell r="AO45">
            <v>8190</v>
          </cell>
          <cell r="AP45">
            <v>8200</v>
          </cell>
          <cell r="AQ45">
            <v>8207</v>
          </cell>
          <cell r="AR45">
            <v>8215</v>
          </cell>
          <cell r="AS45">
            <v>8352</v>
          </cell>
          <cell r="AT45">
            <v>8334</v>
          </cell>
          <cell r="AU45">
            <v>8360</v>
          </cell>
          <cell r="AV45">
            <v>8366</v>
          </cell>
          <cell r="AW45">
            <v>8348</v>
          </cell>
          <cell r="AX45">
            <v>8323</v>
          </cell>
          <cell r="AY45">
            <v>8333</v>
          </cell>
          <cell r="AZ45">
            <v>8323</v>
          </cell>
          <cell r="BA45">
            <v>8328</v>
          </cell>
          <cell r="BB45">
            <v>8216</v>
          </cell>
          <cell r="BC45">
            <v>8263</v>
          </cell>
          <cell r="BD45">
            <v>8307</v>
          </cell>
          <cell r="BE45">
            <v>8305</v>
          </cell>
          <cell r="BF45">
            <v>8584</v>
          </cell>
          <cell r="BG45">
            <v>8599</v>
          </cell>
          <cell r="BH45">
            <v>8596</v>
          </cell>
          <cell r="BI45">
            <v>8615</v>
          </cell>
          <cell r="BJ45">
            <v>8708</v>
          </cell>
          <cell r="BK45">
            <v>8726</v>
          </cell>
          <cell r="BL45">
            <v>8722</v>
          </cell>
          <cell r="BM45">
            <v>8710</v>
          </cell>
          <cell r="BN45">
            <v>8786</v>
          </cell>
          <cell r="BO45">
            <v>8693</v>
          </cell>
          <cell r="BP45">
            <v>8532</v>
          </cell>
          <cell r="BQ45">
            <v>8532</v>
          </cell>
          <cell r="BR45">
            <v>8609</v>
          </cell>
          <cell r="BS45">
            <v>8608</v>
          </cell>
          <cell r="BT45">
            <v>9341</v>
          </cell>
          <cell r="BU45">
            <v>9607</v>
          </cell>
          <cell r="BV45">
            <v>10013</v>
          </cell>
          <cell r="BW45">
            <v>10067</v>
          </cell>
          <cell r="BX45">
            <v>9886</v>
          </cell>
          <cell r="BY45">
            <v>10023</v>
          </cell>
          <cell r="BZ45">
            <v>10012</v>
          </cell>
          <cell r="CA45">
            <v>9999</v>
          </cell>
          <cell r="CB45">
            <v>10128</v>
          </cell>
          <cell r="CC45">
            <v>10084</v>
          </cell>
          <cell r="CD45">
            <v>10282</v>
          </cell>
          <cell r="CE45">
            <v>10285</v>
          </cell>
          <cell r="CF45">
            <v>10464</v>
          </cell>
          <cell r="CG45">
            <v>10490</v>
          </cell>
          <cell r="CH45">
            <v>10746</v>
          </cell>
          <cell r="CI45">
            <v>10772</v>
          </cell>
          <cell r="CJ45">
            <v>10774</v>
          </cell>
          <cell r="CK45">
            <v>11197</v>
          </cell>
          <cell r="CL45">
            <v>11241</v>
          </cell>
          <cell r="CM45">
            <v>11240</v>
          </cell>
          <cell r="CN45">
            <v>11859</v>
          </cell>
          <cell r="CO45">
            <v>11860</v>
          </cell>
          <cell r="CP45">
            <v>12134</v>
          </cell>
          <cell r="CQ45">
            <v>12419</v>
          </cell>
          <cell r="CR45">
            <v>12364</v>
          </cell>
          <cell r="CS45">
            <v>12493</v>
          </cell>
        </row>
        <row r="46">
          <cell r="B46" t="str">
            <v>5-star hotels</v>
          </cell>
          <cell r="K46">
            <v>3189</v>
          </cell>
          <cell r="L46">
            <v>3179</v>
          </cell>
          <cell r="M46">
            <v>3181</v>
          </cell>
          <cell r="N46">
            <v>3182</v>
          </cell>
          <cell r="O46">
            <v>3177</v>
          </cell>
          <cell r="P46">
            <v>2954</v>
          </cell>
          <cell r="Q46">
            <v>3177</v>
          </cell>
          <cell r="R46">
            <v>3124</v>
          </cell>
          <cell r="S46">
            <v>3111</v>
          </cell>
          <cell r="T46">
            <v>3111</v>
          </cell>
          <cell r="U46">
            <v>3111</v>
          </cell>
          <cell r="V46">
            <v>3111</v>
          </cell>
          <cell r="W46">
            <v>3123</v>
          </cell>
          <cell r="X46">
            <v>3096</v>
          </cell>
          <cell r="Y46">
            <v>3100</v>
          </cell>
          <cell r="Z46">
            <v>3100</v>
          </cell>
          <cell r="AA46">
            <v>3118</v>
          </cell>
          <cell r="AB46">
            <v>3100</v>
          </cell>
          <cell r="AC46">
            <v>3091</v>
          </cell>
          <cell r="AD46">
            <v>3109</v>
          </cell>
          <cell r="AE46">
            <v>3109</v>
          </cell>
          <cell r="AF46">
            <v>3106</v>
          </cell>
          <cell r="AG46">
            <v>3099</v>
          </cell>
          <cell r="AH46">
            <v>3104</v>
          </cell>
          <cell r="AI46">
            <v>3112</v>
          </cell>
          <cell r="AJ46">
            <v>3110</v>
          </cell>
          <cell r="AK46">
            <v>3117</v>
          </cell>
          <cell r="AL46">
            <v>3099</v>
          </cell>
          <cell r="AM46">
            <v>3109</v>
          </cell>
          <cell r="AN46">
            <v>3089</v>
          </cell>
          <cell r="AO46">
            <v>3094</v>
          </cell>
          <cell r="AP46">
            <v>3104</v>
          </cell>
          <cell r="AQ46">
            <v>3111</v>
          </cell>
          <cell r="AR46">
            <v>3119</v>
          </cell>
          <cell r="AS46">
            <v>3099</v>
          </cell>
          <cell r="AT46">
            <v>3079</v>
          </cell>
          <cell r="AU46">
            <v>3104</v>
          </cell>
          <cell r="AV46">
            <v>3110</v>
          </cell>
          <cell r="AW46">
            <v>3092</v>
          </cell>
          <cell r="AX46">
            <v>3094</v>
          </cell>
          <cell r="AY46">
            <v>3104</v>
          </cell>
          <cell r="AZ46">
            <v>3094</v>
          </cell>
          <cell r="BA46">
            <v>3099</v>
          </cell>
          <cell r="BB46">
            <v>3011</v>
          </cell>
          <cell r="BC46">
            <v>3058</v>
          </cell>
          <cell r="BD46">
            <v>3058</v>
          </cell>
          <cell r="BE46">
            <v>3059</v>
          </cell>
          <cell r="BF46">
            <v>3338</v>
          </cell>
          <cell r="BG46">
            <v>3349</v>
          </cell>
          <cell r="BH46">
            <v>3346</v>
          </cell>
          <cell r="BI46">
            <v>3369</v>
          </cell>
          <cell r="BJ46">
            <v>3462</v>
          </cell>
          <cell r="BK46">
            <v>3480</v>
          </cell>
          <cell r="BL46">
            <v>3476</v>
          </cell>
          <cell r="BM46">
            <v>3464</v>
          </cell>
          <cell r="BN46">
            <v>3470</v>
          </cell>
          <cell r="BO46">
            <v>3470</v>
          </cell>
          <cell r="BP46">
            <v>3470</v>
          </cell>
          <cell r="BQ46">
            <v>3470</v>
          </cell>
          <cell r="BR46">
            <v>3470</v>
          </cell>
          <cell r="BS46">
            <v>3470</v>
          </cell>
          <cell r="BT46">
            <v>3449</v>
          </cell>
          <cell r="BU46">
            <v>3449</v>
          </cell>
          <cell r="BV46">
            <v>3449</v>
          </cell>
          <cell r="BW46">
            <v>3449</v>
          </cell>
          <cell r="BX46">
            <v>3449</v>
          </cell>
          <cell r="BY46">
            <v>3454</v>
          </cell>
          <cell r="BZ46">
            <v>3454</v>
          </cell>
          <cell r="CA46">
            <v>3449</v>
          </cell>
          <cell r="CB46">
            <v>3449</v>
          </cell>
          <cell r="CC46">
            <v>3405</v>
          </cell>
          <cell r="CD46">
            <v>3449</v>
          </cell>
          <cell r="CE46">
            <v>3452</v>
          </cell>
          <cell r="CF46">
            <v>3452</v>
          </cell>
          <cell r="CG46">
            <v>3452</v>
          </cell>
          <cell r="CH46">
            <v>3452</v>
          </cell>
          <cell r="CI46">
            <v>3471</v>
          </cell>
          <cell r="CJ46">
            <v>3471</v>
          </cell>
          <cell r="CK46">
            <v>3789</v>
          </cell>
          <cell r="CL46">
            <v>3463</v>
          </cell>
          <cell r="CM46">
            <v>3463</v>
          </cell>
          <cell r="CN46">
            <v>4059</v>
          </cell>
          <cell r="CO46">
            <v>4061</v>
          </cell>
          <cell r="CP46">
            <v>4349</v>
          </cell>
          <cell r="CQ46">
            <v>4572</v>
          </cell>
          <cell r="CR46">
            <v>4490</v>
          </cell>
          <cell r="CS46">
            <v>4593</v>
          </cell>
        </row>
        <row r="47">
          <cell r="B47" t="str">
            <v>4-star hotels</v>
          </cell>
          <cell r="K47">
            <v>2421</v>
          </cell>
          <cell r="L47">
            <v>2421</v>
          </cell>
          <cell r="M47">
            <v>2699</v>
          </cell>
          <cell r="N47">
            <v>2699</v>
          </cell>
          <cell r="O47">
            <v>2699</v>
          </cell>
          <cell r="P47">
            <v>2699</v>
          </cell>
          <cell r="Q47">
            <v>2699</v>
          </cell>
          <cell r="R47">
            <v>2699</v>
          </cell>
          <cell r="S47">
            <v>2699</v>
          </cell>
          <cell r="T47">
            <v>2699</v>
          </cell>
          <cell r="U47">
            <v>2699</v>
          </cell>
          <cell r="V47">
            <v>2721</v>
          </cell>
          <cell r="W47">
            <v>2721</v>
          </cell>
          <cell r="X47">
            <v>2721</v>
          </cell>
          <cell r="Y47">
            <v>2721</v>
          </cell>
          <cell r="Z47">
            <v>2721</v>
          </cell>
          <cell r="AA47">
            <v>2721</v>
          </cell>
          <cell r="AB47">
            <v>2721</v>
          </cell>
          <cell r="AC47">
            <v>2274</v>
          </cell>
          <cell r="AD47">
            <v>2634</v>
          </cell>
          <cell r="AE47">
            <v>2634</v>
          </cell>
          <cell r="AF47">
            <v>2634</v>
          </cell>
          <cell r="AG47">
            <v>2634</v>
          </cell>
          <cell r="AH47">
            <v>2634</v>
          </cell>
          <cell r="AI47">
            <v>2634</v>
          </cell>
          <cell r="AJ47">
            <v>2634</v>
          </cell>
          <cell r="AK47">
            <v>2681</v>
          </cell>
          <cell r="AL47">
            <v>2681</v>
          </cell>
          <cell r="AM47">
            <v>2681</v>
          </cell>
          <cell r="AN47">
            <v>2681</v>
          </cell>
          <cell r="AO47">
            <v>2681</v>
          </cell>
          <cell r="AP47">
            <v>2681</v>
          </cell>
          <cell r="AQ47">
            <v>2681</v>
          </cell>
          <cell r="AR47">
            <v>2681</v>
          </cell>
          <cell r="AS47">
            <v>2680</v>
          </cell>
          <cell r="AT47">
            <v>2680</v>
          </cell>
          <cell r="AU47">
            <v>2681</v>
          </cell>
          <cell r="AV47">
            <v>2681</v>
          </cell>
          <cell r="AW47">
            <v>2681</v>
          </cell>
          <cell r="AX47">
            <v>2681</v>
          </cell>
          <cell r="AY47">
            <v>2681</v>
          </cell>
          <cell r="AZ47">
            <v>2681</v>
          </cell>
          <cell r="BA47">
            <v>2681</v>
          </cell>
          <cell r="BB47">
            <v>2625</v>
          </cell>
          <cell r="BC47">
            <v>2625</v>
          </cell>
          <cell r="BD47">
            <v>2625</v>
          </cell>
          <cell r="BE47">
            <v>2625</v>
          </cell>
          <cell r="BF47">
            <v>2625</v>
          </cell>
          <cell r="BG47">
            <v>2625</v>
          </cell>
          <cell r="BH47">
            <v>2625</v>
          </cell>
          <cell r="BI47">
            <v>2625</v>
          </cell>
          <cell r="BJ47">
            <v>2625</v>
          </cell>
          <cell r="BK47">
            <v>2625</v>
          </cell>
          <cell r="BL47">
            <v>2625</v>
          </cell>
          <cell r="BM47">
            <v>2625</v>
          </cell>
          <cell r="BN47">
            <v>2625</v>
          </cell>
          <cell r="BO47">
            <v>2625</v>
          </cell>
          <cell r="BP47">
            <v>2625</v>
          </cell>
          <cell r="BQ47">
            <v>2625</v>
          </cell>
          <cell r="BR47">
            <v>2625</v>
          </cell>
          <cell r="BS47">
            <v>2625</v>
          </cell>
          <cell r="BT47">
            <v>3108</v>
          </cell>
          <cell r="BU47">
            <v>3112</v>
          </cell>
          <cell r="BV47">
            <v>3518</v>
          </cell>
          <cell r="BW47">
            <v>3518</v>
          </cell>
          <cell r="BX47">
            <v>3374</v>
          </cell>
          <cell r="BY47">
            <v>3506</v>
          </cell>
          <cell r="BZ47">
            <v>3441</v>
          </cell>
          <cell r="CA47">
            <v>3433</v>
          </cell>
          <cell r="CB47">
            <v>3562</v>
          </cell>
          <cell r="CC47">
            <v>3562</v>
          </cell>
          <cell r="CD47">
            <v>3584</v>
          </cell>
          <cell r="CE47">
            <v>3584</v>
          </cell>
          <cell r="CF47">
            <v>3473</v>
          </cell>
          <cell r="CG47">
            <v>3498</v>
          </cell>
          <cell r="CH47">
            <v>3755</v>
          </cell>
          <cell r="CI47">
            <v>3757</v>
          </cell>
          <cell r="CJ47">
            <v>3759</v>
          </cell>
          <cell r="CK47">
            <v>3864</v>
          </cell>
          <cell r="CL47">
            <v>3903</v>
          </cell>
          <cell r="CM47">
            <v>3908</v>
          </cell>
          <cell r="CN47">
            <v>3927</v>
          </cell>
          <cell r="CO47">
            <v>3927</v>
          </cell>
          <cell r="CP47">
            <v>3927</v>
          </cell>
          <cell r="CQ47">
            <v>3927</v>
          </cell>
          <cell r="CR47">
            <v>3926</v>
          </cell>
          <cell r="CS47">
            <v>3952</v>
          </cell>
        </row>
        <row r="48">
          <cell r="B48" t="str">
            <v>3-star hotels</v>
          </cell>
          <cell r="K48">
            <v>2185</v>
          </cell>
          <cell r="L48">
            <v>2180</v>
          </cell>
          <cell r="M48">
            <v>1880</v>
          </cell>
          <cell r="N48">
            <v>1880</v>
          </cell>
          <cell r="O48">
            <v>1880</v>
          </cell>
          <cell r="P48">
            <v>1880</v>
          </cell>
          <cell r="Q48">
            <v>1880</v>
          </cell>
          <cell r="R48">
            <v>1880</v>
          </cell>
          <cell r="S48">
            <v>1880</v>
          </cell>
          <cell r="T48">
            <v>1874</v>
          </cell>
          <cell r="U48">
            <v>1880</v>
          </cell>
          <cell r="V48">
            <v>1880</v>
          </cell>
          <cell r="W48">
            <v>1880</v>
          </cell>
          <cell r="X48">
            <v>1880</v>
          </cell>
          <cell r="Y48">
            <v>1880</v>
          </cell>
          <cell r="Z48">
            <v>1880</v>
          </cell>
          <cell r="AA48">
            <v>1880</v>
          </cell>
          <cell r="AB48">
            <v>1807</v>
          </cell>
          <cell r="AC48">
            <v>1807</v>
          </cell>
          <cell r="AD48">
            <v>1807</v>
          </cell>
          <cell r="AE48">
            <v>1807</v>
          </cell>
          <cell r="AF48">
            <v>1807</v>
          </cell>
          <cell r="AG48">
            <v>1807</v>
          </cell>
          <cell r="AH48">
            <v>1807</v>
          </cell>
          <cell r="AI48">
            <v>1807</v>
          </cell>
          <cell r="AJ48">
            <v>1807</v>
          </cell>
          <cell r="AK48">
            <v>1807</v>
          </cell>
          <cell r="AL48">
            <v>1807</v>
          </cell>
          <cell r="AM48">
            <v>1807</v>
          </cell>
          <cell r="AN48">
            <v>1807</v>
          </cell>
          <cell r="AO48">
            <v>1807</v>
          </cell>
          <cell r="AP48">
            <v>1807</v>
          </cell>
          <cell r="AQ48">
            <v>1807</v>
          </cell>
          <cell r="AR48">
            <v>1807</v>
          </cell>
          <cell r="AS48">
            <v>1807</v>
          </cell>
          <cell r="AT48">
            <v>1807</v>
          </cell>
          <cell r="AU48">
            <v>1807</v>
          </cell>
          <cell r="AV48">
            <v>1807</v>
          </cell>
          <cell r="AW48">
            <v>1807</v>
          </cell>
          <cell r="AX48">
            <v>1807</v>
          </cell>
          <cell r="AY48">
            <v>1807</v>
          </cell>
          <cell r="AZ48">
            <v>1807</v>
          </cell>
          <cell r="BA48">
            <v>1807</v>
          </cell>
          <cell r="BB48">
            <v>1824</v>
          </cell>
          <cell r="BC48">
            <v>1824</v>
          </cell>
          <cell r="BD48">
            <v>1824</v>
          </cell>
          <cell r="BE48">
            <v>1824</v>
          </cell>
          <cell r="BF48">
            <v>1824</v>
          </cell>
          <cell r="BG48">
            <v>1825</v>
          </cell>
          <cell r="BH48">
            <v>1825</v>
          </cell>
          <cell r="BI48">
            <v>1824</v>
          </cell>
          <cell r="BJ48">
            <v>1824</v>
          </cell>
          <cell r="BK48">
            <v>1824</v>
          </cell>
          <cell r="BL48">
            <v>1824</v>
          </cell>
          <cell r="BM48">
            <v>1824</v>
          </cell>
          <cell r="BN48">
            <v>1854</v>
          </cell>
          <cell r="BO48">
            <v>1761</v>
          </cell>
          <cell r="BP48">
            <v>1600</v>
          </cell>
          <cell r="BQ48">
            <v>1600</v>
          </cell>
          <cell r="BR48">
            <v>1675</v>
          </cell>
          <cell r="BS48">
            <v>1674</v>
          </cell>
          <cell r="BT48">
            <v>1945</v>
          </cell>
          <cell r="BU48">
            <v>2207</v>
          </cell>
          <cell r="BV48">
            <v>2207</v>
          </cell>
          <cell r="BW48">
            <v>2261</v>
          </cell>
          <cell r="BX48">
            <v>2224</v>
          </cell>
          <cell r="BY48">
            <v>2224</v>
          </cell>
          <cell r="BZ48">
            <v>2278</v>
          </cell>
          <cell r="CA48">
            <v>2278</v>
          </cell>
          <cell r="CB48">
            <v>2278</v>
          </cell>
          <cell r="CC48">
            <v>2278</v>
          </cell>
          <cell r="CD48">
            <v>2410</v>
          </cell>
          <cell r="CE48">
            <v>2410</v>
          </cell>
          <cell r="CF48">
            <v>2700</v>
          </cell>
          <cell r="CG48">
            <v>2701</v>
          </cell>
          <cell r="CH48">
            <v>2701</v>
          </cell>
          <cell r="CI48">
            <v>2701</v>
          </cell>
          <cell r="CJ48">
            <v>2701</v>
          </cell>
          <cell r="CK48">
            <v>2701</v>
          </cell>
          <cell r="CL48">
            <v>3027</v>
          </cell>
          <cell r="CM48">
            <v>3021</v>
          </cell>
          <cell r="CN48">
            <v>3025</v>
          </cell>
          <cell r="CO48">
            <v>3025</v>
          </cell>
          <cell r="CP48">
            <v>3025</v>
          </cell>
          <cell r="CQ48">
            <v>3100</v>
          </cell>
          <cell r="CR48">
            <v>3100</v>
          </cell>
          <cell r="CS48">
            <v>3100</v>
          </cell>
        </row>
        <row r="49">
          <cell r="B49" t="str">
            <v>2-star hotels</v>
          </cell>
          <cell r="K49">
            <v>1053</v>
          </cell>
          <cell r="L49">
            <v>1053</v>
          </cell>
          <cell r="M49">
            <v>1054</v>
          </cell>
          <cell r="N49">
            <v>1054</v>
          </cell>
          <cell r="O49">
            <v>965</v>
          </cell>
          <cell r="P49">
            <v>1010</v>
          </cell>
          <cell r="Q49">
            <v>1010</v>
          </cell>
          <cell r="R49">
            <v>1010</v>
          </cell>
          <cell r="S49">
            <v>1010</v>
          </cell>
          <cell r="T49">
            <v>1010</v>
          </cell>
          <cell r="U49">
            <v>1010</v>
          </cell>
          <cell r="V49">
            <v>887</v>
          </cell>
          <cell r="W49">
            <v>887</v>
          </cell>
          <cell r="X49">
            <v>887</v>
          </cell>
          <cell r="Y49">
            <v>887</v>
          </cell>
          <cell r="Z49">
            <v>887</v>
          </cell>
          <cell r="AA49">
            <v>887</v>
          </cell>
          <cell r="AB49">
            <v>887</v>
          </cell>
          <cell r="AC49">
            <v>887</v>
          </cell>
          <cell r="AD49">
            <v>887</v>
          </cell>
          <cell r="AE49">
            <v>887</v>
          </cell>
          <cell r="AF49">
            <v>887</v>
          </cell>
          <cell r="AG49">
            <v>887</v>
          </cell>
          <cell r="AH49">
            <v>887</v>
          </cell>
          <cell r="AI49">
            <v>887</v>
          </cell>
          <cell r="AJ49">
            <v>798</v>
          </cell>
          <cell r="AK49">
            <v>798</v>
          </cell>
          <cell r="AL49">
            <v>798</v>
          </cell>
          <cell r="AM49">
            <v>798</v>
          </cell>
          <cell r="AN49">
            <v>788</v>
          </cell>
          <cell r="AO49">
            <v>608</v>
          </cell>
          <cell r="AP49">
            <v>608</v>
          </cell>
          <cell r="AQ49">
            <v>608</v>
          </cell>
          <cell r="AR49">
            <v>608</v>
          </cell>
          <cell r="AS49">
            <v>766</v>
          </cell>
          <cell r="AT49">
            <v>768</v>
          </cell>
          <cell r="AU49">
            <v>768</v>
          </cell>
          <cell r="AV49">
            <v>768</v>
          </cell>
          <cell r="AW49">
            <v>768</v>
          </cell>
          <cell r="AX49">
            <v>741</v>
          </cell>
          <cell r="AY49">
            <v>741</v>
          </cell>
          <cell r="AZ49">
            <v>741</v>
          </cell>
          <cell r="BA49">
            <v>741</v>
          </cell>
          <cell r="BB49">
            <v>756</v>
          </cell>
          <cell r="BC49">
            <v>756</v>
          </cell>
          <cell r="BD49">
            <v>800</v>
          </cell>
          <cell r="BE49">
            <v>797</v>
          </cell>
          <cell r="BF49">
            <v>797</v>
          </cell>
          <cell r="BG49">
            <v>800</v>
          </cell>
          <cell r="BH49">
            <v>800</v>
          </cell>
          <cell r="BI49">
            <v>797</v>
          </cell>
          <cell r="BJ49">
            <v>797</v>
          </cell>
          <cell r="BK49">
            <v>797</v>
          </cell>
          <cell r="BL49">
            <v>797</v>
          </cell>
          <cell r="BM49">
            <v>797</v>
          </cell>
          <cell r="BN49">
            <v>837</v>
          </cell>
          <cell r="BO49">
            <v>837</v>
          </cell>
          <cell r="BP49">
            <v>837</v>
          </cell>
          <cell r="BQ49">
            <v>837</v>
          </cell>
          <cell r="BR49">
            <v>839</v>
          </cell>
          <cell r="BS49">
            <v>839</v>
          </cell>
          <cell r="BT49">
            <v>839</v>
          </cell>
          <cell r="BU49">
            <v>839</v>
          </cell>
          <cell r="BV49">
            <v>839</v>
          </cell>
          <cell r="BW49">
            <v>839</v>
          </cell>
          <cell r="BX49">
            <v>839</v>
          </cell>
          <cell r="BY49">
            <v>839</v>
          </cell>
          <cell r="BZ49">
            <v>839</v>
          </cell>
          <cell r="CA49">
            <v>839</v>
          </cell>
          <cell r="CB49">
            <v>839</v>
          </cell>
          <cell r="CC49">
            <v>839</v>
          </cell>
          <cell r="CD49">
            <v>839</v>
          </cell>
          <cell r="CE49">
            <v>839</v>
          </cell>
          <cell r="CF49">
            <v>839</v>
          </cell>
          <cell r="CG49">
            <v>839</v>
          </cell>
          <cell r="CH49">
            <v>838</v>
          </cell>
          <cell r="CI49">
            <v>843</v>
          </cell>
          <cell r="CJ49">
            <v>843</v>
          </cell>
          <cell r="CK49">
            <v>843</v>
          </cell>
          <cell r="CL49">
            <v>848</v>
          </cell>
          <cell r="CM49">
            <v>848</v>
          </cell>
          <cell r="CN49">
            <v>848</v>
          </cell>
          <cell r="CO49">
            <v>847</v>
          </cell>
          <cell r="CP49">
            <v>833</v>
          </cell>
          <cell r="CQ49">
            <v>820</v>
          </cell>
          <cell r="CR49">
            <v>848</v>
          </cell>
          <cell r="CS49">
            <v>848</v>
          </cell>
        </row>
        <row r="50">
          <cell r="B50" t="str">
            <v>Guest-houses</v>
          </cell>
          <cell r="K50">
            <v>583</v>
          </cell>
          <cell r="L50">
            <v>583</v>
          </cell>
          <cell r="M50">
            <v>626</v>
          </cell>
          <cell r="N50">
            <v>625</v>
          </cell>
          <cell r="O50">
            <v>596</v>
          </cell>
          <cell r="P50">
            <v>596</v>
          </cell>
          <cell r="Q50">
            <v>594</v>
          </cell>
          <cell r="R50">
            <v>594</v>
          </cell>
          <cell r="S50">
            <v>595</v>
          </cell>
          <cell r="T50">
            <v>603</v>
          </cell>
          <cell r="U50">
            <v>603</v>
          </cell>
          <cell r="V50">
            <v>603</v>
          </cell>
          <cell r="W50">
            <v>590</v>
          </cell>
          <cell r="X50">
            <v>590</v>
          </cell>
          <cell r="Y50">
            <v>590</v>
          </cell>
          <cell r="Z50">
            <v>590</v>
          </cell>
          <cell r="AA50">
            <v>595</v>
          </cell>
          <cell r="AB50">
            <v>578</v>
          </cell>
          <cell r="AC50">
            <v>591</v>
          </cell>
          <cell r="AD50">
            <v>581</v>
          </cell>
          <cell r="AE50">
            <v>582</v>
          </cell>
          <cell r="AF50">
            <v>582</v>
          </cell>
          <cell r="AG50">
            <v>582</v>
          </cell>
          <cell r="AH50">
            <v>590</v>
          </cell>
          <cell r="AI50">
            <v>590</v>
          </cell>
          <cell r="AJ50">
            <v>587</v>
          </cell>
          <cell r="AK50">
            <v>590</v>
          </cell>
          <cell r="AL50">
            <v>590</v>
          </cell>
          <cell r="AM50">
            <v>590</v>
          </cell>
          <cell r="AN50">
            <v>590</v>
          </cell>
          <cell r="AO50">
            <v>589</v>
          </cell>
          <cell r="AP50">
            <v>590</v>
          </cell>
          <cell r="AQ50">
            <v>591</v>
          </cell>
          <cell r="AR50">
            <v>593</v>
          </cell>
          <cell r="AS50">
            <v>594</v>
          </cell>
          <cell r="AT50">
            <v>594</v>
          </cell>
          <cell r="AU50">
            <v>594</v>
          </cell>
          <cell r="AV50">
            <v>596</v>
          </cell>
          <cell r="AW50">
            <v>595</v>
          </cell>
          <cell r="AX50">
            <v>605</v>
          </cell>
          <cell r="AY50">
            <v>596</v>
          </cell>
          <cell r="AZ50">
            <v>594</v>
          </cell>
          <cell r="BA50">
            <v>594</v>
          </cell>
          <cell r="BB50">
            <v>589</v>
          </cell>
          <cell r="BC50">
            <v>600</v>
          </cell>
          <cell r="BD50">
            <v>600</v>
          </cell>
          <cell r="BE50">
            <v>594</v>
          </cell>
          <cell r="BF50">
            <v>594</v>
          </cell>
          <cell r="BG50">
            <v>586</v>
          </cell>
          <cell r="BH50">
            <v>592</v>
          </cell>
          <cell r="BI50">
            <v>593</v>
          </cell>
          <cell r="BJ50">
            <v>593</v>
          </cell>
          <cell r="BK50">
            <v>592</v>
          </cell>
          <cell r="BL50">
            <v>591</v>
          </cell>
          <cell r="BM50">
            <v>590</v>
          </cell>
          <cell r="BN50">
            <v>589</v>
          </cell>
          <cell r="BO50">
            <v>588</v>
          </cell>
          <cell r="BP50">
            <v>573</v>
          </cell>
          <cell r="BQ50">
            <v>546</v>
          </cell>
          <cell r="BR50">
            <v>546</v>
          </cell>
          <cell r="BS50">
            <v>560</v>
          </cell>
          <cell r="BT50">
            <v>560</v>
          </cell>
          <cell r="BU50">
            <v>574</v>
          </cell>
          <cell r="BV50">
            <v>572</v>
          </cell>
          <cell r="BW50">
            <v>569</v>
          </cell>
          <cell r="BX50">
            <v>568</v>
          </cell>
          <cell r="BY50">
            <v>548</v>
          </cell>
          <cell r="BZ50">
            <v>550</v>
          </cell>
          <cell r="CA50">
            <v>550</v>
          </cell>
          <cell r="CB50">
            <v>551</v>
          </cell>
          <cell r="CC50">
            <v>551</v>
          </cell>
          <cell r="CD50">
            <v>551</v>
          </cell>
          <cell r="CE50">
            <v>547</v>
          </cell>
          <cell r="CF50">
            <v>551</v>
          </cell>
          <cell r="CG50">
            <v>551</v>
          </cell>
          <cell r="CH50">
            <v>551</v>
          </cell>
          <cell r="CI50">
            <v>551</v>
          </cell>
          <cell r="CJ50">
            <v>551</v>
          </cell>
          <cell r="CK50">
            <v>551</v>
          </cell>
          <cell r="CL50">
            <v>551</v>
          </cell>
          <cell r="CM50">
            <v>551</v>
          </cell>
          <cell r="CN50">
            <v>552</v>
          </cell>
          <cell r="CO50">
            <v>559</v>
          </cell>
          <cell r="CP50">
            <v>559</v>
          </cell>
          <cell r="CQ50">
            <v>559</v>
          </cell>
          <cell r="CR50">
            <v>558</v>
          </cell>
          <cell r="CS50">
            <v>570</v>
          </cell>
        </row>
        <row r="51">
          <cell r="B51" t="str">
            <v>Total % Change</v>
          </cell>
          <cell r="X51">
            <v>-2.5700934579439227E-2</v>
          </cell>
          <cell r="Y51">
            <v>-2.7754237288135641E-2</v>
          </cell>
          <cell r="Z51">
            <v>-2.7754237288135641E-2</v>
          </cell>
          <cell r="AA51">
            <v>-1.2450359557797608E-2</v>
          </cell>
          <cell r="AB51">
            <v>-5.0333734544261155E-3</v>
          </cell>
          <cell r="AC51">
            <v>-7.5854700854700807E-2</v>
          </cell>
          <cell r="AD51">
            <v>-3.1051896422047975E-2</v>
          </cell>
          <cell r="AE51">
            <v>-2.9693383539537432E-2</v>
          </cell>
          <cell r="AF51">
            <v>-3.0224803700118263E-2</v>
          </cell>
          <cell r="AG51">
            <v>-3.1602708803611712E-2</v>
          </cell>
          <cell r="AH51">
            <v>-1.9560965007607067E-2</v>
          </cell>
          <cell r="AI51">
            <v>-1.8584936419954401E-2</v>
          </cell>
          <cell r="AJ51">
            <v>-2.5942882057990002E-2</v>
          </cell>
          <cell r="AK51">
            <v>-2.0156896927435164E-2</v>
          </cell>
          <cell r="AL51">
            <v>-2.2118108520374768E-2</v>
          </cell>
          <cell r="AM51">
            <v>-2.3475709162047553E-2</v>
          </cell>
          <cell r="AN51">
            <v>-1.5176509402837324E-2</v>
          </cell>
          <cell r="AO51">
            <v>1.4913294797687771E-2</v>
          </cell>
          <cell r="AP51">
            <v>-2.528276779773786E-2</v>
          </cell>
          <cell r="AQ51">
            <v>-2.4503825257789158E-2</v>
          </cell>
          <cell r="AR51">
            <v>-2.3070097604259043E-2</v>
          </cell>
          <cell r="AS51">
            <v>-6.9930069930069783E-3</v>
          </cell>
          <cell r="AT51">
            <v>-1.0418975836843258E-2</v>
          </cell>
          <cell r="AU51">
            <v>-8.4163898117386449E-3</v>
          </cell>
          <cell r="AV51">
            <v>2.9095792300806167E-3</v>
          </cell>
          <cell r="AW51">
            <v>-5.5598799065940119E-3</v>
          </cell>
          <cell r="AX51">
            <v>-5.2367688022284531E-3</v>
          </cell>
          <cell r="AY51">
            <v>-6.2326099053978679E-3</v>
          </cell>
          <cell r="AZ51">
            <v>-4.2434394193188174E-3</v>
          </cell>
          <cell r="BA51">
            <v>1.6288871169837016E-2</v>
          </cell>
          <cell r="BB51">
            <v>1.7064846416381396E-3</v>
          </cell>
          <cell r="BC51">
            <v>7.3880427369856783E-3</v>
          </cell>
          <cell r="BD51">
            <v>1.1239782016348787E-2</v>
          </cell>
          <cell r="BE51">
            <v>-5.2537446903644369E-3</v>
          </cell>
          <cell r="BF51">
            <v>2.8001792114695334E-2</v>
          </cell>
          <cell r="BG51">
            <v>2.5798525798525818E-2</v>
          </cell>
          <cell r="BH51">
            <v>2.5217585360410633E-2</v>
          </cell>
          <cell r="BI51">
            <v>2.9632114502963214E-2</v>
          </cell>
          <cell r="BJ51">
            <v>4.1778673835125346E-2</v>
          </cell>
          <cell r="BK51">
            <v>4.3565908836375788E-2</v>
          </cell>
          <cell r="BL51">
            <v>4.4409554782998795E-2</v>
          </cell>
          <cell r="BM51">
            <v>4.2367182246133117E-2</v>
          </cell>
          <cell r="BN51">
            <v>6.4735945485519641E-2</v>
          </cell>
          <cell r="BO51">
            <v>4.7162360374590984E-2</v>
          </cell>
          <cell r="BP51">
            <v>2.2229706972044516E-2</v>
          </cell>
          <cell r="BQ51">
            <v>2.0114619620182017E-2</v>
          </cell>
          <cell r="BR51">
            <v>-2.5059925909783898E-3</v>
          </cell>
          <cell r="BS51">
            <v>-1.8508437670113898E-3</v>
          </cell>
          <cell r="BT51">
            <v>7.7601218981280029E-2</v>
          </cell>
          <cell r="BU51">
            <v>0.10566898349261522</v>
          </cell>
          <cell r="BV51">
            <v>0.13804967207827112</v>
          </cell>
          <cell r="BW51">
            <v>0.14144666237389991</v>
          </cell>
          <cell r="BX51">
            <v>0.12251691184365932</v>
          </cell>
          <cell r="BY51">
            <v>0.13666666666666671</v>
          </cell>
          <cell r="BZ51">
            <v>0.12661333333333324</v>
          </cell>
          <cell r="CA51">
            <v>0.13662320870595845</v>
          </cell>
          <cell r="CB51">
            <v>0.17287204832509606</v>
          </cell>
          <cell r="CC51">
            <v>0.17151354923992068</v>
          </cell>
          <cell r="CD51">
            <v>0.18328782086291651</v>
          </cell>
          <cell r="CE51">
            <v>0.18150087260034908</v>
          </cell>
          <cell r="CF51">
            <v>0.11251388748611246</v>
          </cell>
          <cell r="CG51">
            <v>8.447107356841177E-2</v>
          </cell>
          <cell r="CH51">
            <v>6.7264997638167179E-2</v>
          </cell>
          <cell r="CI51">
            <v>6.4591951861602048E-2</v>
          </cell>
          <cell r="CJ51">
            <v>8.3317390472546382E-2</v>
          </cell>
          <cell r="CK51">
            <v>0.11134235171696161</v>
          </cell>
          <cell r="CL51">
            <v>0.11645521681499726</v>
          </cell>
          <cell r="CM51">
            <v>0.11773627832021982</v>
          </cell>
          <cell r="CN51">
            <v>0.16218747073696038</v>
          </cell>
          <cell r="CO51">
            <v>0.16774800188058303</v>
          </cell>
          <cell r="CP51">
            <v>0.17169759069509838</v>
          </cell>
          <cell r="CQ51">
            <v>0.19811669128508114</v>
          </cell>
          <cell r="CR51">
            <v>0.17312755333635943</v>
          </cell>
          <cell r="CS51">
            <v>0.18313558554478759</v>
          </cell>
        </row>
        <row r="53">
          <cell r="B53" t="str">
            <v>Occupancy</v>
          </cell>
        </row>
        <row r="54">
          <cell r="B54" t="str">
            <v>Grand Total</v>
          </cell>
          <cell r="C54">
            <v>0.69730000000000003</v>
          </cell>
          <cell r="D54">
            <v>0.61840000000000006</v>
          </cell>
          <cell r="E54">
            <v>0.57020000000000004</v>
          </cell>
          <cell r="F54">
            <v>0.55569999999999997</v>
          </cell>
          <cell r="G54">
            <v>0.57030000000000003</v>
          </cell>
          <cell r="H54">
            <v>0.60760000000000003</v>
          </cell>
          <cell r="I54">
            <v>0.50219999999999998</v>
          </cell>
          <cell r="J54">
            <v>0.51280000000000003</v>
          </cell>
          <cell r="K54">
            <v>0.53689999999999993</v>
          </cell>
          <cell r="L54">
            <v>0.49340000000000006</v>
          </cell>
          <cell r="M54">
            <v>0.60960000000000003</v>
          </cell>
          <cell r="N54">
            <v>0.53569999999999995</v>
          </cell>
          <cell r="O54">
            <v>0.5907</v>
          </cell>
          <cell r="P54">
            <v>0.5927</v>
          </cell>
          <cell r="Q54">
            <v>0.5222</v>
          </cell>
          <cell r="R54">
            <v>0.60530000000000006</v>
          </cell>
          <cell r="S54">
            <v>0.65410000000000001</v>
          </cell>
          <cell r="T54">
            <v>0.54700000000000004</v>
          </cell>
          <cell r="U54">
            <v>0.57840000000000003</v>
          </cell>
          <cell r="V54">
            <v>0.58799999999999997</v>
          </cell>
          <cell r="W54">
            <v>0.59350000000000003</v>
          </cell>
          <cell r="X54">
            <v>0.56520000000000004</v>
          </cell>
          <cell r="Y54">
            <v>0.52100000000000002</v>
          </cell>
          <cell r="Z54">
            <v>0.5786</v>
          </cell>
          <cell r="AA54">
            <v>0.6079</v>
          </cell>
          <cell r="AB54">
            <v>0.57830000000000004</v>
          </cell>
          <cell r="AC54">
            <v>0.6018</v>
          </cell>
          <cell r="AD54">
            <v>0.63900000000000001</v>
          </cell>
          <cell r="AE54">
            <v>0.69420000000000004</v>
          </cell>
          <cell r="AF54">
            <v>0.5625</v>
          </cell>
          <cell r="AG54">
            <v>0.62020000000000008</v>
          </cell>
          <cell r="AH54">
            <v>0.63340000000000007</v>
          </cell>
          <cell r="AI54">
            <v>0.67049999999999998</v>
          </cell>
          <cell r="AJ54">
            <v>0.57399999999999995</v>
          </cell>
          <cell r="AK54">
            <v>0.63539999999999996</v>
          </cell>
          <cell r="AL54">
            <v>0.65300000000000002</v>
          </cell>
          <cell r="AM54">
            <v>0.70340000000000003</v>
          </cell>
          <cell r="AN54">
            <v>0.6845</v>
          </cell>
          <cell r="AO54">
            <v>0.60319999999999996</v>
          </cell>
          <cell r="AP54">
            <v>0.69310000000000005</v>
          </cell>
          <cell r="AQ54">
            <v>0.76400000000000001</v>
          </cell>
          <cell r="AR54">
            <v>0.63049999999999995</v>
          </cell>
          <cell r="AS54">
            <v>0.63780000000000003</v>
          </cell>
          <cell r="AT54">
            <v>0.73580000000000001</v>
          </cell>
          <cell r="AU54">
            <v>0.73819999999999997</v>
          </cell>
          <cell r="AV54">
            <v>0.60719999999999996</v>
          </cell>
          <cell r="AW54">
            <v>0.67790000000000006</v>
          </cell>
          <cell r="AX54">
            <v>0.67010000000000003</v>
          </cell>
          <cell r="AY54">
            <v>0.44179999999999997</v>
          </cell>
          <cell r="AZ54">
            <v>0.32719999999999999</v>
          </cell>
          <cell r="BA54">
            <v>0.4975</v>
          </cell>
          <cell r="BB54">
            <v>0.66870000000000007</v>
          </cell>
          <cell r="BC54">
            <v>0.84279999999999999</v>
          </cell>
          <cell r="BD54">
            <v>0.68209999999999993</v>
          </cell>
          <cell r="BE54">
            <v>0.72540000000000004</v>
          </cell>
          <cell r="BF54">
            <v>0.7904000000000001</v>
          </cell>
          <cell r="BG54">
            <v>0.7742</v>
          </cell>
          <cell r="BH54">
            <v>0.66749999999999998</v>
          </cell>
          <cell r="BI54">
            <v>0.64430000000000009</v>
          </cell>
          <cell r="BJ54">
            <v>0.78010000000000002</v>
          </cell>
          <cell r="BK54">
            <v>0.76980000000000004</v>
          </cell>
          <cell r="BL54">
            <v>0.71109999999999995</v>
          </cell>
          <cell r="BM54">
            <v>0.74939999999999996</v>
          </cell>
          <cell r="BN54">
            <v>0.82</v>
          </cell>
          <cell r="BO54">
            <v>0.8234999999999999</v>
          </cell>
          <cell r="BP54">
            <v>0.71230000000000004</v>
          </cell>
          <cell r="BQ54">
            <v>0.77180000000000004</v>
          </cell>
          <cell r="BR54">
            <v>0.82440000000000002</v>
          </cell>
          <cell r="BS54">
            <v>0.78500000000000003</v>
          </cell>
          <cell r="BT54">
            <v>0.66849999999999998</v>
          </cell>
          <cell r="BU54">
            <v>0.65349999999999997</v>
          </cell>
          <cell r="BV54">
            <v>0.64849999999999997</v>
          </cell>
          <cell r="BW54">
            <v>0.67030000000000001</v>
          </cell>
          <cell r="BX54">
            <v>0.67030000000000001</v>
          </cell>
          <cell r="BY54">
            <v>0.6765000000000001</v>
          </cell>
          <cell r="BZ54">
            <v>0.74019999999999997</v>
          </cell>
          <cell r="CA54">
            <v>0.75749999999999995</v>
          </cell>
          <cell r="CB54">
            <v>0.66949999999999998</v>
          </cell>
          <cell r="CC54">
            <v>0.75340000000000007</v>
          </cell>
          <cell r="CD54">
            <v>0.82569999999999988</v>
          </cell>
          <cell r="CE54">
            <v>0.76090000000000002</v>
          </cell>
          <cell r="CF54">
            <v>0.64529999999999998</v>
          </cell>
          <cell r="CG54">
            <v>0.72160000000000002</v>
          </cell>
          <cell r="CH54">
            <v>0.75120000000000009</v>
          </cell>
          <cell r="CI54">
            <v>0.77760000000000007</v>
          </cell>
          <cell r="CJ54">
            <v>0.65390000000000004</v>
          </cell>
          <cell r="CK54">
            <v>0.68</v>
          </cell>
          <cell r="CL54">
            <v>0.72819999999999996</v>
          </cell>
          <cell r="CM54">
            <v>0.74280000000000002</v>
          </cell>
          <cell r="CN54">
            <v>0.6724</v>
          </cell>
          <cell r="CO54">
            <v>0.73580000000000001</v>
          </cell>
          <cell r="CP54">
            <v>0.77579999999999993</v>
          </cell>
          <cell r="CQ54">
            <v>0.78079999999999994</v>
          </cell>
          <cell r="CR54">
            <v>0.71799999999999997</v>
          </cell>
          <cell r="CS54">
            <v>0.74140000000000006</v>
          </cell>
        </row>
        <row r="55">
          <cell r="B55" t="str">
            <v>Hotel Total</v>
          </cell>
          <cell r="C55" t="str">
            <v>NA</v>
          </cell>
          <cell r="D55" t="str">
            <v>NA</v>
          </cell>
          <cell r="E55" t="str">
            <v>NA</v>
          </cell>
          <cell r="F55" t="str">
            <v>NA</v>
          </cell>
          <cell r="G55" t="str">
            <v>NA</v>
          </cell>
          <cell r="H55" t="str">
            <v>NA</v>
          </cell>
          <cell r="I55" t="str">
            <v>NA</v>
          </cell>
          <cell r="J55" t="str">
            <v>NA</v>
          </cell>
          <cell r="K55">
            <v>0.55420000000000003</v>
          </cell>
          <cell r="L55">
            <v>0.50369999999999993</v>
          </cell>
          <cell r="M55">
            <v>0.62509999999999999</v>
          </cell>
          <cell r="N55">
            <v>0.54949999999999999</v>
          </cell>
          <cell r="O55">
            <v>0.60670000000000002</v>
          </cell>
          <cell r="P55">
            <v>0.60919999999999996</v>
          </cell>
          <cell r="Q55">
            <v>0.53510000000000002</v>
          </cell>
          <cell r="R55">
            <v>0.62159999999999993</v>
          </cell>
          <cell r="S55">
            <v>0.67359999999999998</v>
          </cell>
          <cell r="T55">
            <v>0.56220000000000003</v>
          </cell>
          <cell r="U55">
            <v>0.59499999999999997</v>
          </cell>
          <cell r="V55">
            <v>0.60699999999999998</v>
          </cell>
          <cell r="W55">
            <v>0.61240000000000006</v>
          </cell>
          <cell r="X55">
            <v>0.57799999999999996</v>
          </cell>
          <cell r="Y55">
            <v>0.53410000000000002</v>
          </cell>
          <cell r="Z55">
            <v>0.5948</v>
          </cell>
          <cell r="AA55">
            <v>0.626</v>
          </cell>
          <cell r="AB55">
            <v>0.59279999999999999</v>
          </cell>
          <cell r="AC55">
            <v>0.62250000000000005</v>
          </cell>
          <cell r="AD55">
            <v>0.6581999999999999</v>
          </cell>
          <cell r="AE55">
            <v>0.71629999999999994</v>
          </cell>
          <cell r="AF55">
            <v>0.57769999999999999</v>
          </cell>
          <cell r="AG55">
            <v>0.63819999999999999</v>
          </cell>
          <cell r="AH55">
            <v>0.6542</v>
          </cell>
          <cell r="AI55">
            <v>0.69140000000000001</v>
          </cell>
          <cell r="AJ55">
            <v>0.59060000000000001</v>
          </cell>
          <cell r="AK55">
            <v>0.65159999999999996</v>
          </cell>
          <cell r="AL55">
            <v>0.67249999999999999</v>
          </cell>
          <cell r="AM55">
            <v>0.72540000000000004</v>
          </cell>
          <cell r="AN55">
            <v>0.70510000000000006</v>
          </cell>
          <cell r="AO55">
            <v>0.61909999999999998</v>
          </cell>
          <cell r="AP55">
            <v>0.71400000000000008</v>
          </cell>
          <cell r="AQ55">
            <v>0.78980000000000006</v>
          </cell>
          <cell r="AR55">
            <v>0.65</v>
          </cell>
          <cell r="AS55">
            <v>0.65659999999999996</v>
          </cell>
          <cell r="AT55">
            <v>0.76159999999999994</v>
          </cell>
          <cell r="AU55">
            <v>0.7641</v>
          </cell>
          <cell r="AV55">
            <v>0.62480000000000002</v>
          </cell>
          <cell r="AW55">
            <v>0.69599999999999995</v>
          </cell>
          <cell r="AX55">
            <v>0.69230000000000003</v>
          </cell>
          <cell r="AY55">
            <v>0.45369999999999999</v>
          </cell>
          <cell r="AZ55">
            <v>0.3342</v>
          </cell>
          <cell r="BA55">
            <v>0.5141</v>
          </cell>
          <cell r="BB55">
            <v>0.6923999999999999</v>
          </cell>
          <cell r="BC55">
            <v>0.87379999999999991</v>
          </cell>
          <cell r="BD55">
            <v>0.70609999999999995</v>
          </cell>
          <cell r="BE55">
            <v>0.74970000000000003</v>
          </cell>
          <cell r="BF55">
            <v>0.81489999999999996</v>
          </cell>
          <cell r="BG55">
            <v>0.79579999999999995</v>
          </cell>
          <cell r="BH55">
            <v>0.68669999999999998</v>
          </cell>
          <cell r="BI55">
            <v>0.66520000000000001</v>
          </cell>
          <cell r="BJ55">
            <v>0.80449999999999999</v>
          </cell>
          <cell r="BK55">
            <v>0.79449999999999998</v>
          </cell>
          <cell r="BL55">
            <v>0.73299999999999998</v>
          </cell>
          <cell r="BM55">
            <v>0.77370000000000005</v>
          </cell>
          <cell r="BN55">
            <v>0.84670000000000001</v>
          </cell>
          <cell r="BO55">
            <v>0.84770000000000001</v>
          </cell>
          <cell r="BP55">
            <v>0.73439999999999994</v>
          </cell>
          <cell r="BQ55">
            <v>0.79200000000000004</v>
          </cell>
          <cell r="BR55">
            <v>0.84620000000000006</v>
          </cell>
          <cell r="BS55">
            <v>0.80519999999999992</v>
          </cell>
          <cell r="BT55">
            <v>0.68440000000000001</v>
          </cell>
          <cell r="BU55">
            <v>0.66739999999999999</v>
          </cell>
          <cell r="BV55">
            <v>0.66200000000000003</v>
          </cell>
          <cell r="BW55">
            <v>0.68340000000000001</v>
          </cell>
          <cell r="BX55">
            <v>0.68310000000000004</v>
          </cell>
          <cell r="BY55">
            <v>0.69010000000000005</v>
          </cell>
          <cell r="BZ55">
            <v>0.755</v>
          </cell>
          <cell r="CA55">
            <v>0.77349999999999997</v>
          </cell>
          <cell r="CB55">
            <v>0.68120000000000003</v>
          </cell>
          <cell r="CC55">
            <v>0.76780000000000004</v>
          </cell>
          <cell r="CD55">
            <v>0.8427</v>
          </cell>
          <cell r="CE55">
            <v>0.7752</v>
          </cell>
          <cell r="CF55">
            <v>0.65469999999999995</v>
          </cell>
          <cell r="CG55">
            <v>0.73540000000000005</v>
          </cell>
          <cell r="CH55">
            <v>0.76639999999999997</v>
          </cell>
          <cell r="CI55">
            <v>0.79290000000000005</v>
          </cell>
          <cell r="CJ55">
            <v>0.66670000000000007</v>
          </cell>
          <cell r="CK55">
            <v>0.69330000000000003</v>
          </cell>
          <cell r="CL55">
            <v>0.74170000000000003</v>
          </cell>
          <cell r="CM55">
            <v>0.75470000000000004</v>
          </cell>
          <cell r="CN55">
            <v>0.68149999999999999</v>
          </cell>
          <cell r="CO55">
            <v>0.74739999999999995</v>
          </cell>
          <cell r="CP55">
            <v>0.78769999999999996</v>
          </cell>
          <cell r="CQ55">
            <v>0.79299999999999993</v>
          </cell>
          <cell r="CR55">
            <v>0.72739999999999994</v>
          </cell>
          <cell r="CS55">
            <v>0.75060000000000004</v>
          </cell>
        </row>
        <row r="56">
          <cell r="B56" t="str">
            <v>5-star hotels</v>
          </cell>
          <cell r="C56">
            <v>0.80720000000000003</v>
          </cell>
          <cell r="D56">
            <v>0.67790000000000006</v>
          </cell>
          <cell r="E56">
            <v>0.57279999999999998</v>
          </cell>
          <cell r="F56">
            <v>0.58360000000000001</v>
          </cell>
          <cell r="G56">
            <v>0.63470000000000004</v>
          </cell>
          <cell r="H56">
            <v>0.68650000000000011</v>
          </cell>
          <cell r="I56">
            <v>0.52090000000000003</v>
          </cell>
          <cell r="J56">
            <v>0.55010000000000003</v>
          </cell>
          <cell r="K56">
            <v>0.55279999999999996</v>
          </cell>
          <cell r="L56">
            <v>0.50549999999999995</v>
          </cell>
          <cell r="M56">
            <v>0.64319999999999988</v>
          </cell>
          <cell r="N56">
            <v>0.57369999999999999</v>
          </cell>
          <cell r="O56">
            <v>0.64139999999999997</v>
          </cell>
          <cell r="P56">
            <v>0.65079999999999993</v>
          </cell>
          <cell r="Q56">
            <v>0.56979999999999997</v>
          </cell>
          <cell r="R56">
            <v>0.65949999999999998</v>
          </cell>
          <cell r="S56">
            <v>0.70269999999999999</v>
          </cell>
          <cell r="T56">
            <v>0.59430000000000005</v>
          </cell>
          <cell r="U56">
            <v>0.62360000000000004</v>
          </cell>
          <cell r="V56">
            <v>0.60429999999999995</v>
          </cell>
          <cell r="W56">
            <v>0.63429999999999997</v>
          </cell>
          <cell r="X56">
            <v>0.59079999999999999</v>
          </cell>
          <cell r="Y56">
            <v>0.55479999999999996</v>
          </cell>
          <cell r="Z56">
            <v>0.60819999999999996</v>
          </cell>
          <cell r="AA56">
            <v>0.61840000000000006</v>
          </cell>
          <cell r="AB56">
            <v>0.60209999999999997</v>
          </cell>
          <cell r="AC56">
            <v>0.61450000000000005</v>
          </cell>
          <cell r="AD56">
            <v>0.64569999999999994</v>
          </cell>
          <cell r="AE56">
            <v>0.72189999999999999</v>
          </cell>
          <cell r="AF56">
            <v>0.56020000000000003</v>
          </cell>
          <cell r="AG56">
            <v>0.63479999999999992</v>
          </cell>
          <cell r="AH56">
            <v>0.63890000000000002</v>
          </cell>
          <cell r="AI56">
            <v>0.66590000000000005</v>
          </cell>
          <cell r="AJ56">
            <v>0.57320000000000004</v>
          </cell>
          <cell r="AK56">
            <v>0.62549999999999994</v>
          </cell>
          <cell r="AL56">
            <v>0.66680000000000006</v>
          </cell>
          <cell r="AM56">
            <v>0.66810000000000003</v>
          </cell>
          <cell r="AN56">
            <v>0.70469999999999999</v>
          </cell>
          <cell r="AO56">
            <v>0.60329999999999995</v>
          </cell>
          <cell r="AP56">
            <v>0.68629999999999991</v>
          </cell>
          <cell r="AQ56">
            <v>0.76129999999999998</v>
          </cell>
          <cell r="AR56">
            <v>0.62229999999999996</v>
          </cell>
          <cell r="AS56">
            <v>0.66150000000000009</v>
          </cell>
          <cell r="AT56">
            <v>0.71560000000000001</v>
          </cell>
          <cell r="AU56">
            <v>0.73069999999999991</v>
          </cell>
          <cell r="AV56">
            <v>0.60840000000000005</v>
          </cell>
          <cell r="AW56">
            <v>0.70239999999999991</v>
          </cell>
          <cell r="AX56">
            <v>0.6631999999999999</v>
          </cell>
          <cell r="AY56">
            <v>0.47149999999999997</v>
          </cell>
          <cell r="AZ56">
            <v>0.41969999999999996</v>
          </cell>
          <cell r="BA56">
            <v>0.56899999999999995</v>
          </cell>
          <cell r="BB56">
            <v>0.73239999999999994</v>
          </cell>
          <cell r="BC56">
            <v>0.86849999999999994</v>
          </cell>
          <cell r="BD56">
            <v>0.71290000000000009</v>
          </cell>
          <cell r="BE56">
            <v>0.78120000000000001</v>
          </cell>
          <cell r="BF56">
            <v>0.76780000000000004</v>
          </cell>
          <cell r="BG56">
            <v>0.75060000000000004</v>
          </cell>
          <cell r="BH56">
            <v>0.67930000000000001</v>
          </cell>
          <cell r="BI56">
            <v>0.67049999999999998</v>
          </cell>
          <cell r="BJ56">
            <v>0.74080000000000001</v>
          </cell>
          <cell r="BK56">
            <v>0.7681</v>
          </cell>
          <cell r="BL56">
            <v>0.74870000000000003</v>
          </cell>
          <cell r="BM56">
            <v>0.76249999999999996</v>
          </cell>
          <cell r="BN56">
            <v>0.83779999999999999</v>
          </cell>
          <cell r="BO56">
            <v>0.83209999999999995</v>
          </cell>
          <cell r="BP56">
            <v>0.72089999999999999</v>
          </cell>
          <cell r="BQ56">
            <v>0.80049999999999999</v>
          </cell>
          <cell r="BR56">
            <v>0.82590000000000008</v>
          </cell>
          <cell r="BS56">
            <v>0.80010000000000003</v>
          </cell>
          <cell r="BT56">
            <v>0.70209999999999995</v>
          </cell>
          <cell r="BU56">
            <v>0.68049999999999999</v>
          </cell>
          <cell r="BV56">
            <v>0.6765000000000001</v>
          </cell>
          <cell r="BW56">
            <v>0.69489999999999996</v>
          </cell>
          <cell r="BX56">
            <v>0.69090000000000007</v>
          </cell>
          <cell r="BY56">
            <v>0.68659999999999999</v>
          </cell>
          <cell r="BZ56">
            <v>0.71189999999999998</v>
          </cell>
          <cell r="CA56">
            <v>0.74849999999999994</v>
          </cell>
          <cell r="CB56">
            <v>0.68059999999999998</v>
          </cell>
          <cell r="CC56">
            <v>0.77859999999999996</v>
          </cell>
          <cell r="CD56">
            <v>0.80969999999999998</v>
          </cell>
          <cell r="CE56">
            <v>0.74639999999999995</v>
          </cell>
          <cell r="CF56">
            <v>0.64190000000000003</v>
          </cell>
          <cell r="CG56">
            <v>0.69950000000000001</v>
          </cell>
          <cell r="CH56">
            <v>0.70330000000000004</v>
          </cell>
          <cell r="CI56">
            <v>0.73120000000000007</v>
          </cell>
          <cell r="CJ56">
            <v>0.63070000000000004</v>
          </cell>
          <cell r="CK56">
            <v>0.62029999999999996</v>
          </cell>
          <cell r="CL56">
            <v>0.65410000000000001</v>
          </cell>
          <cell r="CM56">
            <v>0.70330000000000004</v>
          </cell>
          <cell r="CN56">
            <v>0.64759999999999995</v>
          </cell>
          <cell r="CO56">
            <v>0.71189999999999998</v>
          </cell>
          <cell r="CP56">
            <v>0.7229000000000001</v>
          </cell>
          <cell r="CQ56">
            <v>0.7198</v>
          </cell>
          <cell r="CR56">
            <v>0.70189999999999997</v>
          </cell>
          <cell r="CS56">
            <v>0.71360000000000001</v>
          </cell>
        </row>
        <row r="57">
          <cell r="B57" t="str">
            <v>4-star hotels</v>
          </cell>
          <cell r="C57" t="str">
            <v>NA</v>
          </cell>
          <cell r="D57" t="str">
            <v>NA</v>
          </cell>
          <cell r="E57" t="str">
            <v>NA</v>
          </cell>
          <cell r="F57" t="str">
            <v>NA</v>
          </cell>
          <cell r="G57" t="str">
            <v>NA</v>
          </cell>
          <cell r="H57" t="str">
            <v>NA</v>
          </cell>
          <cell r="I57" t="str">
            <v>NA</v>
          </cell>
          <cell r="J57">
            <v>0.53839999999999999</v>
          </cell>
          <cell r="K57">
            <v>0.5877</v>
          </cell>
          <cell r="L57">
            <v>0.46920000000000001</v>
          </cell>
          <cell r="M57">
            <v>0.62</v>
          </cell>
          <cell r="N57">
            <v>0.52929999999999999</v>
          </cell>
          <cell r="O57">
            <v>0.59860000000000002</v>
          </cell>
          <cell r="P57">
            <v>0.63419999999999999</v>
          </cell>
          <cell r="Q57">
            <v>0.5383</v>
          </cell>
          <cell r="R57">
            <v>0.64049999999999996</v>
          </cell>
          <cell r="S57">
            <v>0.70510000000000006</v>
          </cell>
          <cell r="T57">
            <v>0.55820000000000003</v>
          </cell>
          <cell r="U57">
            <v>0.61809999999999998</v>
          </cell>
          <cell r="V57">
            <v>0.61939999999999995</v>
          </cell>
          <cell r="W57">
            <v>0.61609999999999998</v>
          </cell>
          <cell r="X57">
            <v>0.58950000000000002</v>
          </cell>
          <cell r="Y57">
            <v>0.5524</v>
          </cell>
          <cell r="Z57">
            <v>0.63090000000000002</v>
          </cell>
          <cell r="AA57">
            <v>0.68430000000000002</v>
          </cell>
          <cell r="AB57">
            <v>0.61990000000000001</v>
          </cell>
          <cell r="AC57">
            <v>0.68099999999999994</v>
          </cell>
          <cell r="AD57">
            <v>0.72680000000000011</v>
          </cell>
          <cell r="AE57">
            <v>0.76359999999999995</v>
          </cell>
          <cell r="AF57">
            <v>0.63080000000000003</v>
          </cell>
          <cell r="AG57">
            <v>0.68230000000000002</v>
          </cell>
          <cell r="AH57">
            <v>0.72209999999999996</v>
          </cell>
          <cell r="AI57">
            <v>0.73829999999999996</v>
          </cell>
          <cell r="AJ57">
            <v>0.61099999999999999</v>
          </cell>
          <cell r="AK57">
            <v>0.67659999999999998</v>
          </cell>
          <cell r="AL57">
            <v>0.70519999999999994</v>
          </cell>
          <cell r="AM57">
            <v>0.80689999999999995</v>
          </cell>
          <cell r="AN57">
            <v>0.73699999999999999</v>
          </cell>
          <cell r="AO57">
            <v>0.66790000000000005</v>
          </cell>
          <cell r="AP57">
            <v>0.76639999999999997</v>
          </cell>
          <cell r="AQ57">
            <v>0.8397</v>
          </cell>
          <cell r="AR57">
            <v>0.70469999999999999</v>
          </cell>
          <cell r="AS57">
            <v>0.69330000000000003</v>
          </cell>
          <cell r="AT57">
            <v>0.83979999999999999</v>
          </cell>
          <cell r="AU57">
            <v>0.81510000000000005</v>
          </cell>
          <cell r="AV57">
            <v>0.64629999999999999</v>
          </cell>
          <cell r="AW57">
            <v>0.71420000000000006</v>
          </cell>
          <cell r="AX57">
            <v>0.74120000000000008</v>
          </cell>
          <cell r="AY57">
            <v>0.46450000000000002</v>
          </cell>
          <cell r="AZ57">
            <v>0.2984</v>
          </cell>
          <cell r="BA57">
            <v>0.53010000000000002</v>
          </cell>
          <cell r="BB57">
            <v>0.70660000000000001</v>
          </cell>
          <cell r="BC57">
            <v>0.87719999999999998</v>
          </cell>
          <cell r="BD57">
            <v>0.70369999999999999</v>
          </cell>
          <cell r="BE57">
            <v>0.7278</v>
          </cell>
          <cell r="BF57">
            <v>0.81769999999999998</v>
          </cell>
          <cell r="BG57">
            <v>0.82730000000000004</v>
          </cell>
          <cell r="BH57">
            <v>0.68819999999999992</v>
          </cell>
          <cell r="BI57">
            <v>0.6512</v>
          </cell>
          <cell r="BJ57">
            <v>0.8640000000000001</v>
          </cell>
          <cell r="BK57">
            <v>0.81530000000000002</v>
          </cell>
          <cell r="BL57">
            <v>0.73499999999999999</v>
          </cell>
          <cell r="BM57">
            <v>0.81540000000000001</v>
          </cell>
          <cell r="BN57">
            <v>0.8751000000000001</v>
          </cell>
          <cell r="BO57">
            <v>0.87180000000000002</v>
          </cell>
          <cell r="BP57">
            <v>0.74919999999999998</v>
          </cell>
          <cell r="BQ57">
            <v>0.7964</v>
          </cell>
          <cell r="BR57">
            <v>0.86959999999999993</v>
          </cell>
          <cell r="BS57">
            <v>0.82599999999999996</v>
          </cell>
          <cell r="BT57">
            <v>0.68540000000000001</v>
          </cell>
          <cell r="BU57">
            <v>0.65049999999999997</v>
          </cell>
          <cell r="BV57">
            <v>0.63450000000000006</v>
          </cell>
          <cell r="BW57">
            <v>0.65099999999999991</v>
          </cell>
          <cell r="BX57">
            <v>0.66909999999999992</v>
          </cell>
          <cell r="BY57">
            <v>0.68889999999999996</v>
          </cell>
          <cell r="BZ57">
            <v>0.76060000000000005</v>
          </cell>
          <cell r="CA57">
            <v>0.74569999999999992</v>
          </cell>
          <cell r="CB57">
            <v>0.64489999999999992</v>
          </cell>
          <cell r="CC57">
            <v>0.74439999999999995</v>
          </cell>
          <cell r="CD57">
            <v>0.85560000000000003</v>
          </cell>
          <cell r="CE57">
            <v>0.78760000000000008</v>
          </cell>
          <cell r="CF57">
            <v>0.67010000000000003</v>
          </cell>
          <cell r="CG57">
            <v>0.76519999999999999</v>
          </cell>
          <cell r="CH57">
            <v>0.78639999999999999</v>
          </cell>
          <cell r="CI57">
            <v>0.82209999999999994</v>
          </cell>
          <cell r="CJ57">
            <v>0.67790000000000006</v>
          </cell>
          <cell r="CK57">
            <v>0.75829999999999997</v>
          </cell>
          <cell r="CL57">
            <v>0.82640000000000002</v>
          </cell>
          <cell r="CM57">
            <v>0.80230000000000001</v>
          </cell>
          <cell r="CN57">
            <v>0.73570000000000002</v>
          </cell>
          <cell r="CO57">
            <v>0.80159999999999998</v>
          </cell>
          <cell r="CP57">
            <v>0.85010000000000008</v>
          </cell>
          <cell r="CQ57">
            <v>0.87019999999999997</v>
          </cell>
          <cell r="CR57">
            <v>0.7923</v>
          </cell>
          <cell r="CS57">
            <v>0.8125</v>
          </cell>
        </row>
        <row r="58">
          <cell r="B58" t="str">
            <v>3-star hotels</v>
          </cell>
          <cell r="C58">
            <v>0.82650000000000001</v>
          </cell>
          <cell r="D58">
            <v>0.64489999999999992</v>
          </cell>
          <cell r="E58">
            <v>0.64680000000000004</v>
          </cell>
          <cell r="F58">
            <v>0.63490000000000002</v>
          </cell>
          <cell r="G58">
            <v>0.63829999999999998</v>
          </cell>
          <cell r="H58">
            <v>0.67749999999999999</v>
          </cell>
          <cell r="I58">
            <v>0.63319999999999999</v>
          </cell>
          <cell r="J58">
            <v>0.61970000000000003</v>
          </cell>
          <cell r="K58">
            <v>0.65879999999999994</v>
          </cell>
          <cell r="L58">
            <v>0.64590000000000003</v>
          </cell>
          <cell r="M58">
            <v>0.73499999999999999</v>
          </cell>
          <cell r="N58">
            <v>0.65739999999999998</v>
          </cell>
          <cell r="O58">
            <v>0.69</v>
          </cell>
          <cell r="P58">
            <v>0.65939999999999999</v>
          </cell>
          <cell r="Q58">
            <v>0.60159999999999991</v>
          </cell>
          <cell r="R58">
            <v>0.67709999999999992</v>
          </cell>
          <cell r="S58">
            <v>0.75099999999999989</v>
          </cell>
          <cell r="T58">
            <v>0.65680000000000005</v>
          </cell>
          <cell r="U58">
            <v>0.67810000000000004</v>
          </cell>
          <cell r="V58">
            <v>0.73530000000000006</v>
          </cell>
          <cell r="W58">
            <v>0.70860000000000001</v>
          </cell>
          <cell r="X58">
            <v>0.64599999999999991</v>
          </cell>
          <cell r="Y58">
            <v>0.59989999999999999</v>
          </cell>
          <cell r="Z58">
            <v>0.66510000000000002</v>
          </cell>
          <cell r="AA58">
            <v>0.69779999999999998</v>
          </cell>
          <cell r="AB58">
            <v>0.69110000000000005</v>
          </cell>
          <cell r="AC58">
            <v>0.71870000000000001</v>
          </cell>
          <cell r="AD58">
            <v>0.75849999999999995</v>
          </cell>
          <cell r="AE58">
            <v>0.81810000000000005</v>
          </cell>
          <cell r="AF58">
            <v>0.67310000000000003</v>
          </cell>
          <cell r="AG58">
            <v>0.74029999999999996</v>
          </cell>
          <cell r="AH58">
            <v>0.75540000000000007</v>
          </cell>
          <cell r="AI58">
            <v>0.84239999999999993</v>
          </cell>
          <cell r="AJ58">
            <v>0.71340000000000003</v>
          </cell>
          <cell r="AK58">
            <v>0.77829999999999999</v>
          </cell>
          <cell r="AL58">
            <v>0.7752</v>
          </cell>
          <cell r="AM58">
            <v>0.85980000000000001</v>
          </cell>
          <cell r="AN58">
            <v>0.80730000000000002</v>
          </cell>
          <cell r="AO58">
            <v>0.69900000000000007</v>
          </cell>
          <cell r="AP58">
            <v>0.79949999999999999</v>
          </cell>
          <cell r="AQ58">
            <v>0.90029999999999999</v>
          </cell>
          <cell r="AR58">
            <v>0.73080000000000001</v>
          </cell>
          <cell r="AS58">
            <v>0.73</v>
          </cell>
          <cell r="AT58">
            <v>0.88629999999999998</v>
          </cell>
          <cell r="AU58">
            <v>0.90319999999999989</v>
          </cell>
          <cell r="AV58">
            <v>0.75439999999999996</v>
          </cell>
          <cell r="AW58">
            <v>0.77029999999999998</v>
          </cell>
          <cell r="AX58">
            <v>0.80449999999999999</v>
          </cell>
          <cell r="AY58">
            <v>0.48420000000000002</v>
          </cell>
          <cell r="AZ58">
            <v>0.29469999999999996</v>
          </cell>
          <cell r="BA58">
            <v>0.4919</v>
          </cell>
          <cell r="BB58">
            <v>0.74390000000000001</v>
          </cell>
          <cell r="BC58">
            <v>0.96060000000000001</v>
          </cell>
          <cell r="BD58">
            <v>0.8095</v>
          </cell>
          <cell r="BE58">
            <v>0.85589999999999999</v>
          </cell>
          <cell r="BF58">
            <v>0.96209999999999996</v>
          </cell>
          <cell r="BG58">
            <v>0.9131999999999999</v>
          </cell>
          <cell r="BH58">
            <v>0.77870000000000006</v>
          </cell>
          <cell r="BI58">
            <v>0.78599999999999992</v>
          </cell>
          <cell r="BJ58">
            <v>0.92569999999999997</v>
          </cell>
          <cell r="BK58">
            <v>0.8891</v>
          </cell>
          <cell r="BL58">
            <v>0.79150000000000009</v>
          </cell>
          <cell r="BM58">
            <v>0.85030000000000006</v>
          </cell>
          <cell r="BN58">
            <v>0.90379999999999994</v>
          </cell>
          <cell r="BO58">
            <v>0.91969999999999996</v>
          </cell>
          <cell r="BP58">
            <v>0.84409999999999996</v>
          </cell>
          <cell r="BQ58">
            <v>0.86919999999999997</v>
          </cell>
          <cell r="BR58">
            <v>0.92220000000000002</v>
          </cell>
          <cell r="BS58">
            <v>0.87620000000000009</v>
          </cell>
          <cell r="BT58">
            <v>0.72950000000000004</v>
          </cell>
          <cell r="BU58">
            <v>0.70469999999999999</v>
          </cell>
          <cell r="BV58">
            <v>0.74199999999999999</v>
          </cell>
          <cell r="BW58">
            <v>0.76930000000000009</v>
          </cell>
          <cell r="BX58">
            <v>0.7641</v>
          </cell>
          <cell r="BY58">
            <v>0.78280000000000005</v>
          </cell>
          <cell r="BZ58">
            <v>0.85370000000000001</v>
          </cell>
          <cell r="CA58">
            <v>0.90310000000000001</v>
          </cell>
          <cell r="CB58">
            <v>0.78449999999999998</v>
          </cell>
          <cell r="CC58">
            <v>0.84250000000000003</v>
          </cell>
          <cell r="CD58">
            <v>0.90709999999999991</v>
          </cell>
          <cell r="CE58">
            <v>0.84219999999999995</v>
          </cell>
          <cell r="CF58">
            <v>0.70409999999999995</v>
          </cell>
          <cell r="CG58">
            <v>0.79500000000000004</v>
          </cell>
          <cell r="CH58">
            <v>0.86</v>
          </cell>
          <cell r="CI58">
            <v>0.86680000000000001</v>
          </cell>
          <cell r="CJ58">
            <v>0.73560000000000003</v>
          </cell>
          <cell r="CK58">
            <v>0.75529999999999997</v>
          </cell>
          <cell r="CL58">
            <v>0.77739999999999998</v>
          </cell>
          <cell r="CM58">
            <v>0.79370000000000007</v>
          </cell>
          <cell r="CN58">
            <v>0.69789999999999996</v>
          </cell>
          <cell r="CO58">
            <v>0.76900000000000002</v>
          </cell>
          <cell r="CP58">
            <v>0.82779999999999998</v>
          </cell>
          <cell r="CQ58">
            <v>0.83510000000000006</v>
          </cell>
          <cell r="CR58">
            <v>0.72920000000000007</v>
          </cell>
          <cell r="CS58">
            <v>0.76260000000000006</v>
          </cell>
        </row>
        <row r="59">
          <cell r="B59" t="str">
            <v>2-star hotels</v>
          </cell>
          <cell r="C59">
            <v>0.68420000000000003</v>
          </cell>
          <cell r="D59">
            <v>0.68079999999999996</v>
          </cell>
          <cell r="E59">
            <v>0.60329999999999995</v>
          </cell>
          <cell r="F59">
            <v>0.47899999999999998</v>
          </cell>
          <cell r="G59">
            <v>0.39979999999999999</v>
          </cell>
          <cell r="H59">
            <v>0.38630000000000003</v>
          </cell>
          <cell r="I59">
            <v>0.28360000000000002</v>
          </cell>
          <cell r="J59">
            <v>0.28539999999999999</v>
          </cell>
          <cell r="K59">
            <v>0.28610000000000002</v>
          </cell>
          <cell r="L59">
            <v>0.28320000000000001</v>
          </cell>
          <cell r="M59">
            <v>0.38770000000000004</v>
          </cell>
          <cell r="N59">
            <v>0.33640000000000003</v>
          </cell>
          <cell r="O59">
            <v>0.3533</v>
          </cell>
          <cell r="P59">
            <v>0.32700000000000001</v>
          </cell>
          <cell r="Q59">
            <v>0.29339999999999999</v>
          </cell>
          <cell r="R59">
            <v>0.35049999999999998</v>
          </cell>
          <cell r="S59">
            <v>0.35560000000000003</v>
          </cell>
          <cell r="T59">
            <v>0.29830000000000001</v>
          </cell>
          <cell r="U59">
            <v>0.29070000000000001</v>
          </cell>
          <cell r="V59">
            <v>0.30620000000000003</v>
          </cell>
          <cell r="W59">
            <v>0.32030000000000003</v>
          </cell>
          <cell r="X59">
            <v>0.3538</v>
          </cell>
          <cell r="Y59">
            <v>0.26640000000000003</v>
          </cell>
          <cell r="Z59">
            <v>0.28839999999999999</v>
          </cell>
          <cell r="AA59">
            <v>0.32119999999999999</v>
          </cell>
          <cell r="AB59">
            <v>0.28410000000000002</v>
          </cell>
          <cell r="AC59">
            <v>0.30449999999999999</v>
          </cell>
          <cell r="AD59">
            <v>0.31670000000000004</v>
          </cell>
          <cell r="AE59">
            <v>0.34909999999999997</v>
          </cell>
          <cell r="AF59">
            <v>0.28720000000000001</v>
          </cell>
          <cell r="AG59">
            <v>0.31069999999999998</v>
          </cell>
          <cell r="AH59">
            <v>0.3</v>
          </cell>
          <cell r="AI59">
            <v>0.33360000000000001</v>
          </cell>
          <cell r="AJ59">
            <v>0.31319999999999998</v>
          </cell>
          <cell r="AK59">
            <v>0.38280000000000003</v>
          </cell>
          <cell r="AL59">
            <v>0.35220000000000001</v>
          </cell>
          <cell r="AM59">
            <v>0.37079999999999996</v>
          </cell>
          <cell r="AN59">
            <v>0.36409999999999998</v>
          </cell>
          <cell r="AO59">
            <v>0.31359999999999999</v>
          </cell>
          <cell r="AP59">
            <v>0.3705</v>
          </cell>
          <cell r="AQ59">
            <v>0.38659999999999994</v>
          </cell>
          <cell r="AR59">
            <v>0.3115</v>
          </cell>
          <cell r="AS59">
            <v>0.33520000000000005</v>
          </cell>
          <cell r="AT59">
            <v>0.37959999999999999</v>
          </cell>
          <cell r="AU59">
            <v>0.39350000000000002</v>
          </cell>
          <cell r="AV59">
            <v>0.3115</v>
          </cell>
          <cell r="AW59">
            <v>0.43219999999999997</v>
          </cell>
          <cell r="AX59">
            <v>0.3639</v>
          </cell>
          <cell r="AY59">
            <v>0.2651</v>
          </cell>
          <cell r="AZ59">
            <v>0.2036</v>
          </cell>
          <cell r="BA59">
            <v>0.28070000000000001</v>
          </cell>
          <cell r="BB59">
            <v>0.3589</v>
          </cell>
          <cell r="BC59">
            <v>0.67379999999999995</v>
          </cell>
          <cell r="BD59">
            <v>0.45219999999999999</v>
          </cell>
          <cell r="BE59">
            <v>0.45740000000000003</v>
          </cell>
          <cell r="BF59">
            <v>0.66639999999999999</v>
          </cell>
          <cell r="BG59">
            <v>0.61350000000000005</v>
          </cell>
          <cell r="BH59">
            <v>0.50329999999999997</v>
          </cell>
          <cell r="BI59">
            <v>0.41240000000000004</v>
          </cell>
          <cell r="BJ59">
            <v>0.60770000000000002</v>
          </cell>
          <cell r="BK59">
            <v>0.62509999999999999</v>
          </cell>
          <cell r="BL59">
            <v>0.52369999999999994</v>
          </cell>
          <cell r="BM59">
            <v>0.51</v>
          </cell>
          <cell r="BN59">
            <v>0.66849999999999998</v>
          </cell>
          <cell r="BO59">
            <v>0.6926000000000001</v>
          </cell>
          <cell r="BP59">
            <v>0.53420000000000001</v>
          </cell>
          <cell r="BQ59">
            <v>0.5958</v>
          </cell>
          <cell r="BR59">
            <v>0.70530000000000004</v>
          </cell>
          <cell r="BS59">
            <v>0.61990000000000001</v>
          </cell>
          <cell r="BT59">
            <v>0.51549999999999996</v>
          </cell>
          <cell r="BU59">
            <v>0.58530000000000004</v>
          </cell>
          <cell r="BV59">
            <v>0.50029999999999997</v>
          </cell>
          <cell r="BW59">
            <v>0.54010000000000002</v>
          </cell>
          <cell r="BX59">
            <v>0.49299999999999999</v>
          </cell>
          <cell r="BY59">
            <v>0.46399999999999997</v>
          </cell>
          <cell r="BZ59">
            <v>0.64170000000000005</v>
          </cell>
          <cell r="CA59">
            <v>0.63759999999999994</v>
          </cell>
          <cell r="CB59">
            <v>0.55689999999999995</v>
          </cell>
          <cell r="CC59">
            <v>0.62029999999999996</v>
          </cell>
          <cell r="CD59">
            <v>0.73819999999999997</v>
          </cell>
          <cell r="CE59">
            <v>0.64739999999999998</v>
          </cell>
          <cell r="CF59">
            <v>0.48619999999999997</v>
          </cell>
          <cell r="CG59">
            <v>0.57050000000000001</v>
          </cell>
          <cell r="CH59">
            <v>0.63500000000000001</v>
          </cell>
          <cell r="CI59">
            <v>0.68019999999999992</v>
          </cell>
          <cell r="CJ59">
            <v>0.54369999999999996</v>
          </cell>
          <cell r="CK59">
            <v>0.51849999999999996</v>
          </cell>
          <cell r="CL59">
            <v>0.58420000000000005</v>
          </cell>
          <cell r="CM59">
            <v>0.60589999999999999</v>
          </cell>
          <cell r="CN59">
            <v>0.53069999999999995</v>
          </cell>
          <cell r="CO59">
            <v>0.5887</v>
          </cell>
          <cell r="CP59">
            <v>0.68590000000000007</v>
          </cell>
          <cell r="CQ59">
            <v>0.67430000000000012</v>
          </cell>
          <cell r="CR59">
            <v>0.55320000000000003</v>
          </cell>
          <cell r="CS59">
            <v>0.61799999999999999</v>
          </cell>
        </row>
        <row r="60">
          <cell r="B60" t="str">
            <v>Guest-houses</v>
          </cell>
          <cell r="C60">
            <v>0.33710000000000001</v>
          </cell>
          <cell r="D60">
            <v>0.32280000000000003</v>
          </cell>
          <cell r="E60">
            <v>0.3044</v>
          </cell>
          <cell r="F60">
            <v>0.27479999999999999</v>
          </cell>
          <cell r="G60">
            <v>0.2727</v>
          </cell>
          <cell r="H60">
            <v>0.27339999999999998</v>
          </cell>
          <cell r="I60">
            <v>0.30480000000000002</v>
          </cell>
          <cell r="J60">
            <v>0.29520000000000002</v>
          </cell>
          <cell r="K60">
            <v>0.30790000000000001</v>
          </cell>
          <cell r="L60">
            <v>0.33759999999999996</v>
          </cell>
          <cell r="M60">
            <v>0.39069999999999999</v>
          </cell>
          <cell r="N60">
            <v>0.34079999999999999</v>
          </cell>
          <cell r="O60">
            <v>0.35590000000000005</v>
          </cell>
          <cell r="P60">
            <v>0.35680000000000001</v>
          </cell>
          <cell r="Q60">
            <v>0.33250000000000002</v>
          </cell>
          <cell r="R60">
            <v>0.3664</v>
          </cell>
          <cell r="S60">
            <v>0.36829999999999996</v>
          </cell>
          <cell r="T60">
            <v>0.32850000000000001</v>
          </cell>
          <cell r="U60">
            <v>0.33829999999999999</v>
          </cell>
          <cell r="V60">
            <v>0.31739999999999996</v>
          </cell>
          <cell r="W60">
            <v>0.31670000000000004</v>
          </cell>
          <cell r="X60">
            <v>0.37880000000000003</v>
          </cell>
          <cell r="Y60">
            <v>0.32939999999999997</v>
          </cell>
          <cell r="Z60">
            <v>0.34179999999999999</v>
          </cell>
          <cell r="AA60">
            <v>0.34630000000000005</v>
          </cell>
          <cell r="AB60">
            <v>0.37219999999999998</v>
          </cell>
          <cell r="AC60">
            <v>0.31430000000000002</v>
          </cell>
          <cell r="AD60">
            <v>0.3674</v>
          </cell>
          <cell r="AE60">
            <v>0.37329999999999997</v>
          </cell>
          <cell r="AF60">
            <v>0.34200000000000003</v>
          </cell>
          <cell r="AG60">
            <v>0.36009999999999998</v>
          </cell>
          <cell r="AH60">
            <v>0.33679999999999999</v>
          </cell>
          <cell r="AI60">
            <v>0.37259999999999999</v>
          </cell>
          <cell r="AJ60">
            <v>0.33810000000000001</v>
          </cell>
          <cell r="AK60">
            <v>0.40450000000000003</v>
          </cell>
          <cell r="AL60">
            <v>0.37670000000000003</v>
          </cell>
          <cell r="AM60">
            <v>0.3901</v>
          </cell>
          <cell r="AN60">
            <v>0.39229999999999998</v>
          </cell>
          <cell r="AO60">
            <v>0.37829999999999997</v>
          </cell>
          <cell r="AP60">
            <v>0.40240000000000004</v>
          </cell>
          <cell r="AQ60">
            <v>0.40549999999999997</v>
          </cell>
          <cell r="AR60">
            <v>0.36009999999999998</v>
          </cell>
          <cell r="AS60">
            <v>0.37329999999999997</v>
          </cell>
          <cell r="AT60">
            <v>0.37439999999999996</v>
          </cell>
          <cell r="AU60">
            <v>0.37450000000000006</v>
          </cell>
          <cell r="AV60">
            <v>0.36049999999999999</v>
          </cell>
          <cell r="AW60">
            <v>0.42349999999999999</v>
          </cell>
          <cell r="AX60">
            <v>0.36340000000000006</v>
          </cell>
          <cell r="AY60">
            <v>0.27610000000000001</v>
          </cell>
          <cell r="AZ60">
            <v>0.22899999999999998</v>
          </cell>
          <cell r="BA60">
            <v>0.26530000000000004</v>
          </cell>
          <cell r="BB60">
            <v>0.33630000000000004</v>
          </cell>
          <cell r="BC60">
            <v>0.4158</v>
          </cell>
          <cell r="BD60">
            <v>0.35049999999999998</v>
          </cell>
          <cell r="BE60">
            <v>0.38630000000000003</v>
          </cell>
          <cell r="BF60">
            <v>0.43590000000000001</v>
          </cell>
          <cell r="BG60">
            <v>0.45740000000000003</v>
          </cell>
          <cell r="BH60">
            <v>0.3886</v>
          </cell>
          <cell r="BI60">
            <v>0.3397</v>
          </cell>
          <cell r="BJ60">
            <v>0.42219999999999996</v>
          </cell>
          <cell r="BK60">
            <v>0.40509999999999996</v>
          </cell>
          <cell r="BL60">
            <v>0.38799999999999996</v>
          </cell>
          <cell r="BM60">
            <v>0.38969999999999999</v>
          </cell>
          <cell r="BN60">
            <v>0.42210000000000003</v>
          </cell>
          <cell r="BO60">
            <v>0.45960000000000001</v>
          </cell>
          <cell r="BP60">
            <v>0.38250000000000001</v>
          </cell>
          <cell r="BQ60">
            <v>0.45539999999999997</v>
          </cell>
          <cell r="BR60">
            <v>0.47960000000000003</v>
          </cell>
          <cell r="BS60">
            <v>0.46700000000000003</v>
          </cell>
          <cell r="BT60">
            <v>0.41220000000000001</v>
          </cell>
          <cell r="BU60">
            <v>0.42509999999999998</v>
          </cell>
          <cell r="BV60">
            <v>0.41649999999999998</v>
          </cell>
          <cell r="BW60">
            <v>0.439</v>
          </cell>
          <cell r="BX60">
            <v>0.44679999999999997</v>
          </cell>
          <cell r="BY60">
            <v>0.4269</v>
          </cell>
          <cell r="BZ60">
            <v>0.47139999999999999</v>
          </cell>
          <cell r="CA60">
            <v>0.46799999999999997</v>
          </cell>
          <cell r="CB60">
            <v>0.4546</v>
          </cell>
          <cell r="CC60">
            <v>0.48880000000000001</v>
          </cell>
          <cell r="CD60">
            <v>0.50929999999999997</v>
          </cell>
          <cell r="CE60">
            <v>0.49209999999999998</v>
          </cell>
          <cell r="CF60">
            <v>0.46869999999999995</v>
          </cell>
          <cell r="CG60">
            <v>0.46130000000000004</v>
          </cell>
          <cell r="CH60">
            <v>0.45539999999999997</v>
          </cell>
          <cell r="CI60">
            <v>0.4783</v>
          </cell>
          <cell r="CJ60">
            <v>0.40509999999999996</v>
          </cell>
          <cell r="CK60">
            <v>0.41</v>
          </cell>
          <cell r="CL60">
            <v>0.45549999999999996</v>
          </cell>
          <cell r="CM60">
            <v>0.50039999999999996</v>
          </cell>
          <cell r="CN60">
            <v>0.47739999999999999</v>
          </cell>
          <cell r="CO60">
            <v>0.49</v>
          </cell>
          <cell r="CP60">
            <v>0.51649999999999996</v>
          </cell>
          <cell r="CQ60">
            <v>0.51170000000000004</v>
          </cell>
          <cell r="CR60">
            <v>0.50890000000000002</v>
          </cell>
          <cell r="CS60">
            <v>0.53969999999999996</v>
          </cell>
        </row>
        <row r="61">
          <cell r="B61" t="str">
            <v>Total % Change</v>
          </cell>
          <cell r="X61">
            <v>0.14552087555735715</v>
          </cell>
          <cell r="Y61">
            <v>-0.1453412073490814</v>
          </cell>
          <cell r="Z61">
            <v>8.0082135523614095E-2</v>
          </cell>
          <cell r="AA61">
            <v>2.9117995598442414E-2</v>
          </cell>
          <cell r="AB61">
            <v>-2.4295596423148269E-2</v>
          </cell>
          <cell r="AC61">
            <v>0.15243201838376108</v>
          </cell>
          <cell r="AD61">
            <v>5.5674871964315198E-2</v>
          </cell>
          <cell r="AE61">
            <v>6.1305610762880436E-2</v>
          </cell>
          <cell r="AF61">
            <v>2.8336380255941318E-2</v>
          </cell>
          <cell r="AG61">
            <v>7.2268326417704198E-2</v>
          </cell>
          <cell r="AH61">
            <v>7.7210884353741793E-2</v>
          </cell>
          <cell r="AI61">
            <v>0.12973883740522307</v>
          </cell>
          <cell r="AJ61">
            <v>1.5569709837225609E-2</v>
          </cell>
          <cell r="AK61">
            <v>0.21957773512475987</v>
          </cell>
          <cell r="AL61">
            <v>0.12858624265468377</v>
          </cell>
          <cell r="AM61">
            <v>0.15709820694193133</v>
          </cell>
          <cell r="AN61">
            <v>0.18364170845581862</v>
          </cell>
          <cell r="AO61">
            <v>2.3263542705216356E-3</v>
          </cell>
          <cell r="AP61">
            <v>8.4663536776212966E-2</v>
          </cell>
          <cell r="AQ61">
            <v>0.10054739268222401</v>
          </cell>
          <cell r="AR61">
            <v>0.12088888888888882</v>
          </cell>
          <cell r="AS61">
            <v>2.8377942599161488E-2</v>
          </cell>
          <cell r="AT61">
            <v>0.16166719292706011</v>
          </cell>
          <cell r="AU61">
            <v>0.10096942580164048</v>
          </cell>
          <cell r="AV61">
            <v>5.7839721254355325E-2</v>
          </cell>
          <cell r="AW61">
            <v>6.6887000314762579E-2</v>
          </cell>
          <cell r="AX61">
            <v>2.6186830015313856E-2</v>
          </cell>
          <cell r="AY61">
            <v>-0.37190787603070807</v>
          </cell>
          <cell r="AZ61">
            <v>-0.52198685171658143</v>
          </cell>
          <cell r="BA61">
            <v>-0.17523209549071617</v>
          </cell>
          <cell r="BB61">
            <v>-3.5204155244553448E-2</v>
          </cell>
          <cell r="BC61">
            <v>0.10314136125654438</v>
          </cell>
          <cell r="BD61">
            <v>8.1839809674861153E-2</v>
          </cell>
          <cell r="BE61">
            <v>0.13734713076199445</v>
          </cell>
          <cell r="BF61">
            <v>7.4204946996466514E-2</v>
          </cell>
          <cell r="BG61">
            <v>4.8767271742075291E-2</v>
          </cell>
          <cell r="BH61">
            <v>9.9308300395257065E-2</v>
          </cell>
          <cell r="BI61">
            <v>-4.956483257117561E-2</v>
          </cell>
          <cell r="BJ61">
            <v>0.16415460379047908</v>
          </cell>
          <cell r="BK61">
            <v>0.74241738343141717</v>
          </cell>
          <cell r="BL61">
            <v>1.1732885085574569</v>
          </cell>
          <cell r="BM61">
            <v>0.50633165829145721</v>
          </cell>
          <cell r="BN61">
            <v>0.22625990728278733</v>
          </cell>
          <cell r="BO61">
            <v>-2.2899857617465713E-2</v>
          </cell>
          <cell r="BP61">
            <v>4.4275032986365703E-2</v>
          </cell>
          <cell r="BQ61">
            <v>6.3964709125999386E-2</v>
          </cell>
          <cell r="BR61">
            <v>4.3016194331983781E-2</v>
          </cell>
          <cell r="BS61">
            <v>1.3949883750968839E-2</v>
          </cell>
          <cell r="BT61">
            <v>1.4981273408238849E-3</v>
          </cell>
          <cell r="BU61">
            <v>1.4279062548502086E-2</v>
          </cell>
          <cell r="BV61">
            <v>-0.16869632098448928</v>
          </cell>
          <cell r="BW61">
            <v>-0.12925435177968303</v>
          </cell>
          <cell r="BX61">
            <v>-5.7375896498382706E-2</v>
          </cell>
          <cell r="BY61">
            <v>-9.7277822257806013E-2</v>
          </cell>
          <cell r="BZ61">
            <v>-9.7317073170731683E-2</v>
          </cell>
          <cell r="CA61">
            <v>-8.0145719489981726E-2</v>
          </cell>
          <cell r="CB61">
            <v>-6.0087041976695343E-2</v>
          </cell>
          <cell r="CC61">
            <v>-2.3840373153666716E-2</v>
          </cell>
          <cell r="CD61">
            <v>1.5769044153322032E-3</v>
          </cell>
          <cell r="CE61">
            <v>-3.0700636942675219E-2</v>
          </cell>
          <cell r="CF61">
            <v>-3.4704562453253596E-2</v>
          </cell>
          <cell r="CG61">
            <v>0.10420811017597553</v>
          </cell>
          <cell r="CH61">
            <v>0.15836545875096397</v>
          </cell>
          <cell r="CI61">
            <v>0.1600775772042371</v>
          </cell>
          <cell r="CJ61">
            <v>-2.4466656720871227E-2</v>
          </cell>
          <cell r="CK61">
            <v>5.1736881005173263E-3</v>
          </cell>
          <cell r="CL61">
            <v>-1.621183463928666E-2</v>
          </cell>
          <cell r="CM61">
            <v>-1.9405940594059312E-2</v>
          </cell>
          <cell r="CN61">
            <v>4.331590739357738E-3</v>
          </cell>
          <cell r="CO61">
            <v>-2.3360764534112066E-2</v>
          </cell>
          <cell r="CP61">
            <v>-6.0433571515078111E-2</v>
          </cell>
          <cell r="CQ61">
            <v>2.615323958470217E-2</v>
          </cell>
          <cell r="CR61">
            <v>0.11266077793274443</v>
          </cell>
          <cell r="CS61">
            <v>2.7439024390244038E-2</v>
          </cell>
        </row>
        <row r="63">
          <cell r="B63" t="str">
            <v>Room Nights Sold</v>
          </cell>
        </row>
        <row r="64">
          <cell r="B64" t="str">
            <v>Grand Total</v>
          </cell>
          <cell r="K64">
            <v>1848178.9234999998</v>
          </cell>
          <cell r="L64">
            <v>144021.48639999999</v>
          </cell>
          <cell r="M64">
            <v>166884.09600000002</v>
          </cell>
          <cell r="N64">
            <v>156767.24799999999</v>
          </cell>
          <cell r="O64">
            <v>165106.557</v>
          </cell>
          <cell r="P64">
            <v>167917.24429999999</v>
          </cell>
          <cell r="Q64">
            <v>146633.76</v>
          </cell>
          <cell r="R64">
            <v>174639.3401</v>
          </cell>
          <cell r="S64">
            <v>188475.64450000002</v>
          </cell>
          <cell r="T64">
            <v>152563.77000000002</v>
          </cell>
          <cell r="U64">
            <v>166806.51120000001</v>
          </cell>
          <cell r="V64">
            <v>162323.28</v>
          </cell>
          <cell r="W64">
            <v>169284.59850000002</v>
          </cell>
          <cell r="X64">
            <v>160739.48879999999</v>
          </cell>
          <cell r="Y64">
            <v>133888.66400000002</v>
          </cell>
          <cell r="Z64">
            <v>164622.11480000001</v>
          </cell>
          <cell r="AA64">
            <v>167798.63700000002</v>
          </cell>
          <cell r="AB64">
            <v>163012.93890000001</v>
          </cell>
          <cell r="AC64">
            <v>156167.09999999998</v>
          </cell>
          <cell r="AD64">
            <v>178637.56200000001</v>
          </cell>
          <cell r="AE64">
            <v>194090.6838</v>
          </cell>
          <cell r="AF64">
            <v>152145</v>
          </cell>
          <cell r="AG64">
            <v>173208.83580000003</v>
          </cell>
          <cell r="AH64">
            <v>171436.04400000002</v>
          </cell>
          <cell r="AI64">
            <v>187693.065</v>
          </cell>
          <cell r="AJ64">
            <v>159007.18399999998</v>
          </cell>
          <cell r="AK64">
            <v>159996.2616</v>
          </cell>
          <cell r="AL64">
            <v>181680.92500000002</v>
          </cell>
          <cell r="AM64">
            <v>189601.47</v>
          </cell>
          <cell r="AN64">
            <v>190020.6225</v>
          </cell>
          <cell r="AO64">
            <v>158864.78399999999</v>
          </cell>
          <cell r="AP64">
            <v>188862.81900000002</v>
          </cell>
          <cell r="AQ64">
            <v>208371.83200000002</v>
          </cell>
          <cell r="AR64">
            <v>166603.31999999998</v>
          </cell>
          <cell r="AS64">
            <v>176878.52280000001</v>
          </cell>
          <cell r="AT64">
            <v>197076.67199999999</v>
          </cell>
          <cell r="AU64">
            <v>204905.12679999997</v>
          </cell>
          <cell r="AV64">
            <v>168693.5184</v>
          </cell>
          <cell r="AW64">
            <v>169748.87160000001</v>
          </cell>
          <cell r="AX64">
            <v>185462.23679999998</v>
          </cell>
          <cell r="AY64">
            <v>118344.966</v>
          </cell>
          <cell r="AZ64">
            <v>90446.914399999994</v>
          </cell>
          <cell r="BA64">
            <v>133160.84999999998</v>
          </cell>
          <cell r="BB64">
            <v>182525.0085</v>
          </cell>
          <cell r="BC64">
            <v>231561.8284</v>
          </cell>
          <cell r="BD64">
            <v>182263.94099999999</v>
          </cell>
          <cell r="BE64">
            <v>200115.3726</v>
          </cell>
          <cell r="BF64">
            <v>217628.736</v>
          </cell>
          <cell r="BG64">
            <v>220441.837</v>
          </cell>
          <cell r="BH64">
            <v>190122.69</v>
          </cell>
          <cell r="BI64">
            <v>172048.71760000003</v>
          </cell>
          <cell r="BJ64">
            <v>224927.01310000001</v>
          </cell>
          <cell r="BK64">
            <v>215189.89199999999</v>
          </cell>
          <cell r="BL64">
            <v>205296.70329999999</v>
          </cell>
          <cell r="BM64">
            <v>209082.59999999998</v>
          </cell>
          <cell r="BN64">
            <v>238312.49999999997</v>
          </cell>
          <cell r="BO64">
            <v>236930.0085</v>
          </cell>
          <cell r="BP64">
            <v>194564.745</v>
          </cell>
          <cell r="BQ64">
            <v>217198.4124</v>
          </cell>
          <cell r="BR64">
            <v>226421.46000000002</v>
          </cell>
          <cell r="BS64">
            <v>223103.28</v>
          </cell>
          <cell r="BT64">
            <v>205183.37349999999</v>
          </cell>
          <cell r="BU64">
            <v>186291.93799999999</v>
          </cell>
          <cell r="BV64">
            <v>212795.54749999999</v>
          </cell>
          <cell r="BW64">
            <v>213879.32399999999</v>
          </cell>
          <cell r="BX64">
            <v>217226.80220000001</v>
          </cell>
          <cell r="BY64">
            <v>214538.44500000004</v>
          </cell>
          <cell r="BZ64">
            <v>242357.76440000001</v>
          </cell>
          <cell r="CA64">
            <v>247716.89249999999</v>
          </cell>
          <cell r="CB64">
            <v>214487.715</v>
          </cell>
          <cell r="CC64">
            <v>248384.679</v>
          </cell>
          <cell r="CD64">
            <v>268344.24299999996</v>
          </cell>
          <cell r="CE64">
            <v>255504.13280000002</v>
          </cell>
          <cell r="CF64">
            <v>220347.3645</v>
          </cell>
          <cell r="CG64">
            <v>223081.19680000001</v>
          </cell>
          <cell r="CH64">
            <v>263075.49840000004</v>
          </cell>
          <cell r="CI64">
            <v>264142.94400000002</v>
          </cell>
          <cell r="CJ64">
            <v>229567.9425</v>
          </cell>
          <cell r="CK64">
            <v>239659.2</v>
          </cell>
          <cell r="CL64">
            <v>266194.96639999998</v>
          </cell>
          <cell r="CM64">
            <v>271508.99880000006</v>
          </cell>
          <cell r="CN64">
            <v>250354.69199999998</v>
          </cell>
          <cell r="CO64">
            <v>283274.90620000003</v>
          </cell>
          <cell r="CP64">
            <v>295416.88199999993</v>
          </cell>
          <cell r="CQ64">
            <v>314129.89439999999</v>
          </cell>
          <cell r="CR64">
            <v>287617.87599999999</v>
          </cell>
          <cell r="CS64">
            <v>271177.42960000003</v>
          </cell>
        </row>
        <row r="65">
          <cell r="B65" t="str">
            <v>Hotel Total</v>
          </cell>
          <cell r="K65">
            <v>1789799.9839999999</v>
          </cell>
          <cell r="L65">
            <v>137924.64509999997</v>
          </cell>
          <cell r="M65">
            <v>159779.3106</v>
          </cell>
          <cell r="N65">
            <v>150159.11749999999</v>
          </cell>
          <cell r="O65">
            <v>158730.921</v>
          </cell>
          <cell r="P65">
            <v>161336.26360000001</v>
          </cell>
          <cell r="Q65">
            <v>140720.598</v>
          </cell>
          <cell r="R65">
            <v>167896.02479999998</v>
          </cell>
          <cell r="S65">
            <v>181669.91999999998</v>
          </cell>
          <cell r="T65">
            <v>146633.00400000002</v>
          </cell>
          <cell r="U65">
            <v>160471.5</v>
          </cell>
          <cell r="V65">
            <v>156587.79</v>
          </cell>
          <cell r="W65">
            <v>163474.6684</v>
          </cell>
          <cell r="X65">
            <v>153808.11199999999</v>
          </cell>
          <cell r="Y65">
            <v>128431.8224</v>
          </cell>
          <cell r="Z65">
            <v>158352.41439999998</v>
          </cell>
          <cell r="AA65">
            <v>161620.68</v>
          </cell>
          <cell r="AB65">
            <v>156478.45199999999</v>
          </cell>
          <cell r="AC65">
            <v>150501.82500000001</v>
          </cell>
          <cell r="AD65">
            <v>172150.23539999998</v>
          </cell>
          <cell r="AE65">
            <v>187346.11609999998</v>
          </cell>
          <cell r="AF65">
            <v>146169.65399999998</v>
          </cell>
          <cell r="AG65">
            <v>166721.4534</v>
          </cell>
          <cell r="AH65">
            <v>165486.432</v>
          </cell>
          <cell r="AI65">
            <v>180897.89600000001</v>
          </cell>
          <cell r="AJ65">
            <v>152858.50139999998</v>
          </cell>
          <cell r="AK65">
            <v>153311.05439999999</v>
          </cell>
          <cell r="AL65">
            <v>174806.28749999998</v>
          </cell>
          <cell r="AM65">
            <v>182691.99</v>
          </cell>
          <cell r="AN65">
            <v>182843.00650000002</v>
          </cell>
          <cell r="AO65">
            <v>152112.87</v>
          </cell>
          <cell r="AP65">
            <v>181498.80000000005</v>
          </cell>
          <cell r="AQ65">
            <v>200938.5466</v>
          </cell>
          <cell r="AR65">
            <v>160192.5</v>
          </cell>
          <cell r="AS65">
            <v>170001.61919999999</v>
          </cell>
          <cell r="AT65">
            <v>190415.23199999999</v>
          </cell>
          <cell r="AU65">
            <v>198024.15600000002</v>
          </cell>
          <cell r="AV65">
            <v>162039.38079999998</v>
          </cell>
          <cell r="AW65">
            <v>162685.82399999999</v>
          </cell>
          <cell r="AX65">
            <v>178622.39990000002</v>
          </cell>
          <cell r="AY65">
            <v>113420.463</v>
          </cell>
          <cell r="AZ65">
            <v>86227.944600000003</v>
          </cell>
          <cell r="BA65">
            <v>128442.74399999999</v>
          </cell>
          <cell r="BB65">
            <v>176351.51039999997</v>
          </cell>
          <cell r="BC65">
            <v>223826.49139999997</v>
          </cell>
          <cell r="BD65">
            <v>175967.18099999998</v>
          </cell>
          <cell r="BE65">
            <v>193014.0135</v>
          </cell>
          <cell r="BF65">
            <v>209853.04800000001</v>
          </cell>
          <cell r="BG65">
            <v>212135.61019999997</v>
          </cell>
          <cell r="BH65">
            <v>182989.0692</v>
          </cell>
          <cell r="BI65">
            <v>166190.242</v>
          </cell>
          <cell r="BJ65">
            <v>217173.166</v>
          </cell>
          <cell r="BK65">
            <v>207984.21</v>
          </cell>
          <cell r="BL65">
            <v>198190.00599999999</v>
          </cell>
          <cell r="BM65">
            <v>202167.81000000003</v>
          </cell>
          <cell r="BN65">
            <v>230612.2922</v>
          </cell>
          <cell r="BO65">
            <v>228440.73910000001</v>
          </cell>
          <cell r="BP65">
            <v>187977.02399999998</v>
          </cell>
          <cell r="BQ65">
            <v>209477.66399999999</v>
          </cell>
          <cell r="BR65">
            <v>218548.07399999999</v>
          </cell>
          <cell r="BS65">
            <v>214866.00959999999</v>
          </cell>
          <cell r="BT65">
            <v>198182.39240000001</v>
          </cell>
          <cell r="BU65">
            <v>179527.93040000001</v>
          </cell>
          <cell r="BV65">
            <v>205486.78600000002</v>
          </cell>
          <cell r="BW65">
            <v>206393.63399999999</v>
          </cell>
          <cell r="BX65">
            <v>209346.92460000003</v>
          </cell>
          <cell r="BY65">
            <v>207506.16900000002</v>
          </cell>
          <cell r="BZ65">
            <v>234330.86000000002</v>
          </cell>
          <cell r="CA65">
            <v>239761.0215</v>
          </cell>
          <cell r="CB65">
            <v>206975.80800000002</v>
          </cell>
          <cell r="CC65">
            <v>240017.3512</v>
          </cell>
          <cell r="CD65">
            <v>259939.24200000003</v>
          </cell>
          <cell r="CE65">
            <v>247160.89199999999</v>
          </cell>
          <cell r="CF65">
            <v>212374.20479999998</v>
          </cell>
          <cell r="CG65">
            <v>216001.68800000002</v>
          </cell>
          <cell r="CH65">
            <v>255307.76639999999</v>
          </cell>
          <cell r="CI65">
            <v>256233.56400000001</v>
          </cell>
          <cell r="CJ65">
            <v>222673.79980000001</v>
          </cell>
          <cell r="CK65">
            <v>232886.40300000002</v>
          </cell>
          <cell r="CL65">
            <v>258460.94070000004</v>
          </cell>
          <cell r="CM65">
            <v>262967.66800000001</v>
          </cell>
          <cell r="CN65">
            <v>242457.25499999998</v>
          </cell>
          <cell r="CO65">
            <v>274789.08399999997</v>
          </cell>
          <cell r="CP65">
            <v>286738.55399999995</v>
          </cell>
          <cell r="CQ65">
            <v>305296.277</v>
          </cell>
          <cell r="CR65">
            <v>278800.78159999999</v>
          </cell>
          <cell r="CS65">
            <v>262562.8824</v>
          </cell>
        </row>
        <row r="66">
          <cell r="B66" t="str">
            <v>5-star hotels</v>
          </cell>
          <cell r="K66">
            <v>643450.90799999994</v>
          </cell>
          <cell r="L66">
            <v>49816.519499999995</v>
          </cell>
          <cell r="M66">
            <v>59334.556799999991</v>
          </cell>
          <cell r="N66">
            <v>56590.915399999998</v>
          </cell>
          <cell r="O66">
            <v>61131.833999999995</v>
          </cell>
          <cell r="P66">
            <v>59596.359199999999</v>
          </cell>
          <cell r="Q66">
            <v>54307.637999999999</v>
          </cell>
          <cell r="R66">
            <v>63868.617999999995</v>
          </cell>
          <cell r="S66">
            <v>67769.090699999986</v>
          </cell>
          <cell r="T66">
            <v>55466.019</v>
          </cell>
          <cell r="U66">
            <v>60140.607600000003</v>
          </cell>
          <cell r="V66">
            <v>56399.318999999996</v>
          </cell>
          <cell r="W66">
            <v>61408.4859</v>
          </cell>
          <cell r="X66">
            <v>56702.620799999997</v>
          </cell>
          <cell r="Y66">
            <v>48156.639999999999</v>
          </cell>
          <cell r="Z66">
            <v>58448.02</v>
          </cell>
          <cell r="AA66">
            <v>57845.136000000006</v>
          </cell>
          <cell r="AB66">
            <v>57861.81</v>
          </cell>
          <cell r="AC66">
            <v>56982.585000000006</v>
          </cell>
          <cell r="AD66">
            <v>62231.920299999998</v>
          </cell>
          <cell r="AE66">
            <v>69576.000100000005</v>
          </cell>
          <cell r="AF66">
            <v>52199.436000000002</v>
          </cell>
          <cell r="AG66">
            <v>60984.601199999997</v>
          </cell>
          <cell r="AH66">
            <v>59494.368000000002</v>
          </cell>
          <cell r="AI66">
            <v>64240.7048</v>
          </cell>
          <cell r="AJ66">
            <v>55262.212</v>
          </cell>
          <cell r="AK66">
            <v>54591.137999999999</v>
          </cell>
          <cell r="AL66">
            <v>64058.809199999996</v>
          </cell>
          <cell r="AM66">
            <v>62313.687000000005</v>
          </cell>
          <cell r="AN66">
            <v>67481.367299999998</v>
          </cell>
          <cell r="AO66">
            <v>55998.305999999997</v>
          </cell>
          <cell r="AP66">
            <v>66038.531199999983</v>
          </cell>
          <cell r="AQ66">
            <v>73420.53330000001</v>
          </cell>
          <cell r="AR66">
            <v>58228.610999999997</v>
          </cell>
          <cell r="AS66">
            <v>63549.643500000013</v>
          </cell>
          <cell r="AT66">
            <v>66099.972000000009</v>
          </cell>
          <cell r="AU66">
            <v>70310.876799999998</v>
          </cell>
          <cell r="AV66">
            <v>58655.844000000005</v>
          </cell>
          <cell r="AW66">
            <v>60810.982399999986</v>
          </cell>
          <cell r="AX66">
            <v>63610.164799999999</v>
          </cell>
          <cell r="AY66">
            <v>43906.079999999994</v>
          </cell>
          <cell r="AZ66">
            <v>40255.105799999998</v>
          </cell>
          <cell r="BA66">
            <v>52899.93</v>
          </cell>
          <cell r="BB66">
            <v>68362.948399999994</v>
          </cell>
          <cell r="BC66">
            <v>82332.062999999995</v>
          </cell>
          <cell r="BD66">
            <v>65401.446000000004</v>
          </cell>
          <cell r="BE66">
            <v>74080.414799999999</v>
          </cell>
          <cell r="BF66">
            <v>76887.491999999998</v>
          </cell>
          <cell r="BG66">
            <v>77926.541400000016</v>
          </cell>
          <cell r="BH66">
            <v>70461.071800000005</v>
          </cell>
          <cell r="BI66">
            <v>65508.520499999999</v>
          </cell>
          <cell r="BJ66">
            <v>79504.137600000002</v>
          </cell>
          <cell r="BK66">
            <v>80189.64</v>
          </cell>
          <cell r="BL66">
            <v>80676.917200000011</v>
          </cell>
          <cell r="BM66">
            <v>79238.999999999985</v>
          </cell>
          <cell r="BN66">
            <v>90122.146000000008</v>
          </cell>
          <cell r="BO66">
            <v>89508.996999999988</v>
          </cell>
          <cell r="BP66">
            <v>75045.69</v>
          </cell>
          <cell r="BQ66">
            <v>86109.785000000003</v>
          </cell>
          <cell r="BR66">
            <v>85976.19</v>
          </cell>
          <cell r="BS66">
            <v>86066.757000000012</v>
          </cell>
          <cell r="BT66">
            <v>75067.829899999997</v>
          </cell>
          <cell r="BU66">
            <v>65717.245999999999</v>
          </cell>
          <cell r="BV66">
            <v>72330.703500000003</v>
          </cell>
          <cell r="BW66">
            <v>71901.303</v>
          </cell>
          <cell r="BX66">
            <v>73870.337100000019</v>
          </cell>
          <cell r="BY66">
            <v>71145.491999999998</v>
          </cell>
          <cell r="BZ66">
            <v>76225.980599999995</v>
          </cell>
          <cell r="CA66">
            <v>80028.871499999994</v>
          </cell>
          <cell r="CB66">
            <v>70421.682000000001</v>
          </cell>
          <cell r="CC66">
            <v>82185.122999999992</v>
          </cell>
          <cell r="CD66">
            <v>83779.659</v>
          </cell>
          <cell r="CE66">
            <v>79873.756800000003</v>
          </cell>
          <cell r="CF66">
            <v>68691.002800000002</v>
          </cell>
          <cell r="CG66">
            <v>67610.872000000003</v>
          </cell>
          <cell r="CH66">
            <v>75261.539600000004</v>
          </cell>
          <cell r="CI66">
            <v>76139.856000000014</v>
          </cell>
          <cell r="CJ66">
            <v>67863.950700000001</v>
          </cell>
          <cell r="CK66">
            <v>70509.500999999989</v>
          </cell>
          <cell r="CL66">
            <v>70219.597299999994</v>
          </cell>
          <cell r="CM66">
            <v>75501.3649</v>
          </cell>
          <cell r="CN66">
            <v>78858.251999999993</v>
          </cell>
          <cell r="CO66">
            <v>89621.80290000001</v>
          </cell>
          <cell r="CP66">
            <v>94316.763000000021</v>
          </cell>
          <cell r="CQ66">
            <v>102018.6936</v>
          </cell>
          <cell r="CR66">
            <v>97697.460999999996</v>
          </cell>
          <cell r="CS66">
            <v>91771.814400000003</v>
          </cell>
        </row>
        <row r="67">
          <cell r="B67" t="str">
            <v>4-star hotels</v>
          </cell>
          <cell r="K67">
            <v>519329.92050000001</v>
          </cell>
          <cell r="L67">
            <v>35213.929199999999</v>
          </cell>
          <cell r="M67">
            <v>48528.02</v>
          </cell>
          <cell r="N67">
            <v>44286.001700000001</v>
          </cell>
          <cell r="O67">
            <v>48468.642</v>
          </cell>
          <cell r="P67">
            <v>53062.879799999995</v>
          </cell>
          <cell r="Q67">
            <v>43586.150999999998</v>
          </cell>
          <cell r="R67">
            <v>53589.994500000001</v>
          </cell>
          <cell r="S67">
            <v>58995.011900000005</v>
          </cell>
          <cell r="T67">
            <v>45197.454000000005</v>
          </cell>
          <cell r="U67">
            <v>51715.808899999996</v>
          </cell>
          <cell r="V67">
            <v>50561.621999999996</v>
          </cell>
          <cell r="W67">
            <v>51968.651099999995</v>
          </cell>
          <cell r="X67">
            <v>49724.914500000006</v>
          </cell>
          <cell r="Y67">
            <v>42086.251199999999</v>
          </cell>
          <cell r="Z67">
            <v>53217.045900000005</v>
          </cell>
          <cell r="AA67">
            <v>55859.409</v>
          </cell>
          <cell r="AB67">
            <v>52289.1849</v>
          </cell>
          <cell r="AC67">
            <v>46457.819999999992</v>
          </cell>
          <cell r="AD67">
            <v>59346.12720000001</v>
          </cell>
          <cell r="AE67">
            <v>62350.994399999996</v>
          </cell>
          <cell r="AF67">
            <v>49845.815999999999</v>
          </cell>
          <cell r="AG67">
            <v>55712.5242</v>
          </cell>
          <cell r="AH67">
            <v>57060.341999999997</v>
          </cell>
          <cell r="AI67">
            <v>60285.148199999996</v>
          </cell>
          <cell r="AJ67">
            <v>49890.593999999997</v>
          </cell>
          <cell r="AK67">
            <v>50791.008800000003</v>
          </cell>
          <cell r="AL67">
            <v>58609.877199999995</v>
          </cell>
          <cell r="AM67">
            <v>64898.96699999999</v>
          </cell>
          <cell r="AN67">
            <v>61252.807000000001</v>
          </cell>
          <cell r="AO67">
            <v>53719.197</v>
          </cell>
          <cell r="AP67">
            <v>63696.270399999994</v>
          </cell>
          <cell r="AQ67">
            <v>69788.306700000001</v>
          </cell>
          <cell r="AR67">
            <v>56679.021000000001</v>
          </cell>
          <cell r="AS67">
            <v>57599.364000000001</v>
          </cell>
          <cell r="AT67">
            <v>67519.92</v>
          </cell>
          <cell r="AU67">
            <v>67743.776100000003</v>
          </cell>
          <cell r="AV67">
            <v>53714.639299999995</v>
          </cell>
          <cell r="AW67">
            <v>53613.565600000002</v>
          </cell>
          <cell r="AX67">
            <v>61601.873200000009</v>
          </cell>
          <cell r="AY67">
            <v>37359.735000000008</v>
          </cell>
          <cell r="AZ67">
            <v>24800.322400000001</v>
          </cell>
          <cell r="BA67">
            <v>42635.942999999999</v>
          </cell>
          <cell r="BB67">
            <v>57499.575000000004</v>
          </cell>
          <cell r="BC67">
            <v>71382.150000000009</v>
          </cell>
          <cell r="BD67">
            <v>55416.375</v>
          </cell>
          <cell r="BE67">
            <v>59224.724999999999</v>
          </cell>
          <cell r="BF67">
            <v>64393.875</v>
          </cell>
          <cell r="BG67">
            <v>67321.537499999991</v>
          </cell>
          <cell r="BH67">
            <v>56002.274999999994</v>
          </cell>
          <cell r="BI67">
            <v>49572.600000000006</v>
          </cell>
          <cell r="BJ67">
            <v>70308.000000000015</v>
          </cell>
          <cell r="BK67">
            <v>64204.875</v>
          </cell>
          <cell r="BL67">
            <v>59810.625</v>
          </cell>
          <cell r="BM67">
            <v>64212.750000000007</v>
          </cell>
          <cell r="BN67">
            <v>71211.262500000012</v>
          </cell>
          <cell r="BO67">
            <v>70942.724999999991</v>
          </cell>
          <cell r="BP67">
            <v>58999.499999999993</v>
          </cell>
          <cell r="BQ67">
            <v>64807.05</v>
          </cell>
          <cell r="BR67">
            <v>68481</v>
          </cell>
          <cell r="BS67">
            <v>67215.75</v>
          </cell>
          <cell r="BT67">
            <v>66036.919200000004</v>
          </cell>
          <cell r="BU67">
            <v>56681.968000000001</v>
          </cell>
          <cell r="BV67">
            <v>69197.301000000007</v>
          </cell>
          <cell r="BW67">
            <v>68706.539999999994</v>
          </cell>
          <cell r="BX67">
            <v>69983.845399999991</v>
          </cell>
          <cell r="BY67">
            <v>72458.501999999993</v>
          </cell>
          <cell r="BZ67">
            <v>81133.962599999999</v>
          </cell>
          <cell r="CA67">
            <v>79359.631099999984</v>
          </cell>
          <cell r="CB67">
            <v>68914.013999999996</v>
          </cell>
          <cell r="CC67">
            <v>82198.136799999993</v>
          </cell>
          <cell r="CD67">
            <v>91994.112000000008</v>
          </cell>
          <cell r="CE67">
            <v>87505.510399999999</v>
          </cell>
          <cell r="CF67">
            <v>72144.976300000009</v>
          </cell>
          <cell r="CG67">
            <v>74946.748800000001</v>
          </cell>
          <cell r="CH67">
            <v>91540.891999999993</v>
          </cell>
          <cell r="CI67">
            <v>92658.891000000003</v>
          </cell>
          <cell r="CJ67">
            <v>78995.00910000001</v>
          </cell>
          <cell r="CK67">
            <v>87902.135999999999</v>
          </cell>
          <cell r="CL67">
            <v>99988.615200000015</v>
          </cell>
          <cell r="CM67">
            <v>97197.040400000013</v>
          </cell>
          <cell r="CN67">
            <v>86672.81700000001</v>
          </cell>
          <cell r="CO67">
            <v>97584.379199999996</v>
          </cell>
          <cell r="CP67">
            <v>100150.281</v>
          </cell>
          <cell r="CQ67">
            <v>105935.5374</v>
          </cell>
          <cell r="CR67">
            <v>96427.663800000009</v>
          </cell>
          <cell r="CS67">
            <v>89908</v>
          </cell>
        </row>
        <row r="68">
          <cell r="B68" t="str">
            <v>3-star hotels</v>
          </cell>
          <cell r="K68">
            <v>525409.47</v>
          </cell>
          <cell r="L68">
            <v>43649.922000000006</v>
          </cell>
          <cell r="M68">
            <v>40072.199999999997</v>
          </cell>
          <cell r="N68">
            <v>38313.272000000004</v>
          </cell>
          <cell r="O68">
            <v>38915.999999999993</v>
          </cell>
          <cell r="P68">
            <v>38429.832000000002</v>
          </cell>
          <cell r="Q68">
            <v>33930.239999999991</v>
          </cell>
          <cell r="R68">
            <v>39461.387999999999</v>
          </cell>
          <cell r="S68">
            <v>43768.28</v>
          </cell>
          <cell r="T68">
            <v>36925.296000000002</v>
          </cell>
          <cell r="U68">
            <v>39519.667999999998</v>
          </cell>
          <cell r="V68">
            <v>41470.92</v>
          </cell>
          <cell r="W68">
            <v>41297.208000000006</v>
          </cell>
          <cell r="X68">
            <v>37648.87999999999</v>
          </cell>
          <cell r="Y68">
            <v>31578.735999999997</v>
          </cell>
          <cell r="Z68">
            <v>38762.028000000006</v>
          </cell>
          <cell r="AA68">
            <v>39355.919999999998</v>
          </cell>
          <cell r="AB68">
            <v>38713.348700000002</v>
          </cell>
          <cell r="AC68">
            <v>38960.726999999999</v>
          </cell>
          <cell r="AD68">
            <v>42488.894500000002</v>
          </cell>
          <cell r="AE68">
            <v>45827.507700000002</v>
          </cell>
          <cell r="AF68">
            <v>36488.750999999997</v>
          </cell>
          <cell r="AG68">
            <v>41469.3851</v>
          </cell>
          <cell r="AH68">
            <v>40950.234000000004</v>
          </cell>
          <cell r="AI68">
            <v>47188.720799999996</v>
          </cell>
          <cell r="AJ68">
            <v>39962.527800000003</v>
          </cell>
          <cell r="AK68">
            <v>39378.866799999996</v>
          </cell>
          <cell r="AL68">
            <v>43424.378400000001</v>
          </cell>
          <cell r="AM68">
            <v>46609.758000000002</v>
          </cell>
          <cell r="AN68">
            <v>45222.524100000002</v>
          </cell>
          <cell r="AO68">
            <v>37892.79</v>
          </cell>
          <cell r="AP68">
            <v>44785.591500000002</v>
          </cell>
          <cell r="AQ68">
            <v>50432.105100000001</v>
          </cell>
          <cell r="AR68">
            <v>39616.667999999998</v>
          </cell>
          <cell r="AS68">
            <v>40892.409999999996</v>
          </cell>
          <cell r="AT68">
            <v>48046.323000000004</v>
          </cell>
          <cell r="AU68">
            <v>50594.554399999994</v>
          </cell>
          <cell r="AV68">
            <v>42259.224799999996</v>
          </cell>
          <cell r="AW68">
            <v>38974.0988</v>
          </cell>
          <cell r="AX68">
            <v>45065.676500000001</v>
          </cell>
          <cell r="AY68">
            <v>26248.482000000004</v>
          </cell>
          <cell r="AZ68">
            <v>16508.209899999998</v>
          </cell>
          <cell r="BA68">
            <v>26665.898999999998</v>
          </cell>
          <cell r="BB68">
            <v>42063.081599999998</v>
          </cell>
          <cell r="BC68">
            <v>54316.166399999995</v>
          </cell>
          <cell r="BD68">
            <v>44295.840000000004</v>
          </cell>
          <cell r="BE68">
            <v>48396.009599999998</v>
          </cell>
          <cell r="BF68">
            <v>52646.112000000001</v>
          </cell>
          <cell r="BG68">
            <v>51664.29</v>
          </cell>
          <cell r="BH68">
            <v>44054.952499999999</v>
          </cell>
          <cell r="BI68">
            <v>41576.255999999994</v>
          </cell>
          <cell r="BJ68">
            <v>52342.7808</v>
          </cell>
          <cell r="BK68">
            <v>48651.551999999996</v>
          </cell>
          <cell r="BL68">
            <v>44754.576000000001</v>
          </cell>
          <cell r="BM68">
            <v>46528.416000000005</v>
          </cell>
          <cell r="BN68">
            <v>51945.001199999999</v>
          </cell>
          <cell r="BO68">
            <v>50207.342700000001</v>
          </cell>
          <cell r="BP68">
            <v>40516.799999999996</v>
          </cell>
          <cell r="BQ68">
            <v>43112.32</v>
          </cell>
          <cell r="BR68">
            <v>46340.549999999996</v>
          </cell>
          <cell r="BS68">
            <v>45469.522799999999</v>
          </cell>
          <cell r="BT68">
            <v>43985.202499999999</v>
          </cell>
          <cell r="BU68">
            <v>43547.641199999998</v>
          </cell>
          <cell r="BV68">
            <v>50765.414000000004</v>
          </cell>
          <cell r="BW68">
            <v>52181.619000000006</v>
          </cell>
          <cell r="BX68">
            <v>52680.110400000005</v>
          </cell>
          <cell r="BY68">
            <v>52228.416000000005</v>
          </cell>
          <cell r="BZ68">
            <v>60286.586600000002</v>
          </cell>
          <cell r="CA68">
            <v>63775.115800000007</v>
          </cell>
          <cell r="CB68">
            <v>53612.729999999996</v>
          </cell>
          <cell r="CC68">
            <v>59495.665000000008</v>
          </cell>
          <cell r="CD68">
            <v>65583.33</v>
          </cell>
          <cell r="CE68">
            <v>62920.761999999995</v>
          </cell>
          <cell r="CF68">
            <v>58933.17</v>
          </cell>
          <cell r="CG68">
            <v>60124.26</v>
          </cell>
          <cell r="CH68">
            <v>72008.66</v>
          </cell>
          <cell r="CI68">
            <v>70236.804000000004</v>
          </cell>
          <cell r="CJ68">
            <v>61592.5236</v>
          </cell>
          <cell r="CK68">
            <v>61201.959000000003</v>
          </cell>
          <cell r="CL68">
            <v>72948.883800000011</v>
          </cell>
          <cell r="CM68">
            <v>74330.798700000014</v>
          </cell>
          <cell r="CN68">
            <v>63334.425000000003</v>
          </cell>
          <cell r="CO68">
            <v>72112.974999999991</v>
          </cell>
          <cell r="CP68">
            <v>75122.849999999991</v>
          </cell>
          <cell r="CQ68">
            <v>80253.110000000015</v>
          </cell>
          <cell r="CR68">
            <v>70076.12000000001</v>
          </cell>
          <cell r="CS68">
            <v>66193.679999999993</v>
          </cell>
        </row>
        <row r="69">
          <cell r="B69" t="str">
            <v>2-star hotels</v>
          </cell>
          <cell r="K69">
            <v>109961.1045</v>
          </cell>
          <cell r="L69">
            <v>9244.4976000000006</v>
          </cell>
          <cell r="M69">
            <v>11850.438200000002</v>
          </cell>
          <cell r="N69">
            <v>10991.533600000001</v>
          </cell>
          <cell r="O69">
            <v>10228.035</v>
          </cell>
          <cell r="P69">
            <v>10238.370000000001</v>
          </cell>
          <cell r="Q69">
            <v>8890.02</v>
          </cell>
          <cell r="R69">
            <v>10974.155000000001</v>
          </cell>
          <cell r="S69">
            <v>11133.835999999999</v>
          </cell>
          <cell r="T69">
            <v>9038.49</v>
          </cell>
          <cell r="U69">
            <v>9101.8170000000009</v>
          </cell>
          <cell r="V69">
            <v>8147.982</v>
          </cell>
          <cell r="W69">
            <v>8807.2891</v>
          </cell>
          <cell r="X69">
            <v>9728.4386000000013</v>
          </cell>
          <cell r="Y69">
            <v>6616.3104000000003</v>
          </cell>
          <cell r="Z69">
            <v>7930.1347999999998</v>
          </cell>
          <cell r="AA69">
            <v>8547.1319999999996</v>
          </cell>
          <cell r="AB69">
            <v>7811.8977000000004</v>
          </cell>
          <cell r="AC69">
            <v>8102.7449999999999</v>
          </cell>
          <cell r="AD69">
            <v>8708.2999000000018</v>
          </cell>
          <cell r="AE69">
            <v>9599.202699999998</v>
          </cell>
          <cell r="AF69">
            <v>7642.3920000000007</v>
          </cell>
          <cell r="AG69">
            <v>8543.3179</v>
          </cell>
          <cell r="AH69">
            <v>7982.9999999999991</v>
          </cell>
          <cell r="AI69">
            <v>9172.9992000000002</v>
          </cell>
          <cell r="AJ69">
            <v>7747.9415999999992</v>
          </cell>
          <cell r="AK69">
            <v>8553.2831999999999</v>
          </cell>
          <cell r="AL69">
            <v>8712.7236000000012</v>
          </cell>
          <cell r="AM69">
            <v>8876.9519999999993</v>
          </cell>
          <cell r="AN69">
            <v>8894.2348000000002</v>
          </cell>
          <cell r="AO69">
            <v>5720.0640000000003</v>
          </cell>
          <cell r="AP69">
            <v>6983.1840000000002</v>
          </cell>
          <cell r="AQ69">
            <v>7286.6367999999984</v>
          </cell>
          <cell r="AR69">
            <v>5681.76</v>
          </cell>
          <cell r="AS69">
            <v>7959.659200000001</v>
          </cell>
          <cell r="AT69">
            <v>8745.9840000000004</v>
          </cell>
          <cell r="AU69">
            <v>9368.4480000000003</v>
          </cell>
          <cell r="AV69">
            <v>7416.192</v>
          </cell>
          <cell r="AW69">
            <v>9294.0288</v>
          </cell>
          <cell r="AX69">
            <v>8359.1468999999997</v>
          </cell>
          <cell r="AY69">
            <v>5893.1729999999998</v>
          </cell>
          <cell r="AZ69">
            <v>4676.8956000000007</v>
          </cell>
          <cell r="BA69">
            <v>6239.9610000000002</v>
          </cell>
          <cell r="BB69">
            <v>8411.1803999999993</v>
          </cell>
          <cell r="BC69">
            <v>15791.176799999999</v>
          </cell>
          <cell r="BD69">
            <v>10852.8</v>
          </cell>
          <cell r="BE69">
            <v>11300.9818</v>
          </cell>
          <cell r="BF69">
            <v>15933.624000000002</v>
          </cell>
          <cell r="BG69">
            <v>15214.800000000001</v>
          </cell>
          <cell r="BH69">
            <v>12481.84</v>
          </cell>
          <cell r="BI69">
            <v>9531.8012000000017</v>
          </cell>
          <cell r="BJ69">
            <v>15014.4439</v>
          </cell>
          <cell r="BK69">
            <v>14946.141</v>
          </cell>
          <cell r="BL69">
            <v>12939.055899999999</v>
          </cell>
          <cell r="BM69">
            <v>12194.1</v>
          </cell>
          <cell r="BN69">
            <v>17345.569499999998</v>
          </cell>
          <cell r="BO69">
            <v>17970.892200000002</v>
          </cell>
          <cell r="BP69">
            <v>13413.762000000001</v>
          </cell>
          <cell r="BQ69">
            <v>15459.222599999999</v>
          </cell>
          <cell r="BR69">
            <v>17752.401000000002</v>
          </cell>
          <cell r="BS69">
            <v>16122.979099999999</v>
          </cell>
          <cell r="BT69">
            <v>13407.639499999999</v>
          </cell>
          <cell r="BU69">
            <v>13749.867600000001</v>
          </cell>
          <cell r="BV69">
            <v>13012.302699999998</v>
          </cell>
          <cell r="BW69">
            <v>13594.317000000001</v>
          </cell>
          <cell r="BX69">
            <v>12822.437</v>
          </cell>
          <cell r="BY69">
            <v>11678.88</v>
          </cell>
          <cell r="BZ69">
            <v>16689.975300000002</v>
          </cell>
          <cell r="CA69">
            <v>16583.338399999997</v>
          </cell>
          <cell r="CB69">
            <v>14017.172999999999</v>
          </cell>
          <cell r="CC69">
            <v>16133.3827</v>
          </cell>
          <cell r="CD69">
            <v>18580.493999999999</v>
          </cell>
          <cell r="CE69">
            <v>16838.226599999998</v>
          </cell>
          <cell r="CF69">
            <v>12645.575799999999</v>
          </cell>
          <cell r="CG69">
            <v>13402.186</v>
          </cell>
          <cell r="CH69">
            <v>16496.03</v>
          </cell>
          <cell r="CI69">
            <v>17202.257999999998</v>
          </cell>
          <cell r="CJ69">
            <v>14208.5121</v>
          </cell>
          <cell r="CK69">
            <v>13112.864999999998</v>
          </cell>
          <cell r="CL69">
            <v>15357.449600000002</v>
          </cell>
          <cell r="CM69">
            <v>15927.899199999998</v>
          </cell>
          <cell r="CN69">
            <v>13501.008</v>
          </cell>
          <cell r="CO69">
            <v>15457.4959</v>
          </cell>
          <cell r="CP69">
            <v>17140.641000000003</v>
          </cell>
          <cell r="CQ69">
            <v>17140.706000000002</v>
          </cell>
          <cell r="CR69">
            <v>14542.5216</v>
          </cell>
          <cell r="CS69">
            <v>14673.791999999999</v>
          </cell>
        </row>
        <row r="70">
          <cell r="B70" t="str">
            <v>Guest-houses</v>
          </cell>
          <cell r="K70">
            <v>65519.580499999996</v>
          </cell>
          <cell r="L70">
            <v>6101.4447999999993</v>
          </cell>
          <cell r="M70">
            <v>7092.7677999999996</v>
          </cell>
          <cell r="N70">
            <v>6603</v>
          </cell>
          <cell r="O70">
            <v>6363.4920000000011</v>
          </cell>
          <cell r="P70">
            <v>6592.2368000000006</v>
          </cell>
          <cell r="Q70">
            <v>5925.1500000000005</v>
          </cell>
          <cell r="R70">
            <v>6746.8896000000004</v>
          </cell>
          <cell r="S70">
            <v>6793.2934999999989</v>
          </cell>
          <cell r="T70">
            <v>5942.5649999999996</v>
          </cell>
          <cell r="U70">
            <v>6323.8419000000004</v>
          </cell>
          <cell r="V70">
            <v>5741.7659999999996</v>
          </cell>
          <cell r="W70">
            <v>5792.4430000000002</v>
          </cell>
          <cell r="X70">
            <v>6928.2520000000004</v>
          </cell>
          <cell r="Y70">
            <v>5441.6879999999992</v>
          </cell>
          <cell r="Z70">
            <v>6251.5219999999999</v>
          </cell>
          <cell r="AA70">
            <v>6181.4550000000008</v>
          </cell>
          <cell r="AB70">
            <v>6669.0796</v>
          </cell>
          <cell r="AC70">
            <v>5572.5390000000007</v>
          </cell>
          <cell r="AD70">
            <v>6617.2414000000008</v>
          </cell>
          <cell r="AE70">
            <v>6735.0785999999998</v>
          </cell>
          <cell r="AF70">
            <v>5971.3200000000006</v>
          </cell>
          <cell r="AG70">
            <v>6496.9241999999995</v>
          </cell>
          <cell r="AH70">
            <v>5961.36</v>
          </cell>
          <cell r="AI70">
            <v>6814.8540000000003</v>
          </cell>
          <cell r="AJ70">
            <v>6152.4056999999993</v>
          </cell>
          <cell r="AK70">
            <v>6682.3400000000011</v>
          </cell>
          <cell r="AL70">
            <v>6889.8430000000008</v>
          </cell>
          <cell r="AM70">
            <v>6904.7699999999995</v>
          </cell>
          <cell r="AN70">
            <v>7175.1669999999995</v>
          </cell>
          <cell r="AO70">
            <v>6684.5609999999997</v>
          </cell>
          <cell r="AP70">
            <v>7359.8960000000006</v>
          </cell>
          <cell r="AQ70">
            <v>7429.1655000000001</v>
          </cell>
          <cell r="AR70">
            <v>6406.1790000000001</v>
          </cell>
          <cell r="AS70">
            <v>6873.9461999999994</v>
          </cell>
          <cell r="AT70">
            <v>6671.8079999999991</v>
          </cell>
          <cell r="AU70">
            <v>6896.0430000000006</v>
          </cell>
          <cell r="AV70">
            <v>6660.598</v>
          </cell>
          <cell r="AW70">
            <v>7055.5099999999993</v>
          </cell>
          <cell r="AX70">
            <v>6815.5670000000009</v>
          </cell>
          <cell r="AY70">
            <v>4936.6679999999997</v>
          </cell>
          <cell r="AZ70">
            <v>4216.8059999999996</v>
          </cell>
          <cell r="BA70">
            <v>4727.6460000000006</v>
          </cell>
          <cell r="BB70">
            <v>6140.5017000000007</v>
          </cell>
          <cell r="BC70">
            <v>7733.88</v>
          </cell>
          <cell r="BD70">
            <v>6308.9999999999991</v>
          </cell>
          <cell r="BE70">
            <v>7113.3282000000008</v>
          </cell>
          <cell r="BF70">
            <v>7767.7380000000003</v>
          </cell>
          <cell r="BG70">
            <v>8309.1283999999996</v>
          </cell>
          <cell r="BH70">
            <v>7131.5871999999999</v>
          </cell>
          <cell r="BI70">
            <v>5841.8209000000006</v>
          </cell>
          <cell r="BJ70">
            <v>7761.3025999999991</v>
          </cell>
          <cell r="BK70">
            <v>7194.5759999999991</v>
          </cell>
          <cell r="BL70">
            <v>7108.5479999999989</v>
          </cell>
          <cell r="BM70">
            <v>6897.6900000000005</v>
          </cell>
          <cell r="BN70">
            <v>7707.1239000000005</v>
          </cell>
          <cell r="BO70">
            <v>8377.5887999999995</v>
          </cell>
          <cell r="BP70">
            <v>6575.1750000000002</v>
          </cell>
          <cell r="BQ70">
            <v>7708.1003999999994</v>
          </cell>
          <cell r="BR70">
            <v>7855.848</v>
          </cell>
          <cell r="BS70">
            <v>8107.1200000000008</v>
          </cell>
          <cell r="BT70">
            <v>7155.7919999999995</v>
          </cell>
          <cell r="BU70">
            <v>6832.2071999999998</v>
          </cell>
          <cell r="BV70">
            <v>7385.3779999999997</v>
          </cell>
          <cell r="BW70">
            <v>7493.73</v>
          </cell>
          <cell r="BX70">
            <v>7867.2543999999998</v>
          </cell>
          <cell r="BY70">
            <v>7018.2359999999999</v>
          </cell>
          <cell r="BZ70">
            <v>8037.369999999999</v>
          </cell>
          <cell r="CA70">
            <v>7979.4</v>
          </cell>
          <cell r="CB70">
            <v>7514.5380000000005</v>
          </cell>
          <cell r="CC70">
            <v>8349.1928000000007</v>
          </cell>
          <cell r="CD70">
            <v>8418.7289999999994</v>
          </cell>
          <cell r="CE70">
            <v>8344.5396999999994</v>
          </cell>
          <cell r="CF70">
            <v>8005.8646999999992</v>
          </cell>
          <cell r="CG70">
            <v>7116.9364000000005</v>
          </cell>
          <cell r="CH70">
            <v>7778.6873999999998</v>
          </cell>
          <cell r="CI70">
            <v>7906.299</v>
          </cell>
          <cell r="CJ70">
            <v>6919.5130999999992</v>
          </cell>
          <cell r="CK70">
            <v>6777.3</v>
          </cell>
          <cell r="CL70">
            <v>7780.3954999999996</v>
          </cell>
          <cell r="CM70">
            <v>8547.3323999999993</v>
          </cell>
          <cell r="CN70">
            <v>7905.7439999999988</v>
          </cell>
          <cell r="CO70">
            <v>8491.2099999999991</v>
          </cell>
          <cell r="CP70">
            <v>8661.7049999999999</v>
          </cell>
          <cell r="CQ70">
            <v>8867.2492999999995</v>
          </cell>
          <cell r="CR70">
            <v>8802.9521999999997</v>
          </cell>
          <cell r="CS70">
            <v>8613.6119999999992</v>
          </cell>
        </row>
        <row r="71">
          <cell r="B71" t="str">
            <v>Total % Change</v>
          </cell>
          <cell r="X71">
            <v>0.11607991847527543</v>
          </cell>
          <cell r="Y71">
            <v>-0.19771465820206136</v>
          </cell>
          <cell r="Z71">
            <v>5.0105279643615441E-2</v>
          </cell>
          <cell r="AA71">
            <v>1.6305106525842161E-2</v>
          </cell>
          <cell r="AB71">
            <v>-2.920668106747859E-2</v>
          </cell>
          <cell r="AC71">
            <v>6.5014632373881387E-2</v>
          </cell>
          <cell r="AD71">
            <v>2.2894165184720539E-2</v>
          </cell>
          <cell r="AE71">
            <v>2.9791856209834933E-2</v>
          </cell>
          <cell r="AF71">
            <v>-2.7448849749847071E-3</v>
          </cell>
          <cell r="AG71">
            <v>3.8381742738589297E-2</v>
          </cell>
          <cell r="AH71">
            <v>5.6139599939084572E-2</v>
          </cell>
          <cell r="AI71">
            <v>0.10874271294089399</v>
          </cell>
          <cell r="AJ71">
            <v>-1.0777095366748535E-2</v>
          </cell>
          <cell r="AK71">
            <v>0.1949948324228552</v>
          </cell>
          <cell r="AL71">
            <v>0.10362404966504535</v>
          </cell>
          <cell r="AM71">
            <v>0.12993450596383549</v>
          </cell>
          <cell r="AN71">
            <v>0.16567815893784843</v>
          </cell>
          <cell r="AO71">
            <v>1.7274342675249743E-2</v>
          </cell>
          <cell r="AP71">
            <v>5.7240240437226753E-2</v>
          </cell>
          <cell r="AQ71">
            <v>7.3579771684023632E-2</v>
          </cell>
          <cell r="AR71">
            <v>9.5029872818692462E-2</v>
          </cell>
          <cell r="AS71">
            <v>2.1186488455111396E-2</v>
          </cell>
          <cell r="AT71">
            <v>0.14956381051349954</v>
          </cell>
          <cell r="AU71">
            <v>9.1703237943287608E-2</v>
          </cell>
          <cell r="AV71">
            <v>6.091758973607142E-2</v>
          </cell>
          <cell r="AW71">
            <v>6.0955236719105965E-2</v>
          </cell>
          <cell r="AX71">
            <v>2.0812926838631896E-2</v>
          </cell>
          <cell r="AY71">
            <v>-0.37582252922406145</v>
          </cell>
          <cell r="AZ71">
            <v>-0.52401527155296002</v>
          </cell>
          <cell r="BA71">
            <v>-0.16179755734914802</v>
          </cell>
          <cell r="BB71">
            <v>-3.3557745953161966E-2</v>
          </cell>
          <cell r="BC71">
            <v>0.11129141677844423</v>
          </cell>
          <cell r="BD71">
            <v>9.3999453312215042E-2</v>
          </cell>
          <cell r="BE71">
            <v>0.13137179931265242</v>
          </cell>
          <cell r="BF71">
            <v>0.10428461061083882</v>
          </cell>
          <cell r="BG71">
            <v>7.5823921258763027E-2</v>
          </cell>
          <cell r="BH71">
            <v>0.12703020129788234</v>
          </cell>
          <cell r="BI71">
            <v>1.3548520106922535E-2</v>
          </cell>
          <cell r="BJ71">
            <v>0.21279143927590138</v>
          </cell>
          <cell r="BK71">
            <v>0.81832738031290653</v>
          </cell>
          <cell r="BL71">
            <v>1.2698032836375015</v>
          </cell>
          <cell r="BM71">
            <v>0.57015068618141163</v>
          </cell>
          <cell r="BN71">
            <v>0.30564300179172421</v>
          </cell>
          <cell r="BO71">
            <v>2.318249141964368E-2</v>
          </cell>
          <cell r="BP71">
            <v>6.7488960967874601E-2</v>
          </cell>
          <cell r="BQ71">
            <v>8.5365954539366573E-2</v>
          </cell>
          <cell r="BR71">
            <v>4.0402403476717419E-2</v>
          </cell>
          <cell r="BS71">
            <v>1.2073220928566331E-2</v>
          </cell>
          <cell r="BT71">
            <v>7.921560282994089E-2</v>
          </cell>
          <cell r="BU71">
            <v>8.2785972477367409E-2</v>
          </cell>
          <cell r="BV71">
            <v>-5.3935120698937578E-2</v>
          </cell>
          <cell r="BW71">
            <v>-6.0902860623212041E-3</v>
          </cell>
          <cell r="BX71">
            <v>5.8111497692033387E-2</v>
          </cell>
          <cell r="BY71">
            <v>2.6094208700293775E-2</v>
          </cell>
          <cell r="BZ71">
            <v>1.6974621138211576E-2</v>
          </cell>
          <cell r="CA71">
            <v>4.5527723855207647E-2</v>
          </cell>
          <cell r="CB71">
            <v>0.10239763632409349</v>
          </cell>
          <cell r="CC71">
            <v>0.1435842290714644</v>
          </cell>
          <cell r="CD71">
            <v>0.18515375265224399</v>
          </cell>
          <cell r="CE71">
            <v>0.14522804326319183</v>
          </cell>
          <cell r="CF71">
            <v>7.3904579797738901E-2</v>
          </cell>
          <cell r="CG71">
            <v>0.19748175468548723</v>
          </cell>
          <cell r="CH71">
            <v>0.23628290859798207</v>
          </cell>
          <cell r="CI71">
            <v>0.23500925222673708</v>
          </cell>
          <cell r="CJ71">
            <v>5.6812235760104635E-2</v>
          </cell>
          <cell r="CK71">
            <v>0.11709209041764046</v>
          </cell>
          <cell r="CL71">
            <v>9.8355429457823274E-2</v>
          </cell>
          <cell r="CM71">
            <v>9.604555450331298E-2</v>
          </cell>
          <cell r="CN71">
            <v>0.16722159122260205</v>
          </cell>
          <cell r="CO71">
            <v>0.14046851577347086</v>
          </cell>
          <cell r="CP71">
            <v>0.10088772055378126</v>
          </cell>
          <cell r="CQ71">
            <v>0.22945132416269076</v>
          </cell>
          <cell r="CR71">
            <v>0.30529301610957083</v>
          </cell>
          <cell r="CS71">
            <v>0.21559967173351668</v>
          </cell>
        </row>
        <row r="73">
          <cell r="B73" t="str">
            <v>Room Nights Available</v>
          </cell>
        </row>
        <row r="74">
          <cell r="B74" t="str">
            <v>Grand Total</v>
          </cell>
          <cell r="K74">
            <v>3442315</v>
          </cell>
          <cell r="L74">
            <v>291896</v>
          </cell>
          <cell r="M74">
            <v>273760</v>
          </cell>
          <cell r="N74">
            <v>292640</v>
          </cell>
          <cell r="O74">
            <v>279510</v>
          </cell>
          <cell r="P74">
            <v>283309</v>
          </cell>
          <cell r="Q74">
            <v>280800</v>
          </cell>
          <cell r="R74">
            <v>288517</v>
          </cell>
          <cell r="S74">
            <v>288145</v>
          </cell>
          <cell r="T74">
            <v>278910</v>
          </cell>
          <cell r="U74">
            <v>288393</v>
          </cell>
          <cell r="V74">
            <v>276060</v>
          </cell>
          <cell r="W74">
            <v>285231</v>
          </cell>
          <cell r="X74">
            <v>284394</v>
          </cell>
          <cell r="Y74">
            <v>256984</v>
          </cell>
          <cell r="Z74">
            <v>284518</v>
          </cell>
          <cell r="AA74">
            <v>276030</v>
          </cell>
          <cell r="AB74">
            <v>281883</v>
          </cell>
          <cell r="AC74">
            <v>259500</v>
          </cell>
          <cell r="AD74">
            <v>279558</v>
          </cell>
          <cell r="AE74">
            <v>279589</v>
          </cell>
          <cell r="AF74">
            <v>270480</v>
          </cell>
          <cell r="AG74">
            <v>279279</v>
          </cell>
          <cell r="AH74">
            <v>270660</v>
          </cell>
          <cell r="AI74">
            <v>279930</v>
          </cell>
          <cell r="AJ74">
            <v>277016</v>
          </cell>
          <cell r="AK74">
            <v>251804</v>
          </cell>
          <cell r="AL74">
            <v>278225</v>
          </cell>
          <cell r="AM74">
            <v>269550</v>
          </cell>
          <cell r="AN74">
            <v>277605</v>
          </cell>
          <cell r="AO74">
            <v>263370</v>
          </cell>
          <cell r="AP74">
            <v>272490</v>
          </cell>
          <cell r="AQ74">
            <v>272738</v>
          </cell>
          <cell r="AR74">
            <v>264240</v>
          </cell>
          <cell r="AS74">
            <v>277326</v>
          </cell>
          <cell r="AT74">
            <v>267840</v>
          </cell>
          <cell r="AU74">
            <v>277574</v>
          </cell>
          <cell r="AV74">
            <v>277822</v>
          </cell>
          <cell r="AW74">
            <v>250404</v>
          </cell>
          <cell r="AX74">
            <v>276768</v>
          </cell>
          <cell r="AY74">
            <v>267870</v>
          </cell>
          <cell r="AZ74">
            <v>276427</v>
          </cell>
          <cell r="BA74">
            <v>267660</v>
          </cell>
          <cell r="BB74">
            <v>272955</v>
          </cell>
          <cell r="BC74">
            <v>274753</v>
          </cell>
          <cell r="BD74">
            <v>267210</v>
          </cell>
          <cell r="BE74">
            <v>275869</v>
          </cell>
          <cell r="BF74">
            <v>275340</v>
          </cell>
          <cell r="BG74">
            <v>284735</v>
          </cell>
          <cell r="BH74">
            <v>284828</v>
          </cell>
          <cell r="BI74">
            <v>267032</v>
          </cell>
          <cell r="BJ74">
            <v>288331</v>
          </cell>
          <cell r="BK74">
            <v>279540</v>
          </cell>
          <cell r="BL74">
            <v>288703</v>
          </cell>
          <cell r="BM74">
            <v>279000</v>
          </cell>
          <cell r="BN74">
            <v>290625</v>
          </cell>
          <cell r="BO74">
            <v>287711</v>
          </cell>
          <cell r="BP74">
            <v>273150</v>
          </cell>
          <cell r="BQ74">
            <v>281418</v>
          </cell>
          <cell r="BR74">
            <v>274650</v>
          </cell>
          <cell r="BS74">
            <v>284208</v>
          </cell>
          <cell r="BT74">
            <v>306931</v>
          </cell>
          <cell r="BU74">
            <v>285068</v>
          </cell>
          <cell r="BV74">
            <v>328135</v>
          </cell>
          <cell r="BW74">
            <v>319080</v>
          </cell>
          <cell r="BX74">
            <v>324074</v>
          </cell>
          <cell r="BY74">
            <v>317130</v>
          </cell>
          <cell r="BZ74">
            <v>327422</v>
          </cell>
          <cell r="CA74">
            <v>327019</v>
          </cell>
          <cell r="CB74">
            <v>320370</v>
          </cell>
          <cell r="CC74">
            <v>329685</v>
          </cell>
          <cell r="CD74">
            <v>324990</v>
          </cell>
          <cell r="CE74">
            <v>335792</v>
          </cell>
          <cell r="CF74">
            <v>341465</v>
          </cell>
          <cell r="CG74">
            <v>309148</v>
          </cell>
          <cell r="CH74">
            <v>350207</v>
          </cell>
          <cell r="CI74">
            <v>339690</v>
          </cell>
          <cell r="CJ74">
            <v>351075</v>
          </cell>
          <cell r="CK74">
            <v>352440</v>
          </cell>
          <cell r="CL74">
            <v>365552</v>
          </cell>
          <cell r="CM74">
            <v>365521</v>
          </cell>
          <cell r="CN74">
            <v>372330</v>
          </cell>
          <cell r="CO74">
            <v>384989</v>
          </cell>
          <cell r="CP74">
            <v>380790</v>
          </cell>
          <cell r="CQ74">
            <v>402318</v>
          </cell>
          <cell r="CR74">
            <v>400582</v>
          </cell>
          <cell r="CS74">
            <v>365764</v>
          </cell>
        </row>
        <row r="75">
          <cell r="B75" t="str">
            <v>Hotel Total</v>
          </cell>
          <cell r="K75">
            <v>3229520</v>
          </cell>
          <cell r="L75">
            <v>273823</v>
          </cell>
          <cell r="M75">
            <v>255606</v>
          </cell>
          <cell r="N75">
            <v>273265</v>
          </cell>
          <cell r="O75">
            <v>261630</v>
          </cell>
          <cell r="P75">
            <v>264833</v>
          </cell>
          <cell r="Q75">
            <v>262980</v>
          </cell>
          <cell r="R75">
            <v>270103</v>
          </cell>
          <cell r="S75">
            <v>269700</v>
          </cell>
          <cell r="T75">
            <v>260820</v>
          </cell>
          <cell r="U75">
            <v>269700</v>
          </cell>
          <cell r="V75">
            <v>257970</v>
          </cell>
          <cell r="W75">
            <v>266941</v>
          </cell>
          <cell r="X75">
            <v>266104</v>
          </cell>
          <cell r="Y75">
            <v>240464</v>
          </cell>
          <cell r="Z75">
            <v>266228</v>
          </cell>
          <cell r="AA75">
            <v>258180</v>
          </cell>
          <cell r="AB75">
            <v>263965</v>
          </cell>
          <cell r="AC75">
            <v>241770</v>
          </cell>
          <cell r="AD75">
            <v>261547</v>
          </cell>
          <cell r="AE75">
            <v>261547</v>
          </cell>
          <cell r="AF75">
            <v>253020</v>
          </cell>
          <cell r="AG75">
            <v>261237</v>
          </cell>
          <cell r="AH75">
            <v>252960</v>
          </cell>
          <cell r="AI75">
            <v>261640</v>
          </cell>
          <cell r="AJ75">
            <v>258819</v>
          </cell>
          <cell r="AK75">
            <v>235284</v>
          </cell>
          <cell r="AL75">
            <v>259935</v>
          </cell>
          <cell r="AM75">
            <v>251850</v>
          </cell>
          <cell r="AN75">
            <v>259315</v>
          </cell>
          <cell r="AO75">
            <v>245700</v>
          </cell>
          <cell r="AP75">
            <v>254200</v>
          </cell>
          <cell r="AQ75">
            <v>254417</v>
          </cell>
          <cell r="AR75">
            <v>246450</v>
          </cell>
          <cell r="AS75">
            <v>258912</v>
          </cell>
          <cell r="AT75">
            <v>250020</v>
          </cell>
          <cell r="AU75">
            <v>259160</v>
          </cell>
          <cell r="AV75">
            <v>259346</v>
          </cell>
          <cell r="AW75">
            <v>233744</v>
          </cell>
          <cell r="AX75">
            <v>258013</v>
          </cell>
          <cell r="AY75">
            <v>249990</v>
          </cell>
          <cell r="AZ75">
            <v>258013</v>
          </cell>
          <cell r="BA75">
            <v>249840</v>
          </cell>
          <cell r="BB75">
            <v>254696</v>
          </cell>
          <cell r="BC75">
            <v>256153</v>
          </cell>
          <cell r="BD75">
            <v>249210</v>
          </cell>
          <cell r="BE75">
            <v>257455</v>
          </cell>
          <cell r="BF75">
            <v>257520</v>
          </cell>
          <cell r="BG75">
            <v>266569</v>
          </cell>
          <cell r="BH75">
            <v>266476</v>
          </cell>
          <cell r="BI75">
            <v>249835</v>
          </cell>
          <cell r="BJ75">
            <v>269948</v>
          </cell>
          <cell r="BK75">
            <v>261780</v>
          </cell>
          <cell r="BL75">
            <v>270382</v>
          </cell>
          <cell r="BM75">
            <v>261300</v>
          </cell>
          <cell r="BN75">
            <v>272366</v>
          </cell>
          <cell r="BO75">
            <v>269483</v>
          </cell>
          <cell r="BP75">
            <v>255960</v>
          </cell>
          <cell r="BQ75">
            <v>264492</v>
          </cell>
          <cell r="BR75">
            <v>258270</v>
          </cell>
          <cell r="BS75">
            <v>266848</v>
          </cell>
          <cell r="BT75">
            <v>289571</v>
          </cell>
          <cell r="BU75">
            <v>268996</v>
          </cell>
          <cell r="BV75">
            <v>310403</v>
          </cell>
          <cell r="BW75">
            <v>302010</v>
          </cell>
          <cell r="BX75">
            <v>306466</v>
          </cell>
          <cell r="BY75">
            <v>300690</v>
          </cell>
          <cell r="BZ75">
            <v>310372</v>
          </cell>
          <cell r="CA75">
            <v>309969</v>
          </cell>
          <cell r="CB75">
            <v>303840</v>
          </cell>
          <cell r="CC75">
            <v>312604</v>
          </cell>
          <cell r="CD75">
            <v>308460</v>
          </cell>
          <cell r="CE75">
            <v>318835</v>
          </cell>
          <cell r="CF75">
            <v>324384</v>
          </cell>
          <cell r="CG75">
            <v>293720</v>
          </cell>
          <cell r="CH75">
            <v>333126</v>
          </cell>
          <cell r="CI75">
            <v>323160</v>
          </cell>
          <cell r="CJ75">
            <v>333994</v>
          </cell>
          <cell r="CK75">
            <v>335910</v>
          </cell>
          <cell r="CL75">
            <v>348471</v>
          </cell>
          <cell r="CM75">
            <v>348440</v>
          </cell>
          <cell r="CN75">
            <v>355770</v>
          </cell>
          <cell r="CO75">
            <v>367660</v>
          </cell>
          <cell r="CP75">
            <v>364020</v>
          </cell>
          <cell r="CQ75">
            <v>384989</v>
          </cell>
          <cell r="CR75">
            <v>383284</v>
          </cell>
          <cell r="CS75">
            <v>349804</v>
          </cell>
        </row>
        <row r="76">
          <cell r="B76" t="str">
            <v>5-star hotels</v>
          </cell>
          <cell r="K76">
            <v>1163985</v>
          </cell>
          <cell r="L76">
            <v>98549</v>
          </cell>
          <cell r="M76">
            <v>92249</v>
          </cell>
          <cell r="N76">
            <v>98642</v>
          </cell>
          <cell r="O76">
            <v>95310</v>
          </cell>
          <cell r="P76">
            <v>91574</v>
          </cell>
          <cell r="Q76">
            <v>95310</v>
          </cell>
          <cell r="R76">
            <v>96844</v>
          </cell>
          <cell r="S76">
            <v>96441</v>
          </cell>
          <cell r="T76">
            <v>93330</v>
          </cell>
          <cell r="U76">
            <v>96441</v>
          </cell>
          <cell r="V76">
            <v>93330</v>
          </cell>
          <cell r="W76">
            <v>96813</v>
          </cell>
          <cell r="X76">
            <v>95976</v>
          </cell>
          <cell r="Y76">
            <v>86800</v>
          </cell>
          <cell r="Z76">
            <v>96100</v>
          </cell>
          <cell r="AA76">
            <v>93540</v>
          </cell>
          <cell r="AB76">
            <v>96100</v>
          </cell>
          <cell r="AC76">
            <v>92730</v>
          </cell>
          <cell r="AD76">
            <v>96379</v>
          </cell>
          <cell r="AE76">
            <v>96379</v>
          </cell>
          <cell r="AF76">
            <v>93180</v>
          </cell>
          <cell r="AG76">
            <v>96069</v>
          </cell>
          <cell r="AH76">
            <v>93120</v>
          </cell>
          <cell r="AI76">
            <v>96472</v>
          </cell>
          <cell r="AJ76">
            <v>96410</v>
          </cell>
          <cell r="AK76">
            <v>87276</v>
          </cell>
          <cell r="AL76">
            <v>96069</v>
          </cell>
          <cell r="AM76">
            <v>93270</v>
          </cell>
          <cell r="AN76">
            <v>95759</v>
          </cell>
          <cell r="AO76">
            <v>92820</v>
          </cell>
          <cell r="AP76">
            <v>96224</v>
          </cell>
          <cell r="AQ76">
            <v>96441</v>
          </cell>
          <cell r="AR76">
            <v>93570</v>
          </cell>
          <cell r="AS76">
            <v>96069</v>
          </cell>
          <cell r="AT76">
            <v>92370</v>
          </cell>
          <cell r="AU76">
            <v>96224</v>
          </cell>
          <cell r="AV76">
            <v>96410</v>
          </cell>
          <cell r="AW76">
            <v>86576</v>
          </cell>
          <cell r="AX76">
            <v>95914</v>
          </cell>
          <cell r="AY76">
            <v>93120</v>
          </cell>
          <cell r="AZ76">
            <v>95914</v>
          </cell>
          <cell r="BA76">
            <v>92970</v>
          </cell>
          <cell r="BB76">
            <v>93341</v>
          </cell>
          <cell r="BC76">
            <v>94798</v>
          </cell>
          <cell r="BD76">
            <v>91740</v>
          </cell>
          <cell r="BE76">
            <v>94829</v>
          </cell>
          <cell r="BF76">
            <v>100140</v>
          </cell>
          <cell r="BG76">
            <v>103819</v>
          </cell>
          <cell r="BH76">
            <v>103726</v>
          </cell>
          <cell r="BI76">
            <v>97701</v>
          </cell>
          <cell r="BJ76">
            <v>107322</v>
          </cell>
          <cell r="BK76">
            <v>104400</v>
          </cell>
          <cell r="BL76">
            <v>107756</v>
          </cell>
          <cell r="BM76">
            <v>103920</v>
          </cell>
          <cell r="BN76">
            <v>107570</v>
          </cell>
          <cell r="BO76">
            <v>107570</v>
          </cell>
          <cell r="BP76">
            <v>104100</v>
          </cell>
          <cell r="BQ76">
            <v>107570</v>
          </cell>
          <cell r="BR76">
            <v>104100</v>
          </cell>
          <cell r="BS76">
            <v>107570</v>
          </cell>
          <cell r="BT76">
            <v>106919</v>
          </cell>
          <cell r="BU76">
            <v>96572</v>
          </cell>
          <cell r="BV76">
            <v>106919</v>
          </cell>
          <cell r="BW76">
            <v>103470</v>
          </cell>
          <cell r="BX76">
            <v>106919</v>
          </cell>
          <cell r="BY76">
            <v>103620</v>
          </cell>
          <cell r="BZ76">
            <v>107074</v>
          </cell>
          <cell r="CA76">
            <v>106919</v>
          </cell>
          <cell r="CB76">
            <v>103470</v>
          </cell>
          <cell r="CC76">
            <v>105555</v>
          </cell>
          <cell r="CD76">
            <v>103470</v>
          </cell>
          <cell r="CE76">
            <v>107012</v>
          </cell>
          <cell r="CF76">
            <v>107012</v>
          </cell>
          <cell r="CG76">
            <v>96656</v>
          </cell>
          <cell r="CH76">
            <v>107012</v>
          </cell>
          <cell r="CI76">
            <v>104130</v>
          </cell>
          <cell r="CJ76">
            <v>107601</v>
          </cell>
          <cell r="CK76">
            <v>113670</v>
          </cell>
          <cell r="CL76">
            <v>107353</v>
          </cell>
          <cell r="CM76">
            <v>107353</v>
          </cell>
          <cell r="CN76">
            <v>121770</v>
          </cell>
          <cell r="CO76">
            <v>125891</v>
          </cell>
          <cell r="CP76">
            <v>130470</v>
          </cell>
          <cell r="CQ76">
            <v>141732</v>
          </cell>
          <cell r="CR76">
            <v>139190</v>
          </cell>
          <cell r="CS76">
            <v>128604</v>
          </cell>
        </row>
        <row r="77">
          <cell r="B77" t="str">
            <v>4-star hotels</v>
          </cell>
          <cell r="K77">
            <v>883665</v>
          </cell>
          <cell r="L77">
            <v>75051</v>
          </cell>
          <cell r="M77">
            <v>78271</v>
          </cell>
          <cell r="N77">
            <v>83669</v>
          </cell>
          <cell r="O77">
            <v>80970</v>
          </cell>
          <cell r="P77">
            <v>83669</v>
          </cell>
          <cell r="Q77">
            <v>80970</v>
          </cell>
          <cell r="R77">
            <v>83669</v>
          </cell>
          <cell r="S77">
            <v>83669</v>
          </cell>
          <cell r="T77">
            <v>80970</v>
          </cell>
          <cell r="U77">
            <v>83669</v>
          </cell>
          <cell r="V77">
            <v>81630</v>
          </cell>
          <cell r="W77">
            <v>84351</v>
          </cell>
          <cell r="X77">
            <v>84351</v>
          </cell>
          <cell r="Y77">
            <v>76188</v>
          </cell>
          <cell r="Z77">
            <v>84351</v>
          </cell>
          <cell r="AA77">
            <v>81630</v>
          </cell>
          <cell r="AB77">
            <v>84351</v>
          </cell>
          <cell r="AC77">
            <v>68220</v>
          </cell>
          <cell r="AD77">
            <v>81654</v>
          </cell>
          <cell r="AE77">
            <v>81654</v>
          </cell>
          <cell r="AF77">
            <v>79020</v>
          </cell>
          <cell r="AG77">
            <v>81654</v>
          </cell>
          <cell r="AH77">
            <v>79020</v>
          </cell>
          <cell r="AI77">
            <v>81654</v>
          </cell>
          <cell r="AJ77">
            <v>81654</v>
          </cell>
          <cell r="AK77">
            <v>75068</v>
          </cell>
          <cell r="AL77">
            <v>83111</v>
          </cell>
          <cell r="AM77">
            <v>80430</v>
          </cell>
          <cell r="AN77">
            <v>83111</v>
          </cell>
          <cell r="AO77">
            <v>80430</v>
          </cell>
          <cell r="AP77">
            <v>83111</v>
          </cell>
          <cell r="AQ77">
            <v>83111</v>
          </cell>
          <cell r="AR77">
            <v>80430</v>
          </cell>
          <cell r="AS77">
            <v>83080</v>
          </cell>
          <cell r="AT77">
            <v>80400</v>
          </cell>
          <cell r="AU77">
            <v>83111</v>
          </cell>
          <cell r="AV77">
            <v>83111</v>
          </cell>
          <cell r="AW77">
            <v>75068</v>
          </cell>
          <cell r="AX77">
            <v>83111</v>
          </cell>
          <cell r="AY77">
            <v>80430</v>
          </cell>
          <cell r="AZ77">
            <v>83111</v>
          </cell>
          <cell r="BA77">
            <v>80430</v>
          </cell>
          <cell r="BB77">
            <v>81375</v>
          </cell>
          <cell r="BC77">
            <v>81375</v>
          </cell>
          <cell r="BD77">
            <v>78750</v>
          </cell>
          <cell r="BE77">
            <v>81375</v>
          </cell>
          <cell r="BF77">
            <v>78750</v>
          </cell>
          <cell r="BG77">
            <v>81375</v>
          </cell>
          <cell r="BH77">
            <v>81375</v>
          </cell>
          <cell r="BI77">
            <v>76125</v>
          </cell>
          <cell r="BJ77">
            <v>81375</v>
          </cell>
          <cell r="BK77">
            <v>78750</v>
          </cell>
          <cell r="BL77">
            <v>81375</v>
          </cell>
          <cell r="BM77">
            <v>78750</v>
          </cell>
          <cell r="BN77">
            <v>81375</v>
          </cell>
          <cell r="BO77">
            <v>81375</v>
          </cell>
          <cell r="BP77">
            <v>78750</v>
          </cell>
          <cell r="BQ77">
            <v>81375</v>
          </cell>
          <cell r="BR77">
            <v>78750</v>
          </cell>
          <cell r="BS77">
            <v>81375</v>
          </cell>
          <cell r="BT77">
            <v>96348</v>
          </cell>
          <cell r="BU77">
            <v>87136</v>
          </cell>
          <cell r="BV77">
            <v>109058</v>
          </cell>
          <cell r="BW77">
            <v>105540</v>
          </cell>
          <cell r="BX77">
            <v>104594</v>
          </cell>
          <cell r="BY77">
            <v>105180</v>
          </cell>
          <cell r="BZ77">
            <v>106671</v>
          </cell>
          <cell r="CA77">
            <v>106423</v>
          </cell>
          <cell r="CB77">
            <v>106860</v>
          </cell>
          <cell r="CC77">
            <v>110422</v>
          </cell>
          <cell r="CD77">
            <v>107520</v>
          </cell>
          <cell r="CE77">
            <v>111104</v>
          </cell>
          <cell r="CF77">
            <v>107663</v>
          </cell>
          <cell r="CG77">
            <v>97944</v>
          </cell>
          <cell r="CH77">
            <v>116405</v>
          </cell>
          <cell r="CI77">
            <v>112710</v>
          </cell>
          <cell r="CJ77">
            <v>116529</v>
          </cell>
          <cell r="CK77">
            <v>115920</v>
          </cell>
          <cell r="CL77">
            <v>120993</v>
          </cell>
          <cell r="CM77">
            <v>121148</v>
          </cell>
          <cell r="CN77">
            <v>117810</v>
          </cell>
          <cell r="CO77">
            <v>121737</v>
          </cell>
          <cell r="CP77">
            <v>117810</v>
          </cell>
          <cell r="CQ77">
            <v>121737</v>
          </cell>
          <cell r="CR77">
            <v>121706</v>
          </cell>
          <cell r="CS77">
            <v>110656</v>
          </cell>
        </row>
        <row r="78">
          <cell r="B78" t="str">
            <v>3-star hotels</v>
          </cell>
          <cell r="K78">
            <v>797525</v>
          </cell>
          <cell r="L78">
            <v>67580</v>
          </cell>
          <cell r="M78">
            <v>54520</v>
          </cell>
          <cell r="N78">
            <v>58280</v>
          </cell>
          <cell r="O78">
            <v>56400</v>
          </cell>
          <cell r="P78">
            <v>58280</v>
          </cell>
          <cell r="Q78">
            <v>56400</v>
          </cell>
          <cell r="R78">
            <v>58280</v>
          </cell>
          <cell r="S78">
            <v>58280</v>
          </cell>
          <cell r="T78">
            <v>56220</v>
          </cell>
          <cell r="U78">
            <v>58280</v>
          </cell>
          <cell r="V78">
            <v>56400</v>
          </cell>
          <cell r="W78">
            <v>58280</v>
          </cell>
          <cell r="X78">
            <v>58280</v>
          </cell>
          <cell r="Y78">
            <v>52640</v>
          </cell>
          <cell r="Z78">
            <v>58280</v>
          </cell>
          <cell r="AA78">
            <v>56400</v>
          </cell>
          <cell r="AB78">
            <v>56017</v>
          </cell>
          <cell r="AC78">
            <v>54210</v>
          </cell>
          <cell r="AD78">
            <v>56017</v>
          </cell>
          <cell r="AE78">
            <v>56017</v>
          </cell>
          <cell r="AF78">
            <v>54210</v>
          </cell>
          <cell r="AG78">
            <v>56017</v>
          </cell>
          <cell r="AH78">
            <v>54210</v>
          </cell>
          <cell r="AI78">
            <v>56017</v>
          </cell>
          <cell r="AJ78">
            <v>56017</v>
          </cell>
          <cell r="AK78">
            <v>50596</v>
          </cell>
          <cell r="AL78">
            <v>56017</v>
          </cell>
          <cell r="AM78">
            <v>54210</v>
          </cell>
          <cell r="AN78">
            <v>56017</v>
          </cell>
          <cell r="AO78">
            <v>54210</v>
          </cell>
          <cell r="AP78">
            <v>56017</v>
          </cell>
          <cell r="AQ78">
            <v>56017</v>
          </cell>
          <cell r="AR78">
            <v>54210</v>
          </cell>
          <cell r="AS78">
            <v>56017</v>
          </cell>
          <cell r="AT78">
            <v>54210</v>
          </cell>
          <cell r="AU78">
            <v>56017</v>
          </cell>
          <cell r="AV78">
            <v>56017</v>
          </cell>
          <cell r="AW78">
            <v>50596</v>
          </cell>
          <cell r="AX78">
            <v>56017</v>
          </cell>
          <cell r="AY78">
            <v>54210</v>
          </cell>
          <cell r="AZ78">
            <v>56017</v>
          </cell>
          <cell r="BA78">
            <v>54210</v>
          </cell>
          <cell r="BB78">
            <v>56544</v>
          </cell>
          <cell r="BC78">
            <v>56544</v>
          </cell>
          <cell r="BD78">
            <v>54720</v>
          </cell>
          <cell r="BE78">
            <v>56544</v>
          </cell>
          <cell r="BF78">
            <v>54720</v>
          </cell>
          <cell r="BG78">
            <v>56575</v>
          </cell>
          <cell r="BH78">
            <v>56575</v>
          </cell>
          <cell r="BI78">
            <v>52896</v>
          </cell>
          <cell r="BJ78">
            <v>56544</v>
          </cell>
          <cell r="BK78">
            <v>54720</v>
          </cell>
          <cell r="BL78">
            <v>56544</v>
          </cell>
          <cell r="BM78">
            <v>54720</v>
          </cell>
          <cell r="BN78">
            <v>57474</v>
          </cell>
          <cell r="BO78">
            <v>54591</v>
          </cell>
          <cell r="BP78">
            <v>48000</v>
          </cell>
          <cell r="BQ78">
            <v>49600</v>
          </cell>
          <cell r="BR78">
            <v>50250</v>
          </cell>
          <cell r="BS78">
            <v>51894</v>
          </cell>
          <cell r="BT78">
            <v>60295</v>
          </cell>
          <cell r="BU78">
            <v>61796</v>
          </cell>
          <cell r="BV78">
            <v>68417</v>
          </cell>
          <cell r="BW78">
            <v>67830</v>
          </cell>
          <cell r="BX78">
            <v>68944</v>
          </cell>
          <cell r="BY78">
            <v>66720</v>
          </cell>
          <cell r="BZ78">
            <v>70618</v>
          </cell>
          <cell r="CA78">
            <v>70618</v>
          </cell>
          <cell r="CB78">
            <v>68340</v>
          </cell>
          <cell r="CC78">
            <v>70618</v>
          </cell>
          <cell r="CD78">
            <v>72300</v>
          </cell>
          <cell r="CE78">
            <v>74710</v>
          </cell>
          <cell r="CF78">
            <v>83700</v>
          </cell>
          <cell r="CG78">
            <v>75628</v>
          </cell>
          <cell r="CH78">
            <v>83731</v>
          </cell>
          <cell r="CI78">
            <v>81030</v>
          </cell>
          <cell r="CJ78">
            <v>83731</v>
          </cell>
          <cell r="CK78">
            <v>81030</v>
          </cell>
          <cell r="CL78">
            <v>93837</v>
          </cell>
          <cell r="CM78">
            <v>93651</v>
          </cell>
          <cell r="CN78">
            <v>90750</v>
          </cell>
          <cell r="CO78">
            <v>93775</v>
          </cell>
          <cell r="CP78">
            <v>90750</v>
          </cell>
          <cell r="CQ78">
            <v>96100</v>
          </cell>
          <cell r="CR78">
            <v>96100</v>
          </cell>
          <cell r="CS78">
            <v>86800</v>
          </cell>
        </row>
        <row r="79">
          <cell r="B79" t="str">
            <v>2-star hotels</v>
          </cell>
          <cell r="K79">
            <v>384345</v>
          </cell>
          <cell r="L79">
            <v>32643</v>
          </cell>
          <cell r="M79">
            <v>30566</v>
          </cell>
          <cell r="N79">
            <v>32674</v>
          </cell>
          <cell r="O79">
            <v>28950</v>
          </cell>
          <cell r="P79">
            <v>31310</v>
          </cell>
          <cell r="Q79">
            <v>30300</v>
          </cell>
          <cell r="R79">
            <v>31310</v>
          </cell>
          <cell r="S79">
            <v>31310</v>
          </cell>
          <cell r="T79">
            <v>30300</v>
          </cell>
          <cell r="U79">
            <v>31310</v>
          </cell>
          <cell r="V79">
            <v>26610</v>
          </cell>
          <cell r="W79">
            <v>27497</v>
          </cell>
          <cell r="X79">
            <v>27497</v>
          </cell>
          <cell r="Y79">
            <v>24836</v>
          </cell>
          <cell r="Z79">
            <v>27497</v>
          </cell>
          <cell r="AA79">
            <v>26610</v>
          </cell>
          <cell r="AB79">
            <v>27497</v>
          </cell>
          <cell r="AC79">
            <v>26610</v>
          </cell>
          <cell r="AD79">
            <v>27497</v>
          </cell>
          <cell r="AE79">
            <v>27497</v>
          </cell>
          <cell r="AF79">
            <v>26610</v>
          </cell>
          <cell r="AG79">
            <v>27497</v>
          </cell>
          <cell r="AH79">
            <v>26610</v>
          </cell>
          <cell r="AI79">
            <v>27497</v>
          </cell>
          <cell r="AJ79">
            <v>24738</v>
          </cell>
          <cell r="AK79">
            <v>22344</v>
          </cell>
          <cell r="AL79">
            <v>24738</v>
          </cell>
          <cell r="AM79">
            <v>23940</v>
          </cell>
          <cell r="AN79">
            <v>24428</v>
          </cell>
          <cell r="AO79">
            <v>18240</v>
          </cell>
          <cell r="AP79">
            <v>18848</v>
          </cell>
          <cell r="AQ79">
            <v>18848</v>
          </cell>
          <cell r="AR79">
            <v>18240</v>
          </cell>
          <cell r="AS79">
            <v>23746</v>
          </cell>
          <cell r="AT79">
            <v>23040</v>
          </cell>
          <cell r="AU79">
            <v>23808</v>
          </cell>
          <cell r="AV79">
            <v>23808</v>
          </cell>
          <cell r="AW79">
            <v>21504</v>
          </cell>
          <cell r="AX79">
            <v>22971</v>
          </cell>
          <cell r="AY79">
            <v>22230</v>
          </cell>
          <cell r="AZ79">
            <v>22971</v>
          </cell>
          <cell r="BA79">
            <v>22230</v>
          </cell>
          <cell r="BB79">
            <v>23436</v>
          </cell>
          <cell r="BC79">
            <v>23436</v>
          </cell>
          <cell r="BD79">
            <v>24000</v>
          </cell>
          <cell r="BE79">
            <v>24707</v>
          </cell>
          <cell r="BF79">
            <v>23910</v>
          </cell>
          <cell r="BG79">
            <v>24800</v>
          </cell>
          <cell r="BH79">
            <v>24800</v>
          </cell>
          <cell r="BI79">
            <v>23113</v>
          </cell>
          <cell r="BJ79">
            <v>24707</v>
          </cell>
          <cell r="BK79">
            <v>23910</v>
          </cell>
          <cell r="BL79">
            <v>24707</v>
          </cell>
          <cell r="BM79">
            <v>23910</v>
          </cell>
          <cell r="BN79">
            <v>25947</v>
          </cell>
          <cell r="BO79">
            <v>25947</v>
          </cell>
          <cell r="BP79">
            <v>25110</v>
          </cell>
          <cell r="BQ79">
            <v>25947</v>
          </cell>
          <cell r="BR79">
            <v>25170</v>
          </cell>
          <cell r="BS79">
            <v>26009</v>
          </cell>
          <cell r="BT79">
            <v>26009</v>
          </cell>
          <cell r="BU79">
            <v>23492</v>
          </cell>
          <cell r="BV79">
            <v>26009</v>
          </cell>
          <cell r="BW79">
            <v>25170</v>
          </cell>
          <cell r="BX79">
            <v>26009</v>
          </cell>
          <cell r="BY79">
            <v>25170</v>
          </cell>
          <cell r="BZ79">
            <v>26009</v>
          </cell>
          <cell r="CA79">
            <v>26009</v>
          </cell>
          <cell r="CB79">
            <v>25170</v>
          </cell>
          <cell r="CC79">
            <v>26009</v>
          </cell>
          <cell r="CD79">
            <v>25170</v>
          </cell>
          <cell r="CE79">
            <v>26009</v>
          </cell>
          <cell r="CF79">
            <v>26009</v>
          </cell>
          <cell r="CG79">
            <v>23492</v>
          </cell>
          <cell r="CH79">
            <v>25978</v>
          </cell>
          <cell r="CI79">
            <v>25290</v>
          </cell>
          <cell r="CJ79">
            <v>26133</v>
          </cell>
          <cell r="CK79">
            <v>25290</v>
          </cell>
          <cell r="CL79">
            <v>26288</v>
          </cell>
          <cell r="CM79">
            <v>26288</v>
          </cell>
          <cell r="CN79">
            <v>25440</v>
          </cell>
          <cell r="CO79">
            <v>26257</v>
          </cell>
          <cell r="CP79">
            <v>24990</v>
          </cell>
          <cell r="CQ79">
            <v>25420</v>
          </cell>
          <cell r="CR79">
            <v>26288</v>
          </cell>
          <cell r="CS79">
            <v>23744</v>
          </cell>
        </row>
        <row r="80">
          <cell r="B80" t="str">
            <v>Guest-houses</v>
          </cell>
          <cell r="K80">
            <v>212795</v>
          </cell>
          <cell r="L80">
            <v>18073</v>
          </cell>
          <cell r="M80">
            <v>18154</v>
          </cell>
          <cell r="N80">
            <v>19375</v>
          </cell>
          <cell r="O80">
            <v>17880</v>
          </cell>
          <cell r="P80">
            <v>18476</v>
          </cell>
          <cell r="Q80">
            <v>17820</v>
          </cell>
          <cell r="R80">
            <v>18414</v>
          </cell>
          <cell r="S80">
            <v>18445</v>
          </cell>
          <cell r="T80">
            <v>18090</v>
          </cell>
          <cell r="U80">
            <v>18693</v>
          </cell>
          <cell r="V80">
            <v>18090</v>
          </cell>
          <cell r="W80">
            <v>18290</v>
          </cell>
          <cell r="X80">
            <v>18290</v>
          </cell>
          <cell r="Y80">
            <v>16520</v>
          </cell>
          <cell r="Z80">
            <v>18290</v>
          </cell>
          <cell r="AA80">
            <v>17850</v>
          </cell>
          <cell r="AB80">
            <v>17918</v>
          </cell>
          <cell r="AC80">
            <v>17730</v>
          </cell>
          <cell r="AD80">
            <v>18011</v>
          </cell>
          <cell r="AE80">
            <v>18042</v>
          </cell>
          <cell r="AF80">
            <v>17460</v>
          </cell>
          <cell r="AG80">
            <v>18042</v>
          </cell>
          <cell r="AH80">
            <v>17700</v>
          </cell>
          <cell r="AI80">
            <v>18290</v>
          </cell>
          <cell r="AJ80">
            <v>18197</v>
          </cell>
          <cell r="AK80">
            <v>16520</v>
          </cell>
          <cell r="AL80">
            <v>18290</v>
          </cell>
          <cell r="AM80">
            <v>17700</v>
          </cell>
          <cell r="AN80">
            <v>18290</v>
          </cell>
          <cell r="AO80">
            <v>17670</v>
          </cell>
          <cell r="AP80">
            <v>18290</v>
          </cell>
          <cell r="AQ80">
            <v>18321</v>
          </cell>
          <cell r="AR80">
            <v>17790</v>
          </cell>
          <cell r="AS80">
            <v>18414</v>
          </cell>
          <cell r="AT80">
            <v>17820</v>
          </cell>
          <cell r="AU80">
            <v>18414</v>
          </cell>
          <cell r="AV80">
            <v>18476</v>
          </cell>
          <cell r="AW80">
            <v>16660</v>
          </cell>
          <cell r="AX80">
            <v>18755</v>
          </cell>
          <cell r="AY80">
            <v>17880</v>
          </cell>
          <cell r="AZ80">
            <v>18414</v>
          </cell>
          <cell r="BA80">
            <v>17820</v>
          </cell>
          <cell r="BB80">
            <v>18259</v>
          </cell>
          <cell r="BC80">
            <v>18600</v>
          </cell>
          <cell r="BD80">
            <v>18000</v>
          </cell>
          <cell r="BE80">
            <v>18414</v>
          </cell>
          <cell r="BF80">
            <v>17820</v>
          </cell>
          <cell r="BG80">
            <v>18166</v>
          </cell>
          <cell r="BH80">
            <v>18352</v>
          </cell>
          <cell r="BI80">
            <v>17197</v>
          </cell>
          <cell r="BJ80">
            <v>18383</v>
          </cell>
          <cell r="BK80">
            <v>17760</v>
          </cell>
          <cell r="BL80">
            <v>18321</v>
          </cell>
          <cell r="BM80">
            <v>17700</v>
          </cell>
          <cell r="BN80">
            <v>18259</v>
          </cell>
          <cell r="BO80">
            <v>18228</v>
          </cell>
          <cell r="BP80">
            <v>17190</v>
          </cell>
          <cell r="BQ80">
            <v>16926</v>
          </cell>
          <cell r="BR80">
            <v>16380</v>
          </cell>
          <cell r="BS80">
            <v>17360</v>
          </cell>
          <cell r="BT80">
            <v>17360</v>
          </cell>
          <cell r="BU80">
            <v>16072</v>
          </cell>
          <cell r="BV80">
            <v>17732</v>
          </cell>
          <cell r="BW80">
            <v>17070</v>
          </cell>
          <cell r="BX80">
            <v>17608</v>
          </cell>
          <cell r="BY80">
            <v>16440</v>
          </cell>
          <cell r="BZ80">
            <v>17050</v>
          </cell>
          <cell r="CA80">
            <v>17050</v>
          </cell>
          <cell r="CB80">
            <v>16530</v>
          </cell>
          <cell r="CC80">
            <v>17081</v>
          </cell>
          <cell r="CD80">
            <v>16530</v>
          </cell>
          <cell r="CE80">
            <v>16957</v>
          </cell>
          <cell r="CF80">
            <v>17081</v>
          </cell>
          <cell r="CG80">
            <v>15428</v>
          </cell>
          <cell r="CH80">
            <v>17081</v>
          </cell>
          <cell r="CI80">
            <v>16530</v>
          </cell>
          <cell r="CJ80">
            <v>17081</v>
          </cell>
          <cell r="CK80">
            <v>16530</v>
          </cell>
          <cell r="CL80">
            <v>17081</v>
          </cell>
          <cell r="CM80">
            <v>17081</v>
          </cell>
          <cell r="CN80">
            <v>16560</v>
          </cell>
          <cell r="CO80">
            <v>17329</v>
          </cell>
          <cell r="CP80">
            <v>16770</v>
          </cell>
          <cell r="CQ80">
            <v>17329</v>
          </cell>
          <cell r="CR80">
            <v>17298</v>
          </cell>
          <cell r="CS80">
            <v>15960</v>
          </cell>
        </row>
        <row r="81">
          <cell r="B81" t="str">
            <v>Total % Change</v>
          </cell>
          <cell r="X81">
            <v>-2.5700934579439227E-2</v>
          </cell>
          <cell r="Y81">
            <v>-6.1279953243717156E-2</v>
          </cell>
          <cell r="Z81">
            <v>-2.7754237288135641E-2</v>
          </cell>
          <cell r="AA81">
            <v>-1.2450359557797608E-2</v>
          </cell>
          <cell r="AB81">
            <v>-5.0333734544261155E-3</v>
          </cell>
          <cell r="AC81">
            <v>-7.5854700854700807E-2</v>
          </cell>
          <cell r="AD81">
            <v>-3.1051896422047975E-2</v>
          </cell>
          <cell r="AE81">
            <v>-2.9693383539537432E-2</v>
          </cell>
          <cell r="AF81">
            <v>-3.0224803700118263E-2</v>
          </cell>
          <cell r="AG81">
            <v>-3.1602708803611712E-2</v>
          </cell>
          <cell r="AH81">
            <v>-1.9560965007607067E-2</v>
          </cell>
          <cell r="AI81">
            <v>-1.8584936419954401E-2</v>
          </cell>
          <cell r="AJ81">
            <v>-2.5942882057990002E-2</v>
          </cell>
          <cell r="AK81">
            <v>-2.0156896927435164E-2</v>
          </cell>
          <cell r="AL81">
            <v>-2.2118108520374768E-2</v>
          </cell>
          <cell r="AM81">
            <v>-2.3475709162047553E-2</v>
          </cell>
          <cell r="AN81">
            <v>-1.5176509402837324E-2</v>
          </cell>
          <cell r="AO81">
            <v>1.4913294797687771E-2</v>
          </cell>
          <cell r="AP81">
            <v>-2.528276779773786E-2</v>
          </cell>
          <cell r="AQ81">
            <v>-2.4503825257789158E-2</v>
          </cell>
          <cell r="AR81">
            <v>-2.3070097604259043E-2</v>
          </cell>
          <cell r="AS81">
            <v>-6.9930069930069783E-3</v>
          </cell>
          <cell r="AT81">
            <v>-1.0418975836843258E-2</v>
          </cell>
          <cell r="AU81">
            <v>-8.4163898117386449E-3</v>
          </cell>
          <cell r="AV81">
            <v>2.9095792300806167E-3</v>
          </cell>
          <cell r="AW81">
            <v>-5.5598799065940119E-3</v>
          </cell>
          <cell r="AX81">
            <v>-5.2367688022284531E-3</v>
          </cell>
          <cell r="AY81">
            <v>-6.2326099053978679E-3</v>
          </cell>
          <cell r="AZ81">
            <v>-4.2434394193188174E-3</v>
          </cell>
          <cell r="BA81">
            <v>1.6288871169837016E-2</v>
          </cell>
          <cell r="BB81">
            <v>1.7064846416381396E-3</v>
          </cell>
          <cell r="BC81">
            <v>7.3880427369856783E-3</v>
          </cell>
          <cell r="BD81">
            <v>1.1239782016348787E-2</v>
          </cell>
          <cell r="BE81">
            <v>-5.2537446903644369E-3</v>
          </cell>
          <cell r="BF81">
            <v>2.8001792114695334E-2</v>
          </cell>
          <cell r="BG81">
            <v>2.5798525798525818E-2</v>
          </cell>
          <cell r="BH81">
            <v>2.5217585360410633E-2</v>
          </cell>
          <cell r="BI81">
            <v>6.6404690020926083E-2</v>
          </cell>
          <cell r="BJ81">
            <v>4.1778673835125346E-2</v>
          </cell>
          <cell r="BK81">
            <v>4.3565908836375788E-2</v>
          </cell>
          <cell r="BL81">
            <v>4.4409554782998795E-2</v>
          </cell>
          <cell r="BM81">
            <v>4.2367182246133117E-2</v>
          </cell>
          <cell r="BN81">
            <v>6.4735945485519641E-2</v>
          </cell>
          <cell r="BO81">
            <v>4.7162360374590984E-2</v>
          </cell>
          <cell r="BP81">
            <v>2.2229706972044516E-2</v>
          </cell>
          <cell r="BQ81">
            <v>2.0114619620182017E-2</v>
          </cell>
          <cell r="BR81">
            <v>-2.5059925909783898E-3</v>
          </cell>
          <cell r="BS81">
            <v>-1.8508437670113898E-3</v>
          </cell>
          <cell r="BT81">
            <v>7.7601218981280029E-2</v>
          </cell>
          <cell r="BU81">
            <v>6.754246682045606E-2</v>
          </cell>
          <cell r="BV81">
            <v>0.13804967207827112</v>
          </cell>
          <cell r="BW81">
            <v>0.14144666237389991</v>
          </cell>
          <cell r="BX81">
            <v>0.12251691184365932</v>
          </cell>
          <cell r="BY81">
            <v>0.13666666666666671</v>
          </cell>
          <cell r="BZ81">
            <v>0.12661333333333324</v>
          </cell>
          <cell r="CA81">
            <v>0.13662320870595845</v>
          </cell>
          <cell r="CB81">
            <v>0.17287204832509606</v>
          </cell>
          <cell r="CC81">
            <v>0.17151354923992068</v>
          </cell>
          <cell r="CD81">
            <v>0.18328782086291651</v>
          </cell>
          <cell r="CE81">
            <v>0.18150087260034908</v>
          </cell>
          <cell r="CF81">
            <v>0.11251388748611246</v>
          </cell>
          <cell r="CG81">
            <v>8.447107356841177E-2</v>
          </cell>
          <cell r="CH81">
            <v>6.7264997638167179E-2</v>
          </cell>
          <cell r="CI81">
            <v>6.4591951861602048E-2</v>
          </cell>
          <cell r="CJ81">
            <v>8.3317390472546382E-2</v>
          </cell>
          <cell r="CK81">
            <v>0.11134235171696161</v>
          </cell>
          <cell r="CL81">
            <v>0.11645521681499726</v>
          </cell>
          <cell r="CM81">
            <v>0.11773627832021982</v>
          </cell>
          <cell r="CN81">
            <v>0.16218747073696038</v>
          </cell>
          <cell r="CO81">
            <v>0.16774800188058303</v>
          </cell>
          <cell r="CP81">
            <v>0.17169759069509838</v>
          </cell>
          <cell r="CQ81">
            <v>0.19811669128508114</v>
          </cell>
          <cell r="CR81">
            <v>0.17312755333635943</v>
          </cell>
          <cell r="CS81">
            <v>0.18313558554478759</v>
          </cell>
        </row>
        <row r="83">
          <cell r="B83" t="str">
            <v>Average Length of Stay</v>
          </cell>
        </row>
        <row r="84">
          <cell r="B84" t="str">
            <v>Grand Total</v>
          </cell>
          <cell r="K84">
            <v>1.43</v>
          </cell>
          <cell r="L84">
            <v>1.27</v>
          </cell>
          <cell r="M84">
            <v>1.26</v>
          </cell>
          <cell r="N84">
            <v>1.27</v>
          </cell>
          <cell r="O84">
            <v>1.28</v>
          </cell>
          <cell r="P84">
            <v>1.25</v>
          </cell>
          <cell r="Q84">
            <v>1.28</v>
          </cell>
          <cell r="R84">
            <v>1.24</v>
          </cell>
          <cell r="S84">
            <v>1.24</v>
          </cell>
          <cell r="T84">
            <v>1.3</v>
          </cell>
          <cell r="U84">
            <v>1.31</v>
          </cell>
          <cell r="V84">
            <v>1.34</v>
          </cell>
          <cell r="W84">
            <v>1.35</v>
          </cell>
          <cell r="X84">
            <v>1.26</v>
          </cell>
          <cell r="Y84">
            <v>1.33</v>
          </cell>
          <cell r="Z84">
            <v>1.3</v>
          </cell>
          <cell r="AA84">
            <v>1.26</v>
          </cell>
          <cell r="AB84">
            <v>1.27</v>
          </cell>
          <cell r="AC84">
            <v>1.34</v>
          </cell>
          <cell r="AD84">
            <v>1.28</v>
          </cell>
          <cell r="AE84">
            <v>1.27</v>
          </cell>
          <cell r="AF84">
            <v>1.32</v>
          </cell>
          <cell r="AG84">
            <v>1.33</v>
          </cell>
          <cell r="AH84">
            <v>1.3</v>
          </cell>
          <cell r="AI84">
            <v>1.25</v>
          </cell>
          <cell r="AJ84">
            <v>1.26</v>
          </cell>
          <cell r="AK84">
            <v>1.25</v>
          </cell>
          <cell r="AL84">
            <v>1.29</v>
          </cell>
          <cell r="AM84">
            <v>1.26</v>
          </cell>
          <cell r="AN84">
            <v>1.24</v>
          </cell>
          <cell r="AO84">
            <v>1.21</v>
          </cell>
          <cell r="AP84">
            <v>1.23</v>
          </cell>
          <cell r="AQ84">
            <v>1.19</v>
          </cell>
          <cell r="AR84">
            <v>1.2</v>
          </cell>
          <cell r="AS84">
            <v>1.23</v>
          </cell>
          <cell r="AT84">
            <v>1.21</v>
          </cell>
          <cell r="AU84">
            <v>1.18</v>
          </cell>
          <cell r="AV84">
            <v>1.19</v>
          </cell>
          <cell r="AW84">
            <v>1.18</v>
          </cell>
          <cell r="AX84">
            <v>1.19</v>
          </cell>
          <cell r="AY84">
            <v>1.27</v>
          </cell>
          <cell r="AZ84">
            <v>1.33</v>
          </cell>
          <cell r="BA84">
            <v>1.24</v>
          </cell>
          <cell r="BB84">
            <v>1.2</v>
          </cell>
          <cell r="BC84">
            <v>1.19</v>
          </cell>
          <cell r="BD84">
            <v>1.2</v>
          </cell>
          <cell r="BE84">
            <v>1.25</v>
          </cell>
          <cell r="BF84">
            <v>1.22</v>
          </cell>
          <cell r="BG84">
            <v>1.2</v>
          </cell>
          <cell r="BH84">
            <v>1.21</v>
          </cell>
          <cell r="BI84">
            <v>1.17</v>
          </cell>
          <cell r="BJ84">
            <v>1.19</v>
          </cell>
          <cell r="BK84">
            <v>1.18</v>
          </cell>
          <cell r="BL84">
            <v>1.19</v>
          </cell>
          <cell r="BM84">
            <v>1.2</v>
          </cell>
          <cell r="BN84">
            <v>1.1599999999999999</v>
          </cell>
          <cell r="BO84">
            <v>1.1499999999999999</v>
          </cell>
          <cell r="BP84">
            <v>1.18</v>
          </cell>
          <cell r="BQ84">
            <v>1.17</v>
          </cell>
          <cell r="BR84">
            <v>1.1599999999999999</v>
          </cell>
          <cell r="BS84">
            <v>1.1499999999999999</v>
          </cell>
          <cell r="BT84">
            <v>1.2</v>
          </cell>
          <cell r="BU84">
            <v>1.1599999999999999</v>
          </cell>
          <cell r="BV84">
            <v>1.18</v>
          </cell>
          <cell r="BW84">
            <v>1.1599999999999999</v>
          </cell>
          <cell r="BX84">
            <v>1.18</v>
          </cell>
          <cell r="BY84">
            <v>1.1399999999999999</v>
          </cell>
          <cell r="BZ84">
            <v>1.1599999999999999</v>
          </cell>
          <cell r="CA84">
            <v>1.1599999999999999</v>
          </cell>
          <cell r="CB84">
            <v>1.17</v>
          </cell>
          <cell r="CC84">
            <v>1.25</v>
          </cell>
          <cell r="CD84">
            <v>1.21</v>
          </cell>
          <cell r="CE84">
            <v>1.1399999999999999</v>
          </cell>
          <cell r="CF84">
            <v>1.1599999999999999</v>
          </cell>
          <cell r="CG84">
            <v>1.1599999999999999</v>
          </cell>
          <cell r="CH84">
            <v>1.1499999999999999</v>
          </cell>
          <cell r="CI84">
            <v>1.1599999999999999</v>
          </cell>
          <cell r="CJ84">
            <v>1.1499999999999999</v>
          </cell>
          <cell r="CK84">
            <v>1.1599999999999999</v>
          </cell>
          <cell r="CL84">
            <v>1.1599999999999999</v>
          </cell>
          <cell r="CM84">
            <v>1.1599999999999999</v>
          </cell>
          <cell r="CN84">
            <v>1.18</v>
          </cell>
          <cell r="CO84">
            <v>1.19</v>
          </cell>
          <cell r="CP84">
            <v>1.2</v>
          </cell>
          <cell r="CQ84">
            <v>1.21</v>
          </cell>
          <cell r="CR84">
            <v>1.2</v>
          </cell>
          <cell r="CS84">
            <v>1.2</v>
          </cell>
        </row>
        <row r="85">
          <cell r="B85" t="str">
            <v>Hotel Total</v>
          </cell>
          <cell r="K85">
            <v>1.43</v>
          </cell>
          <cell r="L85">
            <v>1.26</v>
          </cell>
          <cell r="M85">
            <v>1.26</v>
          </cell>
          <cell r="N85">
            <v>1.27</v>
          </cell>
          <cell r="O85">
            <v>1.28</v>
          </cell>
          <cell r="P85">
            <v>1.25</v>
          </cell>
          <cell r="Q85">
            <v>1.28</v>
          </cell>
          <cell r="R85">
            <v>1.24</v>
          </cell>
          <cell r="S85">
            <v>1.24</v>
          </cell>
          <cell r="T85">
            <v>1.31</v>
          </cell>
          <cell r="U85">
            <v>1.31</v>
          </cell>
          <cell r="V85">
            <v>1.35</v>
          </cell>
          <cell r="W85">
            <v>1.36</v>
          </cell>
          <cell r="X85">
            <v>1.27</v>
          </cell>
          <cell r="Y85">
            <v>1.33</v>
          </cell>
          <cell r="Z85">
            <v>1.3</v>
          </cell>
          <cell r="AA85">
            <v>1.27</v>
          </cell>
          <cell r="AB85">
            <v>1.27</v>
          </cell>
          <cell r="AC85">
            <v>1.35</v>
          </cell>
          <cell r="AD85">
            <v>1.28</v>
          </cell>
          <cell r="AE85">
            <v>1.27</v>
          </cell>
          <cell r="AF85">
            <v>1.33</v>
          </cell>
          <cell r="AG85">
            <v>1.34</v>
          </cell>
          <cell r="AH85">
            <v>1.3</v>
          </cell>
          <cell r="AI85">
            <v>1.25</v>
          </cell>
          <cell r="AJ85">
            <v>1.26</v>
          </cell>
          <cell r="AK85">
            <v>1.25</v>
          </cell>
          <cell r="AL85">
            <v>1.29</v>
          </cell>
          <cell r="AM85">
            <v>1.26</v>
          </cell>
          <cell r="AN85">
            <v>1.24</v>
          </cell>
          <cell r="AO85">
            <v>1.21</v>
          </cell>
          <cell r="AP85">
            <v>1.23</v>
          </cell>
          <cell r="AQ85">
            <v>1.19</v>
          </cell>
          <cell r="AR85">
            <v>1.21</v>
          </cell>
          <cell r="AS85">
            <v>1.23</v>
          </cell>
          <cell r="AT85">
            <v>1.21</v>
          </cell>
          <cell r="AU85">
            <v>1.18</v>
          </cell>
          <cell r="AV85">
            <v>1.19</v>
          </cell>
          <cell r="AW85">
            <v>1.18</v>
          </cell>
          <cell r="AX85">
            <v>1.19</v>
          </cell>
          <cell r="AY85">
            <v>1.27</v>
          </cell>
          <cell r="AZ85">
            <v>1.34</v>
          </cell>
          <cell r="BA85">
            <v>1.24</v>
          </cell>
          <cell r="BB85">
            <v>1.2</v>
          </cell>
          <cell r="BC85">
            <v>1.19</v>
          </cell>
          <cell r="BD85">
            <v>1.2</v>
          </cell>
          <cell r="BE85">
            <v>1.26</v>
          </cell>
          <cell r="BF85">
            <v>1.22</v>
          </cell>
          <cell r="BG85">
            <v>1.21</v>
          </cell>
          <cell r="BH85">
            <v>1.21</v>
          </cell>
          <cell r="BI85">
            <v>1.17</v>
          </cell>
          <cell r="BJ85">
            <v>1.19</v>
          </cell>
          <cell r="BK85">
            <v>1.18</v>
          </cell>
          <cell r="BL85">
            <v>1.19</v>
          </cell>
          <cell r="BM85">
            <v>1.2</v>
          </cell>
          <cell r="BN85">
            <v>1.1599999999999999</v>
          </cell>
          <cell r="BO85">
            <v>1.1399999999999999</v>
          </cell>
          <cell r="BP85">
            <v>1.18</v>
          </cell>
          <cell r="BQ85">
            <v>1.17</v>
          </cell>
          <cell r="BR85">
            <v>1.1599999999999999</v>
          </cell>
          <cell r="BS85">
            <v>1.1499999999999999</v>
          </cell>
          <cell r="BT85">
            <v>1.19</v>
          </cell>
          <cell r="BU85">
            <v>1.1599999999999999</v>
          </cell>
          <cell r="BV85">
            <v>1.17</v>
          </cell>
          <cell r="BW85">
            <v>1.1499999999999999</v>
          </cell>
          <cell r="BX85">
            <v>1.18</v>
          </cell>
          <cell r="BY85">
            <v>1.1399999999999999</v>
          </cell>
          <cell r="BZ85">
            <v>1.1599999999999999</v>
          </cell>
          <cell r="CA85">
            <v>1.1599999999999999</v>
          </cell>
          <cell r="CB85">
            <v>1.17</v>
          </cell>
          <cell r="CC85">
            <v>1.24</v>
          </cell>
          <cell r="CD85">
            <v>1.21</v>
          </cell>
          <cell r="CE85">
            <v>1.1399999999999999</v>
          </cell>
          <cell r="CF85">
            <v>1.1599999999999999</v>
          </cell>
          <cell r="CG85">
            <v>1.1499999999999999</v>
          </cell>
          <cell r="CH85">
            <v>1.1499999999999999</v>
          </cell>
          <cell r="CI85">
            <v>1.1599999999999999</v>
          </cell>
          <cell r="CJ85">
            <v>1.1499999999999999</v>
          </cell>
          <cell r="CK85">
            <v>1.1599999999999999</v>
          </cell>
          <cell r="CL85">
            <v>1.1599999999999999</v>
          </cell>
          <cell r="CM85">
            <v>1.1599999999999999</v>
          </cell>
          <cell r="CN85">
            <v>1.18</v>
          </cell>
          <cell r="CO85">
            <v>1.18</v>
          </cell>
          <cell r="CP85">
            <v>1.2</v>
          </cell>
          <cell r="CQ85">
            <v>1.21</v>
          </cell>
          <cell r="CR85">
            <v>1.2</v>
          </cell>
          <cell r="CS85">
            <v>1.2</v>
          </cell>
        </row>
        <row r="86">
          <cell r="B86" t="str">
            <v>5-star hotels</v>
          </cell>
          <cell r="K86">
            <v>1.74</v>
          </cell>
          <cell r="L86">
            <v>1.47</v>
          </cell>
          <cell r="M86">
            <v>1.47</v>
          </cell>
          <cell r="N86">
            <v>1.51</v>
          </cell>
          <cell r="O86">
            <v>1.49</v>
          </cell>
          <cell r="P86">
            <v>1.43</v>
          </cell>
          <cell r="Q86">
            <v>1.56</v>
          </cell>
          <cell r="R86">
            <v>1.43</v>
          </cell>
          <cell r="S86">
            <v>1.44</v>
          </cell>
          <cell r="T86">
            <v>1.49</v>
          </cell>
          <cell r="U86">
            <v>1.49</v>
          </cell>
          <cell r="V86">
            <v>1.62</v>
          </cell>
          <cell r="W86">
            <v>1.51</v>
          </cell>
          <cell r="X86">
            <v>1.42</v>
          </cell>
          <cell r="Y86">
            <v>1.47</v>
          </cell>
          <cell r="Z86">
            <v>1.47</v>
          </cell>
          <cell r="AA86">
            <v>1.4</v>
          </cell>
          <cell r="AB86">
            <v>1.4</v>
          </cell>
          <cell r="AC86">
            <v>1.43</v>
          </cell>
          <cell r="AD86">
            <v>1.41</v>
          </cell>
          <cell r="AE86">
            <v>1.48</v>
          </cell>
          <cell r="AF86">
            <v>1.43</v>
          </cell>
          <cell r="AG86">
            <v>1.44</v>
          </cell>
          <cell r="AH86">
            <v>1.44</v>
          </cell>
          <cell r="AI86">
            <v>1.42</v>
          </cell>
          <cell r="AJ86">
            <v>1.45</v>
          </cell>
          <cell r="AK86">
            <v>1.38</v>
          </cell>
          <cell r="AL86">
            <v>1.48</v>
          </cell>
          <cell r="AM86">
            <v>1.38</v>
          </cell>
          <cell r="AN86">
            <v>1.37</v>
          </cell>
          <cell r="AO86">
            <v>1.37</v>
          </cell>
          <cell r="AP86">
            <v>1.44</v>
          </cell>
          <cell r="AQ86">
            <v>1.39</v>
          </cell>
          <cell r="AR86">
            <v>1.37</v>
          </cell>
          <cell r="AS86">
            <v>1.47</v>
          </cell>
          <cell r="AT86">
            <v>1.44</v>
          </cell>
          <cell r="AU86">
            <v>1.4</v>
          </cell>
          <cell r="AV86">
            <v>1.44</v>
          </cell>
          <cell r="AW86">
            <v>1.38</v>
          </cell>
          <cell r="AX86">
            <v>1.46</v>
          </cell>
          <cell r="AY86">
            <v>1.63</v>
          </cell>
          <cell r="AZ86">
            <v>1.79</v>
          </cell>
          <cell r="BA86">
            <v>1.58</v>
          </cell>
          <cell r="BB86">
            <v>1.46</v>
          </cell>
          <cell r="BC86">
            <v>1.4</v>
          </cell>
          <cell r="BD86">
            <v>1.47</v>
          </cell>
          <cell r="BE86">
            <v>1.66</v>
          </cell>
          <cell r="BF86">
            <v>1.57</v>
          </cell>
          <cell r="BG86">
            <v>1.54</v>
          </cell>
          <cell r="BH86">
            <v>1.53</v>
          </cell>
          <cell r="BI86">
            <v>1.5</v>
          </cell>
          <cell r="BJ86">
            <v>1.55</v>
          </cell>
          <cell r="BK86">
            <v>1.47</v>
          </cell>
          <cell r="BL86">
            <v>1.48</v>
          </cell>
          <cell r="BM86">
            <v>1.5</v>
          </cell>
          <cell r="BN86">
            <v>1.43</v>
          </cell>
          <cell r="BO86">
            <v>1.31</v>
          </cell>
          <cell r="BP86">
            <v>1.43</v>
          </cell>
          <cell r="BQ86">
            <v>1.38</v>
          </cell>
          <cell r="BR86">
            <v>1.36</v>
          </cell>
          <cell r="BS86">
            <v>1.33</v>
          </cell>
          <cell r="BT86">
            <v>1.4</v>
          </cell>
          <cell r="BU86">
            <v>1.36</v>
          </cell>
          <cell r="BV86">
            <v>1.43</v>
          </cell>
          <cell r="BW86">
            <v>1.39</v>
          </cell>
          <cell r="BX86">
            <v>1.36</v>
          </cell>
          <cell r="BY86">
            <v>1.32</v>
          </cell>
          <cell r="BZ86">
            <v>1.43</v>
          </cell>
          <cell r="CA86">
            <v>1.35</v>
          </cell>
          <cell r="CB86">
            <v>1.44</v>
          </cell>
          <cell r="CC86">
            <v>1.68</v>
          </cell>
          <cell r="CD86">
            <v>1.56</v>
          </cell>
          <cell r="CE86">
            <v>1.37</v>
          </cell>
          <cell r="CF86">
            <v>1.42</v>
          </cell>
          <cell r="CG86">
            <v>1.33</v>
          </cell>
          <cell r="CH86">
            <v>1.43</v>
          </cell>
          <cell r="CI86">
            <v>1.47</v>
          </cell>
          <cell r="CJ86">
            <v>1.41</v>
          </cell>
          <cell r="CK86">
            <v>1.42</v>
          </cell>
          <cell r="CL86">
            <v>1.41</v>
          </cell>
          <cell r="CM86">
            <v>1.4</v>
          </cell>
          <cell r="CN86">
            <v>1.35</v>
          </cell>
          <cell r="CO86">
            <v>1.33</v>
          </cell>
          <cell r="CP86">
            <v>1.26</v>
          </cell>
          <cell r="CQ86">
            <v>1.42</v>
          </cell>
          <cell r="CR86">
            <v>1.49</v>
          </cell>
          <cell r="CS86">
            <v>1.42</v>
          </cell>
        </row>
        <row r="87">
          <cell r="B87" t="str">
            <v>4-star hotels</v>
          </cell>
          <cell r="K87">
            <v>1.22</v>
          </cell>
          <cell r="L87">
            <v>1.0900000000000001</v>
          </cell>
          <cell r="M87">
            <v>1.1100000000000001</v>
          </cell>
          <cell r="N87">
            <v>1.1200000000000001</v>
          </cell>
          <cell r="O87">
            <v>1.08</v>
          </cell>
          <cell r="P87">
            <v>1.1000000000000001</v>
          </cell>
          <cell r="Q87">
            <v>1.0900000000000001</v>
          </cell>
          <cell r="R87">
            <v>1.07</v>
          </cell>
          <cell r="S87">
            <v>1.1000000000000001</v>
          </cell>
          <cell r="T87">
            <v>1.1399999999999999</v>
          </cell>
          <cell r="U87">
            <v>1.1299999999999999</v>
          </cell>
          <cell r="V87">
            <v>1.1399999999999999</v>
          </cell>
          <cell r="W87">
            <v>1.22</v>
          </cell>
          <cell r="X87">
            <v>1.1200000000000001</v>
          </cell>
          <cell r="Y87">
            <v>1.18</v>
          </cell>
          <cell r="Z87">
            <v>1.1100000000000001</v>
          </cell>
          <cell r="AA87">
            <v>1.1299999999999999</v>
          </cell>
          <cell r="AB87">
            <v>1.1200000000000001</v>
          </cell>
          <cell r="AC87">
            <v>1.24</v>
          </cell>
          <cell r="AD87">
            <v>1.1299999999999999</v>
          </cell>
          <cell r="AE87">
            <v>1.1100000000000001</v>
          </cell>
          <cell r="AF87">
            <v>1.1599999999999999</v>
          </cell>
          <cell r="AG87">
            <v>1.25</v>
          </cell>
          <cell r="AH87">
            <v>1.1599999999999999</v>
          </cell>
          <cell r="AI87">
            <v>1.06</v>
          </cell>
          <cell r="AJ87">
            <v>1.06</v>
          </cell>
          <cell r="AK87">
            <v>1.08</v>
          </cell>
          <cell r="AL87">
            <v>1.0900000000000001</v>
          </cell>
          <cell r="AM87">
            <v>1.1299999999999999</v>
          </cell>
          <cell r="AN87">
            <v>1.1299999999999999</v>
          </cell>
          <cell r="AO87">
            <v>1.1000000000000001</v>
          </cell>
          <cell r="AP87">
            <v>1.1200000000000001</v>
          </cell>
          <cell r="AQ87">
            <v>1.1100000000000001</v>
          </cell>
          <cell r="AR87">
            <v>1.1299999999999999</v>
          </cell>
          <cell r="AS87">
            <v>1.1299999999999999</v>
          </cell>
          <cell r="AT87">
            <v>1.1399999999999999</v>
          </cell>
          <cell r="AU87">
            <v>1.1000000000000001</v>
          </cell>
          <cell r="AV87">
            <v>1.0900000000000001</v>
          </cell>
          <cell r="AW87">
            <v>1.1000000000000001</v>
          </cell>
          <cell r="AX87">
            <v>1.1100000000000001</v>
          </cell>
          <cell r="AY87">
            <v>1.1299999999999999</v>
          </cell>
          <cell r="AZ87">
            <v>1.07</v>
          </cell>
          <cell r="BA87">
            <v>1.07</v>
          </cell>
          <cell r="BB87">
            <v>1.06</v>
          </cell>
          <cell r="BC87">
            <v>1.08</v>
          </cell>
          <cell r="BD87">
            <v>1.0900000000000001</v>
          </cell>
          <cell r="BE87">
            <v>1.1100000000000001</v>
          </cell>
          <cell r="BF87">
            <v>1.1000000000000001</v>
          </cell>
          <cell r="BG87">
            <v>1.08</v>
          </cell>
          <cell r="BH87">
            <v>1.06</v>
          </cell>
          <cell r="BI87">
            <v>1.02</v>
          </cell>
          <cell r="BJ87">
            <v>1.05</v>
          </cell>
          <cell r="BK87">
            <v>1.05</v>
          </cell>
          <cell r="BL87">
            <v>1.05</v>
          </cell>
          <cell r="BM87">
            <v>1.08</v>
          </cell>
          <cell r="BN87">
            <v>1.04</v>
          </cell>
          <cell r="BO87">
            <v>1.07</v>
          </cell>
          <cell r="BP87">
            <v>1.08</v>
          </cell>
          <cell r="BQ87">
            <v>1.0900000000000001</v>
          </cell>
          <cell r="BR87">
            <v>1.0900000000000001</v>
          </cell>
          <cell r="BS87">
            <v>1.07</v>
          </cell>
          <cell r="BT87">
            <v>1.1200000000000001</v>
          </cell>
          <cell r="BU87">
            <v>1.08</v>
          </cell>
          <cell r="BV87">
            <v>1.1000000000000001</v>
          </cell>
          <cell r="BW87">
            <v>1.0900000000000001</v>
          </cell>
          <cell r="BX87">
            <v>1.1200000000000001</v>
          </cell>
          <cell r="BY87">
            <v>1.08</v>
          </cell>
          <cell r="BZ87">
            <v>1.08</v>
          </cell>
          <cell r="CA87">
            <v>1.1000000000000001</v>
          </cell>
          <cell r="CB87">
            <v>1.0900000000000001</v>
          </cell>
          <cell r="CC87">
            <v>1.1399999999999999</v>
          </cell>
          <cell r="CD87">
            <v>1.1000000000000001</v>
          </cell>
          <cell r="CE87">
            <v>1.06</v>
          </cell>
          <cell r="CF87">
            <v>1.1000000000000001</v>
          </cell>
          <cell r="CG87">
            <v>1.1100000000000001</v>
          </cell>
          <cell r="CH87">
            <v>1.08</v>
          </cell>
          <cell r="CI87">
            <v>1.08</v>
          </cell>
          <cell r="CJ87">
            <v>1.08</v>
          </cell>
          <cell r="CK87">
            <v>1.08</v>
          </cell>
          <cell r="CL87">
            <v>1.0900000000000001</v>
          </cell>
          <cell r="CM87">
            <v>1.08</v>
          </cell>
          <cell r="CN87">
            <v>1.0900000000000001</v>
          </cell>
          <cell r="CO87">
            <v>1.1200000000000001</v>
          </cell>
          <cell r="CP87">
            <v>1.1000000000000001</v>
          </cell>
          <cell r="CQ87">
            <v>1.1299999999999999</v>
          </cell>
          <cell r="CR87">
            <v>1.07</v>
          </cell>
          <cell r="CS87">
            <v>1.06</v>
          </cell>
        </row>
        <row r="88">
          <cell r="B88" t="str">
            <v>3-star hotels</v>
          </cell>
          <cell r="K88">
            <v>1.41</v>
          </cell>
          <cell r="L88">
            <v>1.26</v>
          </cell>
          <cell r="M88">
            <v>1.24</v>
          </cell>
          <cell r="N88">
            <v>1.2</v>
          </cell>
          <cell r="O88">
            <v>1.32</v>
          </cell>
          <cell r="P88">
            <v>1.29</v>
          </cell>
          <cell r="Q88">
            <v>1.29</v>
          </cell>
          <cell r="R88">
            <v>1.29</v>
          </cell>
          <cell r="S88">
            <v>1.24</v>
          </cell>
          <cell r="T88">
            <v>1.36</v>
          </cell>
          <cell r="U88">
            <v>1.4</v>
          </cell>
          <cell r="V88">
            <v>1.39</v>
          </cell>
          <cell r="W88">
            <v>1.42</v>
          </cell>
          <cell r="X88">
            <v>1.33</v>
          </cell>
          <cell r="Y88">
            <v>1.43</v>
          </cell>
          <cell r="Z88">
            <v>1.43</v>
          </cell>
          <cell r="AA88">
            <v>1.36</v>
          </cell>
          <cell r="AB88">
            <v>1.36</v>
          </cell>
          <cell r="AC88">
            <v>1.41</v>
          </cell>
          <cell r="AD88">
            <v>1.36</v>
          </cell>
          <cell r="AE88">
            <v>1.31</v>
          </cell>
          <cell r="AF88">
            <v>1.46</v>
          </cell>
          <cell r="AG88">
            <v>1.37</v>
          </cell>
          <cell r="AH88">
            <v>1.35</v>
          </cell>
          <cell r="AI88">
            <v>1.35</v>
          </cell>
          <cell r="AJ88">
            <v>1.4</v>
          </cell>
          <cell r="AK88">
            <v>1.37</v>
          </cell>
          <cell r="AL88">
            <v>1.39</v>
          </cell>
          <cell r="AM88">
            <v>1.34</v>
          </cell>
          <cell r="AN88">
            <v>1.26</v>
          </cell>
          <cell r="AO88">
            <v>1.18</v>
          </cell>
          <cell r="AP88">
            <v>1.17</v>
          </cell>
          <cell r="AQ88">
            <v>1.1100000000000001</v>
          </cell>
          <cell r="AR88">
            <v>1.1100000000000001</v>
          </cell>
          <cell r="AS88">
            <v>1.1200000000000001</v>
          </cell>
          <cell r="AT88">
            <v>1.1000000000000001</v>
          </cell>
          <cell r="AU88">
            <v>1.0900000000000001</v>
          </cell>
          <cell r="AV88">
            <v>1.0900000000000001</v>
          </cell>
          <cell r="AW88">
            <v>1.0900000000000001</v>
          </cell>
          <cell r="AX88">
            <v>1.07</v>
          </cell>
          <cell r="AY88">
            <v>1.1000000000000001</v>
          </cell>
          <cell r="AZ88">
            <v>1.1299999999999999</v>
          </cell>
          <cell r="BA88">
            <v>1.1000000000000001</v>
          </cell>
          <cell r="BB88">
            <v>1.1200000000000001</v>
          </cell>
          <cell r="BC88">
            <v>1.1299999999999999</v>
          </cell>
          <cell r="BD88">
            <v>1.0900000000000001</v>
          </cell>
          <cell r="BE88">
            <v>1.1000000000000001</v>
          </cell>
          <cell r="BF88">
            <v>1.0900000000000001</v>
          </cell>
          <cell r="BG88">
            <v>1.08</v>
          </cell>
          <cell r="BH88">
            <v>1.1200000000000001</v>
          </cell>
          <cell r="BI88">
            <v>1.07</v>
          </cell>
          <cell r="BJ88">
            <v>1.05</v>
          </cell>
          <cell r="BK88">
            <v>1.06</v>
          </cell>
          <cell r="BL88">
            <v>1.08</v>
          </cell>
          <cell r="BM88">
            <v>1.06</v>
          </cell>
          <cell r="BN88">
            <v>1.07</v>
          </cell>
          <cell r="BO88">
            <v>1.05</v>
          </cell>
          <cell r="BP88">
            <v>1.06</v>
          </cell>
          <cell r="BQ88">
            <v>1.05</v>
          </cell>
          <cell r="BR88">
            <v>1.03</v>
          </cell>
          <cell r="BS88">
            <v>1.06</v>
          </cell>
          <cell r="BT88">
            <v>1.0900000000000001</v>
          </cell>
          <cell r="BU88">
            <v>1.08</v>
          </cell>
          <cell r="BV88">
            <v>1.07</v>
          </cell>
          <cell r="BW88">
            <v>1.05</v>
          </cell>
          <cell r="BX88">
            <v>1.0900000000000001</v>
          </cell>
          <cell r="BY88">
            <v>1.06</v>
          </cell>
          <cell r="BZ88">
            <v>1.06</v>
          </cell>
          <cell r="CA88">
            <v>1.08</v>
          </cell>
          <cell r="CB88">
            <v>1.07</v>
          </cell>
          <cell r="CC88">
            <v>1.0900000000000001</v>
          </cell>
          <cell r="CD88">
            <v>1.1599999999999999</v>
          </cell>
          <cell r="CE88">
            <v>1.07</v>
          </cell>
          <cell r="CF88">
            <v>1.06</v>
          </cell>
          <cell r="CG88">
            <v>1.1000000000000001</v>
          </cell>
          <cell r="CH88">
            <v>1.1000000000000001</v>
          </cell>
          <cell r="CI88">
            <v>1.07</v>
          </cell>
          <cell r="CJ88">
            <v>1.07</v>
          </cell>
          <cell r="CK88">
            <v>1.1000000000000001</v>
          </cell>
          <cell r="CL88">
            <v>1.1000000000000001</v>
          </cell>
          <cell r="CM88">
            <v>1.1299999999999999</v>
          </cell>
          <cell r="CN88">
            <v>1.1499999999999999</v>
          </cell>
          <cell r="CO88">
            <v>1.17</v>
          </cell>
          <cell r="CP88">
            <v>1.32</v>
          </cell>
          <cell r="CQ88">
            <v>1.17</v>
          </cell>
          <cell r="CR88">
            <v>1.1499999999999999</v>
          </cell>
          <cell r="CS88">
            <v>1.19</v>
          </cell>
        </row>
        <row r="89">
          <cell r="B89" t="str">
            <v>2-star hotels</v>
          </cell>
          <cell r="K89">
            <v>1.25</v>
          </cell>
          <cell r="L89">
            <v>1.21</v>
          </cell>
          <cell r="M89">
            <v>1.18</v>
          </cell>
          <cell r="N89">
            <v>1.23</v>
          </cell>
          <cell r="O89">
            <v>1.19</v>
          </cell>
          <cell r="P89">
            <v>1.17</v>
          </cell>
          <cell r="Q89">
            <v>1.24</v>
          </cell>
          <cell r="R89">
            <v>1.2</v>
          </cell>
          <cell r="S89">
            <v>1.19</v>
          </cell>
          <cell r="T89">
            <v>1.24</v>
          </cell>
          <cell r="U89">
            <v>1.21</v>
          </cell>
          <cell r="V89">
            <v>1.29</v>
          </cell>
          <cell r="W89">
            <v>1.25</v>
          </cell>
          <cell r="X89">
            <v>1.23</v>
          </cell>
          <cell r="Y89">
            <v>1.22</v>
          </cell>
          <cell r="Z89">
            <v>1.22</v>
          </cell>
          <cell r="AA89">
            <v>1.2</v>
          </cell>
          <cell r="AB89">
            <v>1.18</v>
          </cell>
          <cell r="AC89">
            <v>1.22</v>
          </cell>
          <cell r="AD89">
            <v>1.19</v>
          </cell>
          <cell r="AE89">
            <v>1.22</v>
          </cell>
          <cell r="AF89">
            <v>1.25</v>
          </cell>
          <cell r="AG89">
            <v>1.27</v>
          </cell>
          <cell r="AH89">
            <v>1.3</v>
          </cell>
          <cell r="AI89">
            <v>1.24</v>
          </cell>
          <cell r="AJ89">
            <v>1.28</v>
          </cell>
          <cell r="AK89">
            <v>1.23</v>
          </cell>
          <cell r="AL89">
            <v>1.3</v>
          </cell>
          <cell r="AM89">
            <v>1.23</v>
          </cell>
          <cell r="AN89">
            <v>1.24</v>
          </cell>
          <cell r="AO89">
            <v>1.33</v>
          </cell>
          <cell r="AP89">
            <v>1.47</v>
          </cell>
          <cell r="AQ89">
            <v>1.43</v>
          </cell>
          <cell r="AR89">
            <v>1.72</v>
          </cell>
          <cell r="AS89">
            <v>1.5</v>
          </cell>
          <cell r="AT89">
            <v>1.38</v>
          </cell>
          <cell r="AU89">
            <v>1.25</v>
          </cell>
          <cell r="AV89">
            <v>1.34</v>
          </cell>
          <cell r="AW89">
            <v>1.23</v>
          </cell>
          <cell r="AX89">
            <v>1.3</v>
          </cell>
          <cell r="AY89">
            <v>1.48</v>
          </cell>
          <cell r="AZ89">
            <v>1.5</v>
          </cell>
          <cell r="BA89">
            <v>1.45</v>
          </cell>
          <cell r="BB89">
            <v>1.28</v>
          </cell>
          <cell r="BC89">
            <v>1.1499999999999999</v>
          </cell>
          <cell r="BD89">
            <v>1.21</v>
          </cell>
          <cell r="BE89">
            <v>1.18</v>
          </cell>
          <cell r="BF89">
            <v>1.1299999999999999</v>
          </cell>
          <cell r="BG89">
            <v>1.1599999999999999</v>
          </cell>
          <cell r="BH89">
            <v>1.1299999999999999</v>
          </cell>
          <cell r="BI89">
            <v>1.21</v>
          </cell>
          <cell r="BJ89">
            <v>1.1399999999999999</v>
          </cell>
          <cell r="BK89">
            <v>1.1399999999999999</v>
          </cell>
          <cell r="BL89">
            <v>1.1499999999999999</v>
          </cell>
          <cell r="BM89">
            <v>1.1599999999999999</v>
          </cell>
          <cell r="BN89">
            <v>1.1000000000000001</v>
          </cell>
          <cell r="BO89">
            <v>1.0900000000000001</v>
          </cell>
          <cell r="BP89">
            <v>1.1200000000000001</v>
          </cell>
          <cell r="BQ89">
            <v>1.1200000000000001</v>
          </cell>
          <cell r="BR89">
            <v>1.0900000000000001</v>
          </cell>
          <cell r="BS89">
            <v>1.07</v>
          </cell>
          <cell r="BT89">
            <v>1.0900000000000001</v>
          </cell>
          <cell r="BU89">
            <v>1.1000000000000001</v>
          </cell>
          <cell r="BV89">
            <v>1.1100000000000001</v>
          </cell>
          <cell r="BW89">
            <v>1.0900000000000001</v>
          </cell>
          <cell r="BX89">
            <v>1.1399999999999999</v>
          </cell>
          <cell r="BY89">
            <v>1.1299999999999999</v>
          </cell>
          <cell r="BZ89">
            <v>1.1000000000000001</v>
          </cell>
          <cell r="CA89">
            <v>1.08</v>
          </cell>
          <cell r="CB89">
            <v>1.1100000000000001</v>
          </cell>
          <cell r="CC89">
            <v>1.1200000000000001</v>
          </cell>
          <cell r="CD89">
            <v>1.0900000000000001</v>
          </cell>
          <cell r="CE89">
            <v>1.1000000000000001</v>
          </cell>
          <cell r="CF89">
            <v>1.1299999999999999</v>
          </cell>
          <cell r="CG89">
            <v>1.0900000000000001</v>
          </cell>
          <cell r="CH89">
            <v>1.1000000000000001</v>
          </cell>
          <cell r="CI89">
            <v>1.1200000000000001</v>
          </cell>
          <cell r="CJ89">
            <v>1.1100000000000001</v>
          </cell>
          <cell r="CK89">
            <v>1.1299999999999999</v>
          </cell>
          <cell r="CL89">
            <v>1.1100000000000001</v>
          </cell>
          <cell r="CM89">
            <v>1.1100000000000001</v>
          </cell>
          <cell r="CN89">
            <v>1.17</v>
          </cell>
          <cell r="CO89">
            <v>1.1100000000000001</v>
          </cell>
          <cell r="CP89">
            <v>1.1000000000000001</v>
          </cell>
          <cell r="CQ89">
            <v>1.1499999999999999</v>
          </cell>
          <cell r="CR89">
            <v>1.1000000000000001</v>
          </cell>
          <cell r="CS89">
            <v>1.0900000000000001</v>
          </cell>
        </row>
        <row r="90">
          <cell r="B90" t="str">
            <v>Guest-houses</v>
          </cell>
          <cell r="K90">
            <v>1.48</v>
          </cell>
          <cell r="L90">
            <v>1.51</v>
          </cell>
          <cell r="M90">
            <v>1.38</v>
          </cell>
          <cell r="N90">
            <v>1.37</v>
          </cell>
          <cell r="O90">
            <v>1.26</v>
          </cell>
          <cell r="P90">
            <v>1.25</v>
          </cell>
          <cell r="Q90">
            <v>1.24</v>
          </cell>
          <cell r="R90">
            <v>1.21</v>
          </cell>
          <cell r="S90">
            <v>1.19</v>
          </cell>
          <cell r="T90">
            <v>1.17</v>
          </cell>
          <cell r="U90">
            <v>1.17</v>
          </cell>
          <cell r="V90">
            <v>1.2</v>
          </cell>
          <cell r="W90">
            <v>1.21</v>
          </cell>
          <cell r="X90">
            <v>1.2</v>
          </cell>
          <cell r="Y90">
            <v>1.27</v>
          </cell>
          <cell r="Z90">
            <v>1.23</v>
          </cell>
          <cell r="AA90">
            <v>1.19</v>
          </cell>
          <cell r="AB90">
            <v>1.21</v>
          </cell>
          <cell r="AC90">
            <v>1.23</v>
          </cell>
          <cell r="AD90">
            <v>1.29</v>
          </cell>
          <cell r="AE90">
            <v>1.23</v>
          </cell>
          <cell r="AF90">
            <v>1.19</v>
          </cell>
          <cell r="AG90">
            <v>1.23</v>
          </cell>
          <cell r="AH90">
            <v>1.23</v>
          </cell>
          <cell r="AI90">
            <v>1.22</v>
          </cell>
          <cell r="AJ90">
            <v>1.2</v>
          </cell>
          <cell r="AK90">
            <v>1.22</v>
          </cell>
          <cell r="AL90">
            <v>1.26</v>
          </cell>
          <cell r="AM90">
            <v>1.2</v>
          </cell>
          <cell r="AN90">
            <v>1.21</v>
          </cell>
          <cell r="AO90">
            <v>1.21</v>
          </cell>
          <cell r="AP90">
            <v>1.19</v>
          </cell>
          <cell r="AQ90">
            <v>1.19</v>
          </cell>
          <cell r="AR90">
            <v>1.17</v>
          </cell>
          <cell r="AS90">
            <v>1.23</v>
          </cell>
          <cell r="AT90">
            <v>1.18</v>
          </cell>
          <cell r="AU90">
            <v>1.17</v>
          </cell>
          <cell r="AV90">
            <v>1.21</v>
          </cell>
          <cell r="AW90">
            <v>1.2</v>
          </cell>
          <cell r="AX90">
            <v>1.1599999999999999</v>
          </cell>
          <cell r="AY90">
            <v>1.27</v>
          </cell>
          <cell r="AZ90">
            <v>1.25</v>
          </cell>
          <cell r="BA90">
            <v>1.26</v>
          </cell>
          <cell r="BB90">
            <v>1.22</v>
          </cell>
          <cell r="BC90">
            <v>1.1499999999999999</v>
          </cell>
          <cell r="BD90">
            <v>1.19</v>
          </cell>
          <cell r="BE90">
            <v>1.24</v>
          </cell>
          <cell r="BF90">
            <v>1.18</v>
          </cell>
          <cell r="BG90">
            <v>1.1299999999999999</v>
          </cell>
          <cell r="BH90">
            <v>1.21</v>
          </cell>
          <cell r="BI90">
            <v>1.25</v>
          </cell>
          <cell r="BJ90">
            <v>1.21</v>
          </cell>
          <cell r="BK90">
            <v>1.22</v>
          </cell>
          <cell r="BL90">
            <v>1.23</v>
          </cell>
          <cell r="BM90">
            <v>1.26</v>
          </cell>
          <cell r="BN90">
            <v>1.1599999999999999</v>
          </cell>
          <cell r="BO90">
            <v>1.1599999999999999</v>
          </cell>
          <cell r="BP90">
            <v>1.22</v>
          </cell>
          <cell r="BQ90">
            <v>1.24</v>
          </cell>
          <cell r="BR90">
            <v>1.25</v>
          </cell>
          <cell r="BS90">
            <v>1.28</v>
          </cell>
          <cell r="BT90">
            <v>1.31</v>
          </cell>
          <cell r="BU90">
            <v>1.28</v>
          </cell>
          <cell r="BV90">
            <v>1.32</v>
          </cell>
          <cell r="BW90">
            <v>1.28</v>
          </cell>
          <cell r="BX90">
            <v>1.27</v>
          </cell>
          <cell r="BY90">
            <v>1.27</v>
          </cell>
          <cell r="BZ90">
            <v>1.3</v>
          </cell>
          <cell r="CA90">
            <v>1.31</v>
          </cell>
          <cell r="CB90">
            <v>1.27</v>
          </cell>
          <cell r="CC90">
            <v>1.29</v>
          </cell>
          <cell r="CD90">
            <v>1.3</v>
          </cell>
          <cell r="CE90">
            <v>1.3</v>
          </cell>
          <cell r="CF90">
            <v>1.27</v>
          </cell>
          <cell r="CG90">
            <v>1.2</v>
          </cell>
          <cell r="CH90">
            <v>1.31</v>
          </cell>
          <cell r="CI90">
            <v>1.31</v>
          </cell>
          <cell r="CJ90">
            <v>1.27</v>
          </cell>
          <cell r="CK90">
            <v>1.29</v>
          </cell>
          <cell r="CL90">
            <v>1.3</v>
          </cell>
          <cell r="CM90">
            <v>1.33</v>
          </cell>
          <cell r="CN90">
            <v>1.32</v>
          </cell>
          <cell r="CO90">
            <v>1.42</v>
          </cell>
          <cell r="CP90">
            <v>1.52</v>
          </cell>
          <cell r="CQ90">
            <v>1.4</v>
          </cell>
          <cell r="CR90">
            <v>1.34</v>
          </cell>
          <cell r="CS90">
            <v>1.37</v>
          </cell>
        </row>
        <row r="91">
          <cell r="B91" t="str">
            <v>Total % Change</v>
          </cell>
          <cell r="X91">
            <v>-7.8740157480314821E-3</v>
          </cell>
          <cell r="Y91">
            <v>5.555555555555558E-2</v>
          </cell>
          <cell r="Z91">
            <v>2.3622047244094446E-2</v>
          </cell>
          <cell r="AA91">
            <v>-1.5625E-2</v>
          </cell>
          <cell r="AB91">
            <v>1.6000000000000014E-2</v>
          </cell>
          <cell r="AC91">
            <v>4.6875E-2</v>
          </cell>
          <cell r="AD91">
            <v>3.2258064516129004E-2</v>
          </cell>
          <cell r="AE91">
            <v>2.4193548387096753E-2</v>
          </cell>
          <cell r="AF91">
            <v>1.538461538461533E-2</v>
          </cell>
          <cell r="AG91">
            <v>1.5267175572519109E-2</v>
          </cell>
          <cell r="AH91">
            <v>-2.9850746268656692E-2</v>
          </cell>
          <cell r="AI91">
            <v>-7.4074074074074181E-2</v>
          </cell>
          <cell r="AJ91">
            <v>0</v>
          </cell>
          <cell r="AK91">
            <v>-6.0150375939849621E-2</v>
          </cell>
          <cell r="AL91">
            <v>-7.692307692307665E-3</v>
          </cell>
          <cell r="AM91">
            <v>0</v>
          </cell>
          <cell r="AN91">
            <v>-2.3622047244094557E-2</v>
          </cell>
          <cell r="AO91">
            <v>-9.7014925373134386E-2</v>
          </cell>
          <cell r="AP91">
            <v>-3.90625E-2</v>
          </cell>
          <cell r="AQ91">
            <v>-6.2992125984252079E-2</v>
          </cell>
          <cell r="AR91">
            <v>-9.0909090909090939E-2</v>
          </cell>
          <cell r="AS91">
            <v>-7.5187969924812137E-2</v>
          </cell>
          <cell r="AT91">
            <v>-6.9230769230769318E-2</v>
          </cell>
          <cell r="AU91">
            <v>-5.600000000000005E-2</v>
          </cell>
          <cell r="AV91">
            <v>-5.555555555555558E-2</v>
          </cell>
          <cell r="AW91">
            <v>-5.600000000000005E-2</v>
          </cell>
          <cell r="AX91">
            <v>-7.7519379844961267E-2</v>
          </cell>
          <cell r="AY91">
            <v>7.9365079365079083E-3</v>
          </cell>
          <cell r="AZ91">
            <v>7.258064516129048E-2</v>
          </cell>
          <cell r="BA91">
            <v>2.4793388429751984E-2</v>
          </cell>
          <cell r="BB91">
            <v>-2.4390243902439046E-2</v>
          </cell>
          <cell r="BC91">
            <v>0</v>
          </cell>
          <cell r="BD91">
            <v>0</v>
          </cell>
          <cell r="BE91">
            <v>1.6260162601626105E-2</v>
          </cell>
          <cell r="BF91">
            <v>8.2644628099173278E-3</v>
          </cell>
          <cell r="BG91">
            <v>1.6949152542372836E-2</v>
          </cell>
          <cell r="BH91">
            <v>1.6806722689075571E-2</v>
          </cell>
          <cell r="BI91">
            <v>-8.4745762711864181E-3</v>
          </cell>
          <cell r="BJ91">
            <v>0</v>
          </cell>
          <cell r="BK91">
            <v>-7.0866141732283561E-2</v>
          </cell>
          <cell r="BL91">
            <v>-0.10526315789473695</v>
          </cell>
          <cell r="BM91">
            <v>-3.2258064516129115E-2</v>
          </cell>
          <cell r="BN91">
            <v>-3.3333333333333326E-2</v>
          </cell>
          <cell r="BO91">
            <v>-3.3613445378151252E-2</v>
          </cell>
          <cell r="BP91">
            <v>-1.6666666666666718E-2</v>
          </cell>
          <cell r="BQ91">
            <v>-6.4000000000000057E-2</v>
          </cell>
          <cell r="BR91">
            <v>-4.9180327868852514E-2</v>
          </cell>
          <cell r="BS91">
            <v>-4.1666666666666741E-2</v>
          </cell>
          <cell r="BT91">
            <v>-8.2644628099173278E-3</v>
          </cell>
          <cell r="BU91">
            <v>-8.5470085470085166E-3</v>
          </cell>
          <cell r="BV91">
            <v>-8.4033613445377853E-3</v>
          </cell>
          <cell r="BW91">
            <v>-1.6949152542372947E-2</v>
          </cell>
          <cell r="BX91">
            <v>-8.4033613445377853E-3</v>
          </cell>
          <cell r="BY91">
            <v>-5.0000000000000044E-2</v>
          </cell>
          <cell r="BZ91">
            <v>0</v>
          </cell>
          <cell r="CA91">
            <v>8.6956521739129933E-3</v>
          </cell>
          <cell r="CB91">
            <v>-8.4745762711864181E-3</v>
          </cell>
          <cell r="CC91">
            <v>6.8376068376068355E-2</v>
          </cell>
          <cell r="CD91">
            <v>4.31034482758621E-2</v>
          </cell>
          <cell r="CE91">
            <v>-8.6956521739131043E-3</v>
          </cell>
          <cell r="CF91">
            <v>-3.3333333333333326E-2</v>
          </cell>
          <cell r="CG91">
            <v>0</v>
          </cell>
          <cell r="CH91">
            <v>-2.5423728813559365E-2</v>
          </cell>
          <cell r="CI91">
            <v>0</v>
          </cell>
          <cell r="CJ91">
            <v>-2.5423728813559365E-2</v>
          </cell>
          <cell r="CK91">
            <v>1.7543859649122862E-2</v>
          </cell>
          <cell r="CL91">
            <v>0</v>
          </cell>
          <cell r="CM91">
            <v>0</v>
          </cell>
          <cell r="CN91">
            <v>8.5470085470085166E-3</v>
          </cell>
          <cell r="CO91">
            <v>-4.8000000000000043E-2</v>
          </cell>
          <cell r="CP91">
            <v>-8.2644628099173278E-3</v>
          </cell>
          <cell r="CQ91">
            <v>6.1403508771929793E-2</v>
          </cell>
          <cell r="CR91">
            <v>3.4482758620689724E-2</v>
          </cell>
          <cell r="CS91">
            <v>3.4482758620689724E-2</v>
          </cell>
        </row>
        <row r="93">
          <cell r="B93" t="str">
            <v>Non-Resident Workers</v>
          </cell>
        </row>
        <row r="94">
          <cell r="B94" t="str">
            <v>Total</v>
          </cell>
          <cell r="AV94">
            <v>22912</v>
          </cell>
          <cell r="AW94">
            <v>22905</v>
          </cell>
          <cell r="AX94">
            <v>22979</v>
          </cell>
          <cell r="AY94">
            <v>22970</v>
          </cell>
          <cell r="AZ94">
            <v>23319</v>
          </cell>
          <cell r="BA94">
            <v>23498</v>
          </cell>
          <cell r="BB94">
            <v>23525</v>
          </cell>
          <cell r="BC94">
            <v>23481</v>
          </cell>
          <cell r="BD94">
            <v>23221</v>
          </cell>
          <cell r="BE94">
            <v>23752</v>
          </cell>
          <cell r="BF94">
            <v>24269</v>
          </cell>
          <cell r="BG94">
            <v>24970</v>
          </cell>
          <cell r="BH94">
            <v>24858</v>
          </cell>
          <cell r="BI94">
            <v>25220</v>
          </cell>
          <cell r="BJ94">
            <v>25219</v>
          </cell>
          <cell r="BK94">
            <v>25018</v>
          </cell>
          <cell r="BL94">
            <v>25014</v>
          </cell>
          <cell r="BM94">
            <v>24961</v>
          </cell>
          <cell r="BN94">
            <v>25929</v>
          </cell>
          <cell r="BO94">
            <v>26742</v>
          </cell>
          <cell r="BP94">
            <v>26534</v>
          </cell>
          <cell r="BQ94">
            <v>26730</v>
          </cell>
          <cell r="BR94">
            <v>27358</v>
          </cell>
          <cell r="BS94">
            <v>27736</v>
          </cell>
          <cell r="BT94">
            <v>27553</v>
          </cell>
          <cell r="BU94">
            <v>28143</v>
          </cell>
          <cell r="BV94">
            <v>28648</v>
          </cell>
          <cell r="BW94">
            <v>29417</v>
          </cell>
          <cell r="BX94">
            <v>30151</v>
          </cell>
          <cell r="BY94">
            <v>31097</v>
          </cell>
          <cell r="BZ94">
            <v>31925</v>
          </cell>
          <cell r="CA94">
            <v>33559</v>
          </cell>
          <cell r="CB94">
            <v>34718</v>
          </cell>
          <cell r="CC94">
            <v>35458</v>
          </cell>
          <cell r="CD94">
            <v>37181</v>
          </cell>
          <cell r="CE94">
            <v>39411</v>
          </cell>
          <cell r="CF94">
            <v>42496</v>
          </cell>
          <cell r="CG94">
            <v>44499</v>
          </cell>
          <cell r="CH94">
            <v>47876</v>
          </cell>
          <cell r="CI94">
            <v>48775</v>
          </cell>
          <cell r="CJ94">
            <v>49726</v>
          </cell>
          <cell r="CK94">
            <v>49382</v>
          </cell>
          <cell r="CL94">
            <v>52187</v>
          </cell>
          <cell r="CM94">
            <v>53343</v>
          </cell>
          <cell r="CN94">
            <v>56553</v>
          </cell>
          <cell r="CO94">
            <v>60361</v>
          </cell>
          <cell r="CP94">
            <v>62045</v>
          </cell>
          <cell r="CQ94">
            <v>64673</v>
          </cell>
          <cell r="CR94">
            <v>66769</v>
          </cell>
          <cell r="CS94">
            <v>68832</v>
          </cell>
        </row>
        <row r="95">
          <cell r="B95" t="str">
            <v>Mainland China</v>
          </cell>
          <cell r="AV95">
            <v>17101</v>
          </cell>
          <cell r="AW95">
            <v>17037</v>
          </cell>
          <cell r="AX95">
            <v>17141</v>
          </cell>
          <cell r="AY95">
            <v>17153</v>
          </cell>
          <cell r="AZ95">
            <v>17536</v>
          </cell>
          <cell r="BA95">
            <v>17740</v>
          </cell>
          <cell r="BB95">
            <v>17840</v>
          </cell>
          <cell r="BC95">
            <v>17845</v>
          </cell>
          <cell r="BD95">
            <v>17560</v>
          </cell>
          <cell r="BE95">
            <v>17876</v>
          </cell>
          <cell r="BF95">
            <v>18258</v>
          </cell>
          <cell r="BG95">
            <v>18777</v>
          </cell>
          <cell r="BH95">
            <v>18572</v>
          </cell>
          <cell r="BI95">
            <v>18751</v>
          </cell>
          <cell r="BJ95">
            <v>18736</v>
          </cell>
          <cell r="BK95">
            <v>18373</v>
          </cell>
          <cell r="BL95">
            <v>18162</v>
          </cell>
          <cell r="BM95">
            <v>17910</v>
          </cell>
          <cell r="BN95">
            <v>18576</v>
          </cell>
          <cell r="BO95">
            <v>19217</v>
          </cell>
          <cell r="BP95">
            <v>18898</v>
          </cell>
          <cell r="BQ95">
            <v>18943</v>
          </cell>
          <cell r="BR95">
            <v>19150</v>
          </cell>
          <cell r="BS95">
            <v>19215</v>
          </cell>
          <cell r="BT95">
            <v>18619</v>
          </cell>
          <cell r="BU95">
            <v>18807</v>
          </cell>
          <cell r="BV95">
            <v>19178</v>
          </cell>
          <cell r="BW95">
            <v>19628</v>
          </cell>
          <cell r="BX95">
            <v>19930</v>
          </cell>
          <cell r="BY95">
            <v>20367</v>
          </cell>
          <cell r="BZ95">
            <v>20626</v>
          </cell>
          <cell r="CA95">
            <v>21261</v>
          </cell>
          <cell r="CB95">
            <v>21996</v>
          </cell>
          <cell r="CC95">
            <v>21985</v>
          </cell>
          <cell r="CD95">
            <v>22521</v>
          </cell>
          <cell r="CE95">
            <v>23139</v>
          </cell>
          <cell r="CF95">
            <v>24001</v>
          </cell>
          <cell r="CG95">
            <v>24722</v>
          </cell>
          <cell r="CH95">
            <v>26683</v>
          </cell>
          <cell r="CI95">
            <v>27142</v>
          </cell>
          <cell r="CJ95">
            <v>27852</v>
          </cell>
          <cell r="CK95">
            <v>28365</v>
          </cell>
          <cell r="CL95">
            <v>29470</v>
          </cell>
          <cell r="CM95">
            <v>30405</v>
          </cell>
          <cell r="CN95">
            <v>33029</v>
          </cell>
          <cell r="CO95">
            <v>34799</v>
          </cell>
          <cell r="CP95">
            <v>35813</v>
          </cell>
          <cell r="CQ95">
            <v>37357</v>
          </cell>
          <cell r="CR95">
            <v>38435</v>
          </cell>
          <cell r="CS95">
            <v>39208</v>
          </cell>
        </row>
        <row r="97">
          <cell r="B97" t="str">
            <v>Construction Employment</v>
          </cell>
        </row>
        <row r="98">
          <cell r="B98" t="str">
            <v>Total Employment</v>
          </cell>
          <cell r="BP98">
            <v>6281</v>
          </cell>
          <cell r="BS98">
            <v>6347</v>
          </cell>
          <cell r="BV98">
            <v>7829</v>
          </cell>
          <cell r="BY98">
            <v>7868</v>
          </cell>
          <cell r="CB98">
            <v>10578</v>
          </cell>
          <cell r="CE98">
            <v>11234</v>
          </cell>
          <cell r="CH98">
            <v>14441</v>
          </cell>
          <cell r="CK98">
            <v>18670</v>
          </cell>
          <cell r="CN98">
            <v>19327</v>
          </cell>
          <cell r="CQ98">
            <v>22595</v>
          </cell>
        </row>
        <row r="99">
          <cell r="B99" t="str">
            <v>Number of Projects</v>
          </cell>
          <cell r="BP99">
            <v>117</v>
          </cell>
          <cell r="BS99">
            <v>117</v>
          </cell>
          <cell r="BV99">
            <v>124</v>
          </cell>
          <cell r="BY99">
            <v>131</v>
          </cell>
          <cell r="CB99">
            <v>135</v>
          </cell>
          <cell r="CE99">
            <v>139</v>
          </cell>
          <cell r="CH99">
            <v>123</v>
          </cell>
          <cell r="CK99">
            <v>113</v>
          </cell>
          <cell r="CN99">
            <v>134</v>
          </cell>
          <cell r="CQ99">
            <v>132</v>
          </cell>
        </row>
        <row r="100">
          <cell r="B100" t="str">
            <v>Average Daily Wage</v>
          </cell>
          <cell r="BV100">
            <v>370</v>
          </cell>
          <cell r="BY100">
            <v>396</v>
          </cell>
          <cell r="CB100">
            <v>426</v>
          </cell>
          <cell r="CE100">
            <v>454</v>
          </cell>
          <cell r="CH100">
            <v>474</v>
          </cell>
          <cell r="CK100">
            <v>491</v>
          </cell>
          <cell r="CN100">
            <v>499</v>
          </cell>
          <cell r="CQ100">
            <v>519</v>
          </cell>
        </row>
        <row r="102">
          <cell r="B102" t="str">
            <v>Hotel Employment</v>
          </cell>
        </row>
        <row r="103">
          <cell r="B103" t="str">
            <v>Total Employment</v>
          </cell>
          <cell r="AL103">
            <v>6096</v>
          </cell>
          <cell r="AR103">
            <v>6251</v>
          </cell>
          <cell r="AX103">
            <v>6333</v>
          </cell>
          <cell r="BD103">
            <v>6434</v>
          </cell>
          <cell r="BJ103">
            <v>6825</v>
          </cell>
          <cell r="BP103">
            <v>7552</v>
          </cell>
          <cell r="BV103">
            <v>8992</v>
          </cell>
          <cell r="CB103">
            <v>8880</v>
          </cell>
          <cell r="CH103">
            <v>9538</v>
          </cell>
          <cell r="CN103">
            <v>13001</v>
          </cell>
        </row>
        <row r="104">
          <cell r="B104" t="str">
            <v>Average Wage</v>
          </cell>
          <cell r="AL104">
            <v>6000</v>
          </cell>
          <cell r="AR104">
            <v>6006</v>
          </cell>
          <cell r="AX104">
            <v>5980</v>
          </cell>
          <cell r="BD104">
            <v>5892</v>
          </cell>
          <cell r="BJ104">
            <v>6108</v>
          </cell>
          <cell r="BP104">
            <v>6266</v>
          </cell>
          <cell r="BV104">
            <v>6303</v>
          </cell>
          <cell r="CB104">
            <v>6234</v>
          </cell>
          <cell r="CH104">
            <v>6464</v>
          </cell>
          <cell r="CN104">
            <v>7426</v>
          </cell>
        </row>
        <row r="105">
          <cell r="B105" t="str">
            <v>Average Wage, incl. Bonus</v>
          </cell>
          <cell r="AL105">
            <v>6002</v>
          </cell>
          <cell r="AR105">
            <v>6010</v>
          </cell>
          <cell r="AX105">
            <v>5981</v>
          </cell>
          <cell r="BD105">
            <v>5944</v>
          </cell>
          <cell r="BJ105">
            <v>6138</v>
          </cell>
          <cell r="BP105">
            <v>6271</v>
          </cell>
          <cell r="BV105">
            <v>6303</v>
          </cell>
          <cell r="CB105">
            <v>6479</v>
          </cell>
          <cell r="CH105">
            <v>6481</v>
          </cell>
        </row>
        <row r="106">
          <cell r="B106" t="str">
            <v>Number of Vacancies</v>
          </cell>
          <cell r="AL106">
            <v>265</v>
          </cell>
          <cell r="AR106">
            <v>237</v>
          </cell>
          <cell r="AX106">
            <v>186</v>
          </cell>
          <cell r="BD106">
            <v>279</v>
          </cell>
          <cell r="BJ106">
            <v>356</v>
          </cell>
          <cell r="BP106">
            <v>465</v>
          </cell>
          <cell r="BV106">
            <v>576</v>
          </cell>
          <cell r="CB106">
            <v>615</v>
          </cell>
          <cell r="CH106">
            <v>938</v>
          </cell>
          <cell r="CN106">
            <v>615</v>
          </cell>
        </row>
        <row r="108">
          <cell r="B108" t="str">
            <v>Gaming Employment</v>
          </cell>
        </row>
        <row r="109">
          <cell r="B109" t="str">
            <v>Total Employment</v>
          </cell>
          <cell r="BM109">
            <v>19772</v>
          </cell>
          <cell r="BS109">
            <v>21264</v>
          </cell>
          <cell r="BY109">
            <v>23368</v>
          </cell>
          <cell r="CE109">
            <v>26118</v>
          </cell>
          <cell r="CK109">
            <v>29993</v>
          </cell>
          <cell r="CQ109">
            <v>36412</v>
          </cell>
        </row>
        <row r="110">
          <cell r="B110" t="str">
            <v>Average Wage</v>
          </cell>
          <cell r="BM110">
            <v>10881.497059317762</v>
          </cell>
          <cell r="BS110">
            <v>10730.064187847498</v>
          </cell>
          <cell r="BY110">
            <v>10931</v>
          </cell>
          <cell r="CE110">
            <v>11269</v>
          </cell>
          <cell r="CK110">
            <v>12615</v>
          </cell>
          <cell r="CQ110">
            <v>13978</v>
          </cell>
        </row>
        <row r="111">
          <cell r="B111" t="str">
            <v>Average Wage, Resident</v>
          </cell>
          <cell r="BM111">
            <v>10030.511104313246</v>
          </cell>
          <cell r="BS111">
            <v>9870.2110707902284</v>
          </cell>
          <cell r="BY111">
            <v>9936</v>
          </cell>
          <cell r="CE111">
            <v>10252</v>
          </cell>
          <cell r="CK111">
            <v>11367</v>
          </cell>
          <cell r="CQ111">
            <v>12874</v>
          </cell>
        </row>
        <row r="112">
          <cell r="B112" t="str">
            <v>Average Wage, Non-Resident</v>
          </cell>
          <cell r="BM112">
            <v>20105.214190981431</v>
          </cell>
          <cell r="BS112">
            <v>20174.126115407496</v>
          </cell>
          <cell r="BY112">
            <v>23178</v>
          </cell>
          <cell r="CE112">
            <v>23921</v>
          </cell>
          <cell r="CK112">
            <v>25880</v>
          </cell>
          <cell r="CQ112">
            <v>26002</v>
          </cell>
        </row>
        <row r="113">
          <cell r="B113" t="str">
            <v>Average Wage, incl. Bonus</v>
          </cell>
          <cell r="BM113">
            <v>11368.720495154876</v>
          </cell>
          <cell r="BS113">
            <v>11320.592484114377</v>
          </cell>
          <cell r="BY113">
            <v>11804</v>
          </cell>
          <cell r="CE113">
            <v>11881</v>
          </cell>
          <cell r="CK113">
            <v>12636</v>
          </cell>
          <cell r="CQ113">
            <v>14132</v>
          </cell>
        </row>
        <row r="114">
          <cell r="B114" t="str">
            <v>Average Wage, incl. Bonus, Resident</v>
          </cell>
          <cell r="BM114">
            <v>10562.68608137045</v>
          </cell>
          <cell r="BS114">
            <v>10512.41932513676</v>
          </cell>
          <cell r="BY114">
            <v>10695</v>
          </cell>
          <cell r="CE114">
            <v>10910</v>
          </cell>
          <cell r="CK114">
            <v>11389</v>
          </cell>
          <cell r="CQ114">
            <v>13031</v>
          </cell>
        </row>
        <row r="115">
          <cell r="B115" t="str">
            <v>Average Wage, incl. Bonus, Non-Resident</v>
          </cell>
          <cell r="BM115">
            <v>20105.214190981431</v>
          </cell>
          <cell r="BS115">
            <v>20197.035693039856</v>
          </cell>
          <cell r="BY115">
            <v>25453</v>
          </cell>
          <cell r="CE115">
            <v>23960</v>
          </cell>
          <cell r="CK115">
            <v>25880</v>
          </cell>
          <cell r="CQ115">
            <v>26117</v>
          </cell>
        </row>
        <row r="116">
          <cell r="B116" t="str">
            <v>Number of Vacancies</v>
          </cell>
          <cell r="BM116">
            <v>4925</v>
          </cell>
          <cell r="BS116">
            <v>7104</v>
          </cell>
          <cell r="BY116">
            <v>13046</v>
          </cell>
          <cell r="CE116">
            <v>6167</v>
          </cell>
          <cell r="CK116">
            <v>5699</v>
          </cell>
          <cell r="CQ116">
            <v>5631</v>
          </cell>
        </row>
        <row r="118">
          <cell r="B118" t="str">
            <v>Average Non-Gaming Spend</v>
          </cell>
        </row>
        <row r="119">
          <cell r="B119" t="str">
            <v>All Visitors</v>
          </cell>
          <cell r="BG119">
            <v>1616</v>
          </cell>
          <cell r="BJ119">
            <v>1497</v>
          </cell>
          <cell r="BM119">
            <v>1517</v>
          </cell>
          <cell r="BP119">
            <v>1497</v>
          </cell>
          <cell r="BS119">
            <v>1590</v>
          </cell>
          <cell r="BV119">
            <v>1490</v>
          </cell>
          <cell r="BY119">
            <v>1334</v>
          </cell>
          <cell r="CB119">
            <v>1419</v>
          </cell>
          <cell r="CE119">
            <v>1574</v>
          </cell>
          <cell r="CH119">
            <v>1562</v>
          </cell>
          <cell r="CK119">
            <v>1468</v>
          </cell>
          <cell r="CN119">
            <v>1430</v>
          </cell>
          <cell r="CQ119">
            <v>1670</v>
          </cell>
          <cell r="CW119">
            <v>6.099110546378661E-2</v>
          </cell>
        </row>
        <row r="120">
          <cell r="B120" t="str">
            <v>Accomodation</v>
          </cell>
          <cell r="BG120">
            <v>317</v>
          </cell>
          <cell r="BJ120">
            <v>280</v>
          </cell>
          <cell r="BM120">
            <v>303</v>
          </cell>
          <cell r="BP120">
            <v>305</v>
          </cell>
          <cell r="BS120">
            <v>354</v>
          </cell>
          <cell r="BV120">
            <v>296</v>
          </cell>
          <cell r="BY120">
            <v>265</v>
          </cell>
          <cell r="CB120">
            <v>296</v>
          </cell>
          <cell r="CE120">
            <v>316</v>
          </cell>
          <cell r="CH120">
            <v>300</v>
          </cell>
          <cell r="CK120">
            <v>295</v>
          </cell>
          <cell r="CN120">
            <v>288</v>
          </cell>
          <cell r="CQ120">
            <v>377</v>
          </cell>
          <cell r="CW120">
            <v>0.19303797468354422</v>
          </cell>
        </row>
        <row r="121">
          <cell r="B121" t="str">
            <v>F&amp;B</v>
          </cell>
          <cell r="BG121">
            <v>332</v>
          </cell>
          <cell r="BJ121">
            <v>335</v>
          </cell>
          <cell r="BM121">
            <v>335</v>
          </cell>
          <cell r="BP121">
            <v>337</v>
          </cell>
          <cell r="BS121">
            <v>332</v>
          </cell>
          <cell r="BV121">
            <v>325</v>
          </cell>
          <cell r="BY121">
            <v>317</v>
          </cell>
          <cell r="CB121">
            <v>342</v>
          </cell>
          <cell r="CE121">
            <v>338</v>
          </cell>
          <cell r="CH121">
            <v>325</v>
          </cell>
          <cell r="CK121">
            <v>316</v>
          </cell>
          <cell r="CN121">
            <v>327</v>
          </cell>
          <cell r="CQ121">
            <v>347</v>
          </cell>
          <cell r="CW121">
            <v>2.6627218934911268E-2</v>
          </cell>
        </row>
        <row r="122">
          <cell r="B122" t="str">
            <v>Outbound Transport</v>
          </cell>
          <cell r="BG122">
            <v>111</v>
          </cell>
          <cell r="BJ122">
            <v>119</v>
          </cell>
          <cell r="BM122">
            <v>125</v>
          </cell>
          <cell r="BP122">
            <v>127</v>
          </cell>
          <cell r="BS122">
            <v>139</v>
          </cell>
          <cell r="BV122">
            <v>135</v>
          </cell>
          <cell r="BY122">
            <v>138</v>
          </cell>
          <cell r="CB122">
            <v>137</v>
          </cell>
          <cell r="CE122">
            <v>131</v>
          </cell>
          <cell r="CH122">
            <v>128</v>
          </cell>
          <cell r="CK122">
            <v>123</v>
          </cell>
          <cell r="CN122">
            <v>127</v>
          </cell>
          <cell r="CQ122">
            <v>121</v>
          </cell>
          <cell r="CW122">
            <v>-7.6335877862595436E-2</v>
          </cell>
        </row>
        <row r="123">
          <cell r="B123" t="str">
            <v>Entertainment</v>
          </cell>
          <cell r="BG123">
            <v>33</v>
          </cell>
          <cell r="BJ123">
            <v>27</v>
          </cell>
          <cell r="BM123">
            <v>31</v>
          </cell>
          <cell r="BP123">
            <v>28</v>
          </cell>
          <cell r="BS123">
            <v>28</v>
          </cell>
          <cell r="BV123">
            <v>18</v>
          </cell>
          <cell r="BY123">
            <v>17</v>
          </cell>
          <cell r="CB123">
            <v>18</v>
          </cell>
          <cell r="CE123">
            <v>29</v>
          </cell>
          <cell r="CH123">
            <v>16</v>
          </cell>
          <cell r="CK123">
            <v>19</v>
          </cell>
          <cell r="CN123">
            <v>23</v>
          </cell>
          <cell r="CQ123">
            <v>29</v>
          </cell>
          <cell r="CW123">
            <v>0</v>
          </cell>
        </row>
        <row r="124">
          <cell r="B124" t="str">
            <v>Shopping</v>
          </cell>
          <cell r="BG124">
            <v>772</v>
          </cell>
          <cell r="BJ124">
            <v>689</v>
          </cell>
          <cell r="BM124">
            <v>674</v>
          </cell>
          <cell r="BP124">
            <v>653</v>
          </cell>
          <cell r="BS124">
            <v>688</v>
          </cell>
          <cell r="BV124">
            <v>666</v>
          </cell>
          <cell r="BY124">
            <v>547</v>
          </cell>
          <cell r="CB124">
            <v>574</v>
          </cell>
          <cell r="CE124">
            <v>704.25</v>
          </cell>
          <cell r="CH124">
            <v>744</v>
          </cell>
          <cell r="CK124">
            <v>668</v>
          </cell>
          <cell r="CN124">
            <v>616</v>
          </cell>
          <cell r="CQ124">
            <v>745</v>
          </cell>
          <cell r="CW124">
            <v>5.7862974795882094E-2</v>
          </cell>
        </row>
        <row r="125">
          <cell r="B125" t="str">
            <v>Other</v>
          </cell>
          <cell r="BG125">
            <v>51</v>
          </cell>
          <cell r="BJ125">
            <v>47</v>
          </cell>
          <cell r="BM125">
            <v>49</v>
          </cell>
          <cell r="BP125">
            <v>47</v>
          </cell>
          <cell r="BS125">
            <v>49</v>
          </cell>
          <cell r="BV125">
            <v>50</v>
          </cell>
          <cell r="BY125">
            <v>50</v>
          </cell>
          <cell r="CB125">
            <v>52</v>
          </cell>
          <cell r="CE125">
            <v>55.75</v>
          </cell>
          <cell r="CH125">
            <v>49</v>
          </cell>
          <cell r="CK125">
            <v>47</v>
          </cell>
          <cell r="CN125">
            <v>49</v>
          </cell>
          <cell r="CO125">
            <v>0</v>
          </cell>
          <cell r="CP125">
            <v>0</v>
          </cell>
          <cell r="CQ125">
            <v>51</v>
          </cell>
          <cell r="CR125">
            <v>0</v>
          </cell>
          <cell r="CW125">
            <v>-8.5201793721973118E-2</v>
          </cell>
        </row>
        <row r="127">
          <cell r="B127" t="str">
            <v>Mainland Chinese Visitors</v>
          </cell>
          <cell r="BG127">
            <v>2948</v>
          </cell>
          <cell r="BJ127">
            <v>2617</v>
          </cell>
          <cell r="BM127">
            <v>2820</v>
          </cell>
          <cell r="BP127">
            <v>2567</v>
          </cell>
          <cell r="BS127">
            <v>3290</v>
          </cell>
          <cell r="BV127">
            <v>2816</v>
          </cell>
          <cell r="BY127">
            <v>2856</v>
          </cell>
          <cell r="CB127">
            <v>2863</v>
          </cell>
          <cell r="CE127">
            <v>3185</v>
          </cell>
          <cell r="CH127">
            <v>3088</v>
          </cell>
          <cell r="CK127">
            <v>2875</v>
          </cell>
          <cell r="CN127">
            <v>2898</v>
          </cell>
          <cell r="CQ127">
            <v>3562</v>
          </cell>
          <cell r="CW127">
            <v>0.1183673469387756</v>
          </cell>
        </row>
        <row r="128">
          <cell r="B128" t="str">
            <v>Accomodation</v>
          </cell>
          <cell r="BG128">
            <v>472</v>
          </cell>
          <cell r="BJ128">
            <v>426</v>
          </cell>
          <cell r="BM128">
            <v>520</v>
          </cell>
          <cell r="BP128">
            <v>445</v>
          </cell>
          <cell r="BS128">
            <v>682</v>
          </cell>
          <cell r="BV128">
            <v>480</v>
          </cell>
          <cell r="BY128">
            <v>573</v>
          </cell>
          <cell r="CB128">
            <v>545</v>
          </cell>
          <cell r="CE128">
            <v>608</v>
          </cell>
          <cell r="CH128">
            <v>486</v>
          </cell>
          <cell r="CK128">
            <v>484</v>
          </cell>
          <cell r="CN128">
            <v>443</v>
          </cell>
          <cell r="CQ128">
            <v>738</v>
          </cell>
          <cell r="CW128">
            <v>0.21381578947368429</v>
          </cell>
        </row>
        <row r="129">
          <cell r="B129" t="str">
            <v>F&amp;B</v>
          </cell>
          <cell r="BG129">
            <v>447</v>
          </cell>
          <cell r="BJ129">
            <v>428</v>
          </cell>
          <cell r="BM129">
            <v>491</v>
          </cell>
          <cell r="BP129">
            <v>440</v>
          </cell>
          <cell r="BS129">
            <v>491</v>
          </cell>
          <cell r="BV129">
            <v>454</v>
          </cell>
          <cell r="BY129">
            <v>521</v>
          </cell>
          <cell r="CB129">
            <v>490</v>
          </cell>
          <cell r="CE129">
            <v>460</v>
          </cell>
          <cell r="CH129">
            <v>424</v>
          </cell>
          <cell r="CK129">
            <v>411</v>
          </cell>
          <cell r="CN129">
            <v>397</v>
          </cell>
          <cell r="CQ129">
            <v>494</v>
          </cell>
          <cell r="CW129">
            <v>7.3913043478260887E-2</v>
          </cell>
        </row>
        <row r="130">
          <cell r="B130" t="str">
            <v>Outbound Transport</v>
          </cell>
          <cell r="BG130">
            <v>63</v>
          </cell>
          <cell r="BJ130">
            <v>68</v>
          </cell>
          <cell r="BM130">
            <v>73</v>
          </cell>
          <cell r="BP130">
            <v>75</v>
          </cell>
          <cell r="BS130">
            <v>85</v>
          </cell>
          <cell r="BV130">
            <v>81</v>
          </cell>
          <cell r="BY130">
            <v>83</v>
          </cell>
          <cell r="CB130">
            <v>74</v>
          </cell>
          <cell r="CE130">
            <v>71</v>
          </cell>
          <cell r="CH130">
            <v>76</v>
          </cell>
          <cell r="CK130">
            <v>62</v>
          </cell>
          <cell r="CN130">
            <v>57</v>
          </cell>
          <cell r="CQ130">
            <v>54</v>
          </cell>
          <cell r="CW130">
            <v>-0.23943661971830987</v>
          </cell>
        </row>
        <row r="131">
          <cell r="B131" t="str">
            <v>Entertainment</v>
          </cell>
          <cell r="BG131">
            <v>53</v>
          </cell>
          <cell r="BJ131">
            <v>50</v>
          </cell>
          <cell r="BM131">
            <v>67</v>
          </cell>
          <cell r="BP131">
            <v>51</v>
          </cell>
          <cell r="BS131">
            <v>52</v>
          </cell>
          <cell r="BV131">
            <v>36</v>
          </cell>
          <cell r="BY131">
            <v>46</v>
          </cell>
          <cell r="CB131">
            <v>43</v>
          </cell>
          <cell r="CE131">
            <v>42</v>
          </cell>
          <cell r="CH131">
            <v>23</v>
          </cell>
          <cell r="CK131">
            <v>33</v>
          </cell>
          <cell r="CN131">
            <v>44</v>
          </cell>
          <cell r="CQ131">
            <v>52</v>
          </cell>
          <cell r="CW131">
            <v>0.23809523809523814</v>
          </cell>
        </row>
        <row r="132">
          <cell r="B132" t="str">
            <v>Shopping</v>
          </cell>
          <cell r="BG132">
            <v>1855</v>
          </cell>
          <cell r="BJ132">
            <v>1595</v>
          </cell>
          <cell r="BM132">
            <v>1608</v>
          </cell>
          <cell r="BP132">
            <v>1504</v>
          </cell>
          <cell r="BS132">
            <v>1917</v>
          </cell>
          <cell r="BV132">
            <v>1705</v>
          </cell>
          <cell r="BY132">
            <v>1564</v>
          </cell>
          <cell r="CB132">
            <v>1652</v>
          </cell>
          <cell r="CE132">
            <v>1936</v>
          </cell>
          <cell r="CH132">
            <v>2023</v>
          </cell>
          <cell r="CK132">
            <v>1833</v>
          </cell>
          <cell r="CN132">
            <v>1906</v>
          </cell>
          <cell r="CQ132">
            <v>2157</v>
          </cell>
          <cell r="CW132">
            <v>0.11415289256198347</v>
          </cell>
        </row>
        <row r="133">
          <cell r="B133" t="str">
            <v>Other</v>
          </cell>
          <cell r="BG133">
            <v>58</v>
          </cell>
          <cell r="BJ133">
            <v>50</v>
          </cell>
          <cell r="BM133">
            <v>61</v>
          </cell>
          <cell r="BP133">
            <v>52</v>
          </cell>
          <cell r="BS133">
            <v>63</v>
          </cell>
          <cell r="BV133">
            <v>60</v>
          </cell>
          <cell r="BY133">
            <v>69</v>
          </cell>
          <cell r="CB133">
            <v>59</v>
          </cell>
          <cell r="CE133">
            <v>68</v>
          </cell>
          <cell r="CH133">
            <v>56</v>
          </cell>
          <cell r="CK133">
            <v>52</v>
          </cell>
          <cell r="CN133">
            <v>51</v>
          </cell>
          <cell r="CO133">
            <v>0</v>
          </cell>
          <cell r="CP133">
            <v>0</v>
          </cell>
          <cell r="CQ133">
            <v>67</v>
          </cell>
          <cell r="CR133">
            <v>0</v>
          </cell>
          <cell r="CW133">
            <v>-1.4705882352941124E-2</v>
          </cell>
        </row>
        <row r="135">
          <cell r="B135" t="str">
            <v>Per-Diem Spend</v>
          </cell>
        </row>
        <row r="136">
          <cell r="B136" t="str">
            <v>Tourists</v>
          </cell>
          <cell r="BG136">
            <v>1360</v>
          </cell>
          <cell r="BJ136">
            <v>1236</v>
          </cell>
          <cell r="BM136">
            <v>1307</v>
          </cell>
          <cell r="BP136">
            <v>1291</v>
          </cell>
          <cell r="BS136">
            <v>1386</v>
          </cell>
          <cell r="BV136">
            <v>1273</v>
          </cell>
          <cell r="BY136">
            <v>1243</v>
          </cell>
          <cell r="CB136">
            <v>1160</v>
          </cell>
          <cell r="CE136">
            <v>1352</v>
          </cell>
          <cell r="CH136">
            <v>1378</v>
          </cell>
          <cell r="CK136">
            <v>1331</v>
          </cell>
          <cell r="CN136">
            <v>1200</v>
          </cell>
          <cell r="CQ136">
            <v>1412</v>
          </cell>
          <cell r="CW136">
            <v>4.4378698224851965E-2</v>
          </cell>
        </row>
        <row r="137">
          <cell r="B137" t="str">
            <v>Same Day Visitor Spend</v>
          </cell>
          <cell r="BG137">
            <v>472</v>
          </cell>
          <cell r="BJ137">
            <v>539</v>
          </cell>
          <cell r="BM137">
            <v>470</v>
          </cell>
          <cell r="BP137">
            <v>519</v>
          </cell>
          <cell r="BS137">
            <v>514</v>
          </cell>
          <cell r="BV137">
            <v>533</v>
          </cell>
          <cell r="BY137">
            <v>463</v>
          </cell>
          <cell r="CB137">
            <v>508</v>
          </cell>
          <cell r="CE137">
            <v>557</v>
          </cell>
          <cell r="CH137">
            <v>591</v>
          </cell>
          <cell r="CK137">
            <v>522</v>
          </cell>
          <cell r="CN137">
            <v>516</v>
          </cell>
          <cell r="CQ137">
            <v>522</v>
          </cell>
          <cell r="CW137">
            <v>-6.2836624775583494E-2</v>
          </cell>
        </row>
        <row r="139">
          <cell r="B139" t="str">
            <v>Hotel Guests</v>
          </cell>
          <cell r="L139">
            <v>195104</v>
          </cell>
          <cell r="M139">
            <v>232418</v>
          </cell>
          <cell r="N139">
            <v>214982</v>
          </cell>
          <cell r="O139">
            <v>227198</v>
          </cell>
          <cell r="P139">
            <v>234328</v>
          </cell>
          <cell r="Q139">
            <v>196788</v>
          </cell>
          <cell r="R139">
            <v>248879</v>
          </cell>
          <cell r="S139">
            <v>268394</v>
          </cell>
          <cell r="T139">
            <v>206725</v>
          </cell>
          <cell r="U139">
            <v>227021</v>
          </cell>
          <cell r="V139">
            <v>213591</v>
          </cell>
          <cell r="W139">
            <v>224415</v>
          </cell>
          <cell r="X139">
            <v>229207</v>
          </cell>
          <cell r="Y139">
            <v>182303</v>
          </cell>
          <cell r="Z139">
            <v>223000</v>
          </cell>
          <cell r="AA139">
            <v>238356</v>
          </cell>
          <cell r="AB139">
            <v>224935</v>
          </cell>
          <cell r="AC139">
            <v>212838</v>
          </cell>
          <cell r="AD139">
            <v>243043</v>
          </cell>
          <cell r="AE139">
            <v>271109</v>
          </cell>
          <cell r="AF139">
            <v>207406</v>
          </cell>
          <cell r="AG139">
            <v>233175</v>
          </cell>
          <cell r="AH139">
            <v>233870</v>
          </cell>
          <cell r="AI139">
            <v>267611</v>
          </cell>
          <cell r="AJ139">
            <v>231779</v>
          </cell>
          <cell r="AK139">
            <v>235288</v>
          </cell>
          <cell r="AL139">
            <v>254568</v>
          </cell>
          <cell r="AM139">
            <v>275482</v>
          </cell>
          <cell r="AN139">
            <v>273308</v>
          </cell>
          <cell r="AO139">
            <v>229369</v>
          </cell>
          <cell r="AP139">
            <v>272872</v>
          </cell>
          <cell r="AQ139">
            <v>308286</v>
          </cell>
          <cell r="AR139">
            <v>238709</v>
          </cell>
          <cell r="AS139">
            <v>246984</v>
          </cell>
          <cell r="AT139">
            <v>285760</v>
          </cell>
          <cell r="AU139">
            <v>302396</v>
          </cell>
          <cell r="AV139">
            <v>242796</v>
          </cell>
          <cell r="AW139">
            <v>248037</v>
          </cell>
          <cell r="AX139">
            <v>272109</v>
          </cell>
          <cell r="AY139">
            <v>162809</v>
          </cell>
          <cell r="AZ139">
            <v>118395</v>
          </cell>
          <cell r="BA139">
            <v>189007</v>
          </cell>
          <cell r="BB139">
            <v>264842</v>
          </cell>
          <cell r="BC139">
            <v>350507</v>
          </cell>
          <cell r="BD139">
            <v>265668</v>
          </cell>
          <cell r="BE139">
            <v>280884</v>
          </cell>
          <cell r="BF139">
            <v>319501</v>
          </cell>
          <cell r="BG139">
            <v>328717</v>
          </cell>
          <cell r="BH139">
            <v>292180</v>
          </cell>
          <cell r="BI139">
            <v>264633</v>
          </cell>
          <cell r="BJ139">
            <v>352018</v>
          </cell>
          <cell r="BK139">
            <v>332605</v>
          </cell>
          <cell r="BL139">
            <v>314560</v>
          </cell>
          <cell r="BM139">
            <v>318192</v>
          </cell>
          <cell r="BN139">
            <v>375930</v>
          </cell>
          <cell r="BO139">
            <v>376912</v>
          </cell>
          <cell r="BP139">
            <v>297167</v>
          </cell>
          <cell r="BQ139">
            <v>332135</v>
          </cell>
          <cell r="BR139">
            <v>351974</v>
          </cell>
          <cell r="BS139">
            <v>347848</v>
          </cell>
          <cell r="BT139">
            <v>302774</v>
          </cell>
          <cell r="BU139">
            <v>288249</v>
          </cell>
          <cell r="BV139">
            <v>318686</v>
          </cell>
          <cell r="BW139">
            <v>330819</v>
          </cell>
          <cell r="BX139">
            <v>329184</v>
          </cell>
          <cell r="BY139">
            <v>335215</v>
          </cell>
          <cell r="BZ139">
            <v>379479</v>
          </cell>
          <cell r="CA139">
            <v>384807</v>
          </cell>
          <cell r="CB139">
            <v>325719</v>
          </cell>
          <cell r="CC139">
            <v>351692</v>
          </cell>
          <cell r="CD139">
            <v>387940</v>
          </cell>
          <cell r="CE139">
            <v>386524</v>
          </cell>
          <cell r="CF139">
            <v>327331</v>
          </cell>
          <cell r="CG139">
            <v>340115</v>
          </cell>
          <cell r="CH139">
            <v>399412</v>
          </cell>
          <cell r="CI139">
            <v>402224</v>
          </cell>
          <cell r="CJ139">
            <v>343016</v>
          </cell>
          <cell r="CK139">
            <v>346970</v>
          </cell>
          <cell r="CL139">
            <v>399230</v>
          </cell>
          <cell r="CM139">
            <v>419769</v>
          </cell>
          <cell r="CN139">
            <v>365094</v>
          </cell>
          <cell r="CO139">
            <v>412448</v>
          </cell>
          <cell r="CP139">
            <v>443377</v>
          </cell>
          <cell r="CQ139">
            <v>481868</v>
          </cell>
          <cell r="CR139">
            <v>429669</v>
          </cell>
          <cell r="CS139">
            <v>426186</v>
          </cell>
        </row>
        <row r="140">
          <cell r="B140" t="str">
            <v>% of Total</v>
          </cell>
          <cell r="L140">
            <v>0.30387569854155116</v>
          </cell>
          <cell r="M140">
            <v>0.28580528379102904</v>
          </cell>
          <cell r="N140">
            <v>0.29837434820564851</v>
          </cell>
          <cell r="O140">
            <v>0.28288047572149477</v>
          </cell>
          <cell r="P140">
            <v>0.31767602273220252</v>
          </cell>
          <cell r="Q140">
            <v>0.30316493917844689</v>
          </cell>
          <cell r="R140">
            <v>0.29340946039463306</v>
          </cell>
          <cell r="S140">
            <v>0.29789316894827156</v>
          </cell>
          <cell r="T140">
            <v>0.28495359553612903</v>
          </cell>
          <cell r="U140">
            <v>0.29065905645689938</v>
          </cell>
          <cell r="V140">
            <v>0.29203554342639398</v>
          </cell>
          <cell r="W140">
            <v>0.2772523705099299</v>
          </cell>
          <cell r="X140">
            <v>0.25879737416757181</v>
          </cell>
          <cell r="Y140">
            <v>0.25658951279759601</v>
          </cell>
          <cell r="Z140">
            <v>0.26022977238647038</v>
          </cell>
          <cell r="AA140">
            <v>0.25562993738913331</v>
          </cell>
          <cell r="AB140">
            <v>0.27348518376220099</v>
          </cell>
          <cell r="AC140">
            <v>0.26547738731075016</v>
          </cell>
          <cell r="AD140">
            <v>0.28569295909083431</v>
          </cell>
          <cell r="AE140">
            <v>0.25684656698205355</v>
          </cell>
          <cell r="AF140">
            <v>0.26491576969599434</v>
          </cell>
          <cell r="AG140">
            <v>0.27209745213862119</v>
          </cell>
          <cell r="AH140">
            <v>0.28460028548863459</v>
          </cell>
          <cell r="AI140">
            <v>0.29687978416084987</v>
          </cell>
          <cell r="AJ140">
            <v>0.29787625063455447</v>
          </cell>
          <cell r="AK140">
            <v>0.251678028232591</v>
          </cell>
          <cell r="AL140">
            <v>0.26518356321922898</v>
          </cell>
          <cell r="AM140">
            <v>0.27607390244684604</v>
          </cell>
          <cell r="AN140">
            <v>0.28972006207651013</v>
          </cell>
          <cell r="AO140">
            <v>0.26588266660484311</v>
          </cell>
          <cell r="AP140">
            <v>0.26854599260512407</v>
          </cell>
          <cell r="AQ140">
            <v>0.27705896150745613</v>
          </cell>
          <cell r="AR140">
            <v>0.26988076852632792</v>
          </cell>
          <cell r="AS140">
            <v>0.25434106978458904</v>
          </cell>
          <cell r="AT140">
            <v>0.28484933667066387</v>
          </cell>
          <cell r="AU140">
            <v>0.28356049417446139</v>
          </cell>
          <cell r="AV140">
            <v>0.24594084559259247</v>
          </cell>
          <cell r="AW140">
            <v>0.23680803652410021</v>
          </cell>
          <cell r="AX140">
            <v>0.28316488996374445</v>
          </cell>
          <cell r="AY140">
            <v>0.24643163111163582</v>
          </cell>
          <cell r="AZ140">
            <v>0.19844023411573042</v>
          </cell>
          <cell r="BA140">
            <v>0.2316889745874802</v>
          </cell>
          <cell r="BB140">
            <v>0.25299959495915203</v>
          </cell>
          <cell r="BC140">
            <v>0.27525481175852506</v>
          </cell>
          <cell r="BD140">
            <v>0.26538987141475734</v>
          </cell>
          <cell r="BE140">
            <v>0.25188204899649463</v>
          </cell>
          <cell r="BF140">
            <v>0.27552072823479296</v>
          </cell>
          <cell r="BG140">
            <v>0.26873484510326179</v>
          </cell>
          <cell r="BH140">
            <v>0.21904338510418017</v>
          </cell>
          <cell r="BI140">
            <v>0.23828595971974725</v>
          </cell>
          <cell r="BJ140">
            <v>0.26933550218938673</v>
          </cell>
          <cell r="BK140">
            <v>0.24541749123047796</v>
          </cell>
          <cell r="BL140">
            <v>0.23697239440354614</v>
          </cell>
          <cell r="BM140">
            <v>0.24461912797469182</v>
          </cell>
          <cell r="BN140">
            <v>0.24667759861887317</v>
          </cell>
          <cell r="BO140">
            <v>0.23295032796804435</v>
          </cell>
          <cell r="BP140">
            <v>0.22628175206604018</v>
          </cell>
          <cell r="BQ140">
            <v>0.22004395115154798</v>
          </cell>
          <cell r="BR140">
            <v>0.24196672986681222</v>
          </cell>
          <cell r="BS140">
            <v>0.22908821247601097</v>
          </cell>
          <cell r="BT140">
            <v>0.2160450793791239</v>
          </cell>
          <cell r="BU140">
            <v>0.1893149173447875</v>
          </cell>
          <cell r="BV140">
            <v>0.20788483704752728</v>
          </cell>
          <cell r="BW140">
            <v>0.22147738623491323</v>
          </cell>
          <cell r="BX140">
            <v>0.21382054569759421</v>
          </cell>
          <cell r="BY140">
            <v>0.23391308898696858</v>
          </cell>
          <cell r="BZ140">
            <v>0.22781625287262475</v>
          </cell>
          <cell r="CA140">
            <v>0.22216429582185149</v>
          </cell>
          <cell r="CB140">
            <v>0.22411986307260937</v>
          </cell>
          <cell r="CC140">
            <v>0.21140126098280682</v>
          </cell>
          <cell r="CD140">
            <v>0.24161849638979838</v>
          </cell>
          <cell r="CE140">
            <v>0.23179572059105738</v>
          </cell>
          <cell r="CF140">
            <v>0.19702201706640152</v>
          </cell>
          <cell r="CG140">
            <v>0.19173009471646507</v>
          </cell>
          <cell r="CH140">
            <v>0.22034104945167399</v>
          </cell>
          <cell r="CI140">
            <v>0.2150569369635259</v>
          </cell>
          <cell r="CJ140">
            <v>0.2009284452788411</v>
          </cell>
          <cell r="CK140">
            <v>0.21726457160425874</v>
          </cell>
          <cell r="CL140">
            <v>0.22151779333365884</v>
          </cell>
          <cell r="CM140">
            <v>0.21837457595111545</v>
          </cell>
          <cell r="CN140">
            <v>0.20876555260309362</v>
          </cell>
          <cell r="CO140">
            <v>0.20727821701172161</v>
          </cell>
          <cell r="CP140">
            <v>0.22742145371599978</v>
          </cell>
          <cell r="CQ140">
            <v>0.22278617256233132</v>
          </cell>
          <cell r="CR140">
            <v>0.21074933489244485</v>
          </cell>
          <cell r="CS140">
            <v>0.19644533804965134</v>
          </cell>
        </row>
        <row r="141">
          <cell r="B141" t="str">
            <v>Overnight Guests per Room</v>
          </cell>
          <cell r="L141">
            <v>1.7204521783077502</v>
          </cell>
          <cell r="M141">
            <v>1.754790822008587</v>
          </cell>
          <cell r="N141">
            <v>1.7416082981822836</v>
          </cell>
          <cell r="O141">
            <v>1.7613682053826609</v>
          </cell>
          <cell r="P141">
            <v>1.7443711705790543</v>
          </cell>
          <cell r="Q141">
            <v>1.7178079590948223</v>
          </cell>
          <cell r="R141">
            <v>1.7671273827723311</v>
          </cell>
          <cell r="S141">
            <v>1.7657908048697504</v>
          </cell>
          <cell r="T141">
            <v>1.7615093019791002</v>
          </cell>
          <cell r="U141">
            <v>1.782889096238109</v>
          </cell>
          <cell r="V141">
            <v>1.7632217633847718</v>
          </cell>
          <cell r="W141">
            <v>1.7896504034299374</v>
          </cell>
          <cell r="X141">
            <v>1.7967011227672887</v>
          </cell>
          <cell r="Y141">
            <v>1.8109299380267174</v>
          </cell>
          <cell r="Z141">
            <v>1.7610027689912777</v>
          </cell>
          <cell r="AA141">
            <v>1.7898152533861165</v>
          </cell>
          <cell r="AB141">
            <v>1.7524219361215381</v>
          </cell>
          <cell r="AC141">
            <v>1.8262676325551288</v>
          </cell>
          <cell r="AD141">
            <v>1.7414872690660657</v>
          </cell>
          <cell r="AE141">
            <v>1.7739564993999986</v>
          </cell>
          <cell r="AF141">
            <v>1.7994407966084986</v>
          </cell>
          <cell r="AG141">
            <v>1.7904557153082599</v>
          </cell>
          <cell r="AH141">
            <v>1.7734368625538279</v>
          </cell>
          <cell r="AI141">
            <v>1.7822381983053024</v>
          </cell>
          <cell r="AJ141">
            <v>1.8366562607636649</v>
          </cell>
          <cell r="AK141">
            <v>1.8382304502544702</v>
          </cell>
          <cell r="AL141">
            <v>1.8075244828261412</v>
          </cell>
          <cell r="AM141">
            <v>1.8307206162483864</v>
          </cell>
          <cell r="AN141">
            <v>1.7835007355583208</v>
          </cell>
          <cell r="AO141">
            <v>1.7469981893532804</v>
          </cell>
          <cell r="AP141">
            <v>1.7771235321866077</v>
          </cell>
          <cell r="AQ141">
            <v>1.7606042835962585</v>
          </cell>
          <cell r="AR141">
            <v>1.7193582937002698</v>
          </cell>
          <cell r="AS141">
            <v>1.7175082378062465</v>
          </cell>
          <cell r="AT141">
            <v>1.7544927894865201</v>
          </cell>
          <cell r="AU141">
            <v>1.7414268035776646</v>
          </cell>
          <cell r="AV141">
            <v>1.7127346844168969</v>
          </cell>
          <cell r="AW141">
            <v>1.7242156442116812</v>
          </cell>
          <cell r="AX141">
            <v>1.7459603398895274</v>
          </cell>
          <cell r="AY141">
            <v>1.7471586412893978</v>
          </cell>
          <cell r="AZ141">
            <v>1.7409698389887807</v>
          </cell>
          <cell r="BA141">
            <v>1.7600419342471909</v>
          </cell>
          <cell r="BB141">
            <v>1.7411882492803719</v>
          </cell>
          <cell r="BC141">
            <v>1.8012611702110741</v>
          </cell>
          <cell r="BD141">
            <v>1.7491205240646037</v>
          </cell>
          <cell r="BE141">
            <v>1.7545128864327935</v>
          </cell>
          <cell r="BF141">
            <v>1.7910834164841172</v>
          </cell>
          <cell r="BG141">
            <v>1.7894080605035061</v>
          </cell>
          <cell r="BH141">
            <v>1.8595244996796543</v>
          </cell>
          <cell r="BI141">
            <v>1.7996101006683698</v>
          </cell>
          <cell r="BJ141">
            <v>1.8623882219685244</v>
          </cell>
          <cell r="BK141">
            <v>1.8238491425052623</v>
          </cell>
          <cell r="BL141">
            <v>1.8233434535624129</v>
          </cell>
          <cell r="BM141">
            <v>1.8262179636182065</v>
          </cell>
          <cell r="BN141">
            <v>1.8298612116443747</v>
          </cell>
          <cell r="BO141">
            <v>1.8294381650689047</v>
          </cell>
          <cell r="BP141">
            <v>1.802264125497145</v>
          </cell>
          <cell r="BQ141">
            <v>1.7891380775120251</v>
          </cell>
          <cell r="BR141">
            <v>1.8032294288712736</v>
          </cell>
          <cell r="BS141">
            <v>1.7930045672121</v>
          </cell>
          <cell r="BT141">
            <v>1.7707516637550558</v>
          </cell>
          <cell r="BU141">
            <v>1.7948647890495402</v>
          </cell>
          <cell r="BV141">
            <v>1.7671867875900928</v>
          </cell>
          <cell r="BW141">
            <v>1.7942362675505745</v>
          </cell>
          <cell r="BX141">
            <v>1.7881638732699623</v>
          </cell>
          <cell r="BY141">
            <v>1.7812429842119901</v>
          </cell>
          <cell r="BZ141">
            <v>1.816305085540721</v>
          </cell>
          <cell r="CA141">
            <v>1.801960760508087</v>
          </cell>
          <cell r="CB141">
            <v>1.7767508502759704</v>
          </cell>
          <cell r="CC141">
            <v>1.7698957994103974</v>
          </cell>
          <cell r="CD141">
            <v>1.7492732273745857</v>
          </cell>
          <cell r="CE141">
            <v>1.7245801669474989</v>
          </cell>
          <cell r="CF141">
            <v>1.7232062696170798</v>
          </cell>
          <cell r="CG141">
            <v>1.7685641177266627</v>
          </cell>
          <cell r="CH141">
            <v>1.7459771160505759</v>
          </cell>
          <cell r="CI141">
            <v>1.766391458103836</v>
          </cell>
          <cell r="CJ141">
            <v>1.7183078599922548</v>
          </cell>
          <cell r="CK141">
            <v>1.6794064237884461</v>
          </cell>
          <cell r="CL141">
            <v>1.7397278628631498</v>
          </cell>
          <cell r="CM141">
            <v>1.7934287340460697</v>
          </cell>
          <cell r="CN141">
            <v>1.7208022608180238</v>
          </cell>
          <cell r="CO141">
            <v>1.7326388933775594</v>
          </cell>
          <cell r="CP141">
            <v>1.8010223261377463</v>
          </cell>
          <cell r="CQ141">
            <v>1.8561120428021256</v>
          </cell>
          <cell r="CR141">
            <v>1.7926660441647932</v>
          </cell>
          <cell r="CS141">
            <v>1.8859357165320663</v>
          </cell>
        </row>
        <row r="142">
          <cell r="B142" t="str">
            <v>Other Overnight Guests</v>
          </cell>
          <cell r="L142">
            <v>178882</v>
          </cell>
          <cell r="M142">
            <v>272421</v>
          </cell>
          <cell r="N142">
            <v>198003</v>
          </cell>
          <cell r="O142">
            <v>229839</v>
          </cell>
          <cell r="P142">
            <v>187850</v>
          </cell>
          <cell r="Q142">
            <v>158044</v>
          </cell>
          <cell r="R142">
            <v>217829</v>
          </cell>
          <cell r="S142">
            <v>248642</v>
          </cell>
          <cell r="T142">
            <v>185513</v>
          </cell>
          <cell r="U142">
            <v>200810</v>
          </cell>
          <cell r="V142">
            <v>193187</v>
          </cell>
          <cell r="W142">
            <v>235855</v>
          </cell>
          <cell r="X142">
            <v>293715</v>
          </cell>
          <cell r="Y142">
            <v>211545</v>
          </cell>
          <cell r="Z142">
            <v>250458</v>
          </cell>
          <cell r="AA142">
            <v>279598</v>
          </cell>
          <cell r="AB142">
            <v>228103</v>
          </cell>
          <cell r="AC142">
            <v>233077</v>
          </cell>
          <cell r="AD142">
            <v>232020</v>
          </cell>
          <cell r="AE142">
            <v>347416</v>
          </cell>
          <cell r="AF142">
            <v>241600</v>
          </cell>
          <cell r="AG142">
            <v>254745</v>
          </cell>
          <cell r="AH142">
            <v>245031</v>
          </cell>
          <cell r="AI142">
            <v>257674</v>
          </cell>
          <cell r="AJ142">
            <v>218010</v>
          </cell>
          <cell r="AK142">
            <v>320997</v>
          </cell>
          <cell r="AL142">
            <v>283160</v>
          </cell>
          <cell r="AM142">
            <v>302486</v>
          </cell>
          <cell r="AN142">
            <v>282090</v>
          </cell>
          <cell r="AO142">
            <v>269923</v>
          </cell>
          <cell r="AP142">
            <v>323771</v>
          </cell>
          <cell r="AQ142">
            <v>329641</v>
          </cell>
          <cell r="AR142">
            <v>235980</v>
          </cell>
          <cell r="AS142">
            <v>258502</v>
          </cell>
          <cell r="AT142">
            <v>276300</v>
          </cell>
          <cell r="AU142">
            <v>309498</v>
          </cell>
          <cell r="AV142">
            <v>308457</v>
          </cell>
          <cell r="AW142">
            <v>302582</v>
          </cell>
          <cell r="AX142">
            <v>236839</v>
          </cell>
          <cell r="AY142">
            <v>193366</v>
          </cell>
          <cell r="AZ142">
            <v>197979</v>
          </cell>
          <cell r="BA142">
            <v>235829</v>
          </cell>
          <cell r="BB142">
            <v>290443</v>
          </cell>
          <cell r="BC142">
            <v>359831</v>
          </cell>
          <cell r="BD142">
            <v>251178</v>
          </cell>
          <cell r="BE142">
            <v>284358</v>
          </cell>
          <cell r="BF142">
            <v>284832</v>
          </cell>
          <cell r="BG142">
            <v>319549</v>
          </cell>
          <cell r="BH142">
            <v>394828</v>
          </cell>
          <cell r="BI142">
            <v>276652</v>
          </cell>
          <cell r="BJ142">
            <v>308121</v>
          </cell>
          <cell r="BK142">
            <v>347034</v>
          </cell>
          <cell r="BL142">
            <v>338998</v>
          </cell>
          <cell r="BM142">
            <v>323254</v>
          </cell>
          <cell r="BN142">
            <v>416977</v>
          </cell>
          <cell r="BO142">
            <v>442307</v>
          </cell>
          <cell r="BP142">
            <v>348227</v>
          </cell>
          <cell r="BQ142">
            <v>391899</v>
          </cell>
          <cell r="BR142">
            <v>368565</v>
          </cell>
          <cell r="BS142">
            <v>410415</v>
          </cell>
          <cell r="BT142">
            <v>363799</v>
          </cell>
          <cell r="BU142">
            <v>437198</v>
          </cell>
          <cell r="BV142">
            <v>398386</v>
          </cell>
          <cell r="BW142">
            <v>378843</v>
          </cell>
          <cell r="BX142">
            <v>396930</v>
          </cell>
          <cell r="BY142">
            <v>349095</v>
          </cell>
          <cell r="BZ142">
            <v>436595</v>
          </cell>
          <cell r="CA142">
            <v>462653</v>
          </cell>
          <cell r="CB142">
            <v>386811</v>
          </cell>
          <cell r="CC142">
            <v>433773</v>
          </cell>
          <cell r="CD142">
            <v>399522</v>
          </cell>
          <cell r="CE142">
            <v>449371</v>
          </cell>
          <cell r="CF142">
            <v>470343</v>
          </cell>
          <cell r="CG142">
            <v>494722</v>
          </cell>
          <cell r="CH142">
            <v>462227</v>
          </cell>
          <cell r="CI142">
            <v>507945</v>
          </cell>
          <cell r="CJ142">
            <v>474436</v>
          </cell>
          <cell r="CK142">
            <v>425670</v>
          </cell>
          <cell r="CL142">
            <v>494277</v>
          </cell>
          <cell r="CM142">
            <v>528217</v>
          </cell>
          <cell r="CN142">
            <v>484931</v>
          </cell>
          <cell r="CO142">
            <v>553190</v>
          </cell>
          <cell r="CP142">
            <v>502851</v>
          </cell>
          <cell r="CQ142">
            <v>603000</v>
          </cell>
          <cell r="CR142">
            <v>553846</v>
          </cell>
          <cell r="CS142">
            <v>595477</v>
          </cell>
        </row>
        <row r="144">
          <cell r="B144" t="str">
            <v>From Mainland China</v>
          </cell>
          <cell r="CJ144">
            <v>200543</v>
          </cell>
          <cell r="CK144">
            <v>196699</v>
          </cell>
          <cell r="CL144">
            <v>216010</v>
          </cell>
          <cell r="CM144">
            <v>220256</v>
          </cell>
          <cell r="CN144">
            <v>193469</v>
          </cell>
          <cell r="CO144">
            <v>217507</v>
          </cell>
          <cell r="CP144">
            <v>251866</v>
          </cell>
          <cell r="CQ144">
            <v>252643</v>
          </cell>
          <cell r="CR144">
            <v>230238</v>
          </cell>
          <cell r="CS144">
            <v>228127</v>
          </cell>
        </row>
        <row r="145">
          <cell r="B145" t="str">
            <v>Share of Mainland China</v>
          </cell>
          <cell r="CJ145">
            <v>0.20448756513138441</v>
          </cell>
          <cell r="CK145">
            <v>0.22430768739537196</v>
          </cell>
          <cell r="CL145">
            <v>0.22729807710519837</v>
          </cell>
          <cell r="CM145">
            <v>0.21615871162121977</v>
          </cell>
          <cell r="CN145">
            <v>0.21089228817189767</v>
          </cell>
          <cell r="CO145">
            <v>0.204867302064525</v>
          </cell>
          <cell r="CP145">
            <v>0.23556182391925284</v>
          </cell>
          <cell r="CQ145">
            <v>0.2211172133120364</v>
          </cell>
          <cell r="CR145">
            <v>0.1992074547704128</v>
          </cell>
          <cell r="CS145">
            <v>0.18423577449819661</v>
          </cell>
        </row>
        <row r="147">
          <cell r="B147" t="str">
            <v>Same Day Visitors</v>
          </cell>
          <cell r="L147">
            <v>268066</v>
          </cell>
          <cell r="M147">
            <v>308365</v>
          </cell>
          <cell r="N147">
            <v>307526</v>
          </cell>
          <cell r="O147">
            <v>346122</v>
          </cell>
          <cell r="P147">
            <v>315454</v>
          </cell>
          <cell r="Q147">
            <v>294280</v>
          </cell>
          <cell r="R147">
            <v>381523</v>
          </cell>
          <cell r="S147">
            <v>383938</v>
          </cell>
          <cell r="T147">
            <v>333231</v>
          </cell>
          <cell r="U147">
            <v>353225</v>
          </cell>
          <cell r="V147">
            <v>324609</v>
          </cell>
          <cell r="W147">
            <v>349155</v>
          </cell>
          <cell r="X147">
            <v>362740</v>
          </cell>
          <cell r="Y147">
            <v>316637</v>
          </cell>
          <cell r="Z147">
            <v>383477</v>
          </cell>
          <cell r="AA147">
            <v>414472</v>
          </cell>
          <cell r="AB147">
            <v>369438</v>
          </cell>
          <cell r="AC147">
            <v>355803</v>
          </cell>
          <cell r="AD147">
            <v>375651</v>
          </cell>
          <cell r="AE147">
            <v>437004</v>
          </cell>
          <cell r="AF147">
            <v>333907</v>
          </cell>
          <cell r="AG147">
            <v>369034</v>
          </cell>
          <cell r="AH147">
            <v>342848</v>
          </cell>
          <cell r="AI147">
            <v>376127</v>
          </cell>
          <cell r="AJ147">
            <v>328316</v>
          </cell>
          <cell r="AK147">
            <v>378592</v>
          </cell>
          <cell r="AL147">
            <v>422241</v>
          </cell>
          <cell r="AM147">
            <v>419888</v>
          </cell>
          <cell r="AN147">
            <v>387954</v>
          </cell>
          <cell r="AO147">
            <v>363378</v>
          </cell>
          <cell r="AP147">
            <v>419466</v>
          </cell>
          <cell r="AQ147">
            <v>474782</v>
          </cell>
          <cell r="AR147">
            <v>409809</v>
          </cell>
          <cell r="AS147">
            <v>465588</v>
          </cell>
          <cell r="AT147">
            <v>441137</v>
          </cell>
          <cell r="AU147">
            <v>454531</v>
          </cell>
          <cell r="AV147">
            <v>435960</v>
          </cell>
          <cell r="AW147">
            <v>496799</v>
          </cell>
          <cell r="AX147">
            <v>452008</v>
          </cell>
          <cell r="AY147">
            <v>304491</v>
          </cell>
          <cell r="AZ147">
            <v>280254</v>
          </cell>
          <cell r="BA147">
            <v>390943</v>
          </cell>
          <cell r="BB147">
            <v>491523</v>
          </cell>
          <cell r="BC147">
            <v>563053</v>
          </cell>
          <cell r="BD147">
            <v>484202</v>
          </cell>
          <cell r="BE147">
            <v>549899</v>
          </cell>
          <cell r="BF147">
            <v>555293</v>
          </cell>
          <cell r="BG147">
            <v>574936</v>
          </cell>
          <cell r="BH147">
            <v>646883</v>
          </cell>
          <cell r="BI147">
            <v>569284</v>
          </cell>
          <cell r="BJ147">
            <v>646848</v>
          </cell>
          <cell r="BK147">
            <v>675623</v>
          </cell>
          <cell r="BL147">
            <v>673854</v>
          </cell>
          <cell r="BM147">
            <v>659319</v>
          </cell>
          <cell r="BN147">
            <v>731066</v>
          </cell>
          <cell r="BO147">
            <v>798774</v>
          </cell>
          <cell r="BP147">
            <v>667867</v>
          </cell>
          <cell r="BQ147">
            <v>785369</v>
          </cell>
          <cell r="BR147">
            <v>734099</v>
          </cell>
          <cell r="BS147">
            <v>760139</v>
          </cell>
          <cell r="BT147">
            <v>734866</v>
          </cell>
          <cell r="BU147">
            <v>797143</v>
          </cell>
          <cell r="BV147">
            <v>815921</v>
          </cell>
          <cell r="BW147">
            <v>784030</v>
          </cell>
          <cell r="BX147">
            <v>813420</v>
          </cell>
          <cell r="BY147">
            <v>748765</v>
          </cell>
          <cell r="BZ147">
            <v>849650</v>
          </cell>
          <cell r="CA147">
            <v>884623</v>
          </cell>
          <cell r="CB147">
            <v>740795</v>
          </cell>
          <cell r="CC147">
            <v>878158</v>
          </cell>
          <cell r="CD147">
            <v>818127</v>
          </cell>
          <cell r="CE147">
            <v>831625</v>
          </cell>
          <cell r="CF147">
            <v>863719</v>
          </cell>
          <cell r="CG147">
            <v>939089</v>
          </cell>
          <cell r="CH147">
            <v>951060</v>
          </cell>
          <cell r="CI147">
            <v>960145</v>
          </cell>
          <cell r="CJ147">
            <v>889703</v>
          </cell>
          <cell r="CK147">
            <v>824353</v>
          </cell>
          <cell r="CL147">
            <v>908741</v>
          </cell>
          <cell r="CM147">
            <v>974257</v>
          </cell>
          <cell r="CN147">
            <v>898798</v>
          </cell>
          <cell r="CO147">
            <v>1024190</v>
          </cell>
          <cell r="CP147">
            <v>1003355</v>
          </cell>
          <cell r="CQ147">
            <v>1078049</v>
          </cell>
          <cell r="CR147">
            <v>1055253</v>
          </cell>
          <cell r="CS147">
            <v>1147826</v>
          </cell>
          <cell r="CW147">
            <v>0.22175499207496885</v>
          </cell>
        </row>
        <row r="148">
          <cell r="B148" t="str">
            <v>% of Total</v>
          </cell>
          <cell r="L148">
            <v>0.4175144692330216</v>
          </cell>
          <cell r="M148">
            <v>0.37919759371572198</v>
          </cell>
          <cell r="N148">
            <v>0.42681652327306591</v>
          </cell>
          <cell r="O148">
            <v>0.43095078309525264</v>
          </cell>
          <cell r="P148">
            <v>0.42765769380937918</v>
          </cell>
          <cell r="Q148">
            <v>0.45335781806529535</v>
          </cell>
          <cell r="R148">
            <v>0.44978667367733555</v>
          </cell>
          <cell r="S148">
            <v>0.42613660327601016</v>
          </cell>
          <cell r="T148">
            <v>0.45933182534332961</v>
          </cell>
          <cell r="U148">
            <v>0.4522403003113733</v>
          </cell>
          <cell r="V148">
            <v>0.44382659248797146</v>
          </cell>
          <cell r="W148">
            <v>0.43136176915711771</v>
          </cell>
          <cell r="X148">
            <v>0.40956933909324322</v>
          </cell>
          <cell r="Y148">
            <v>0.44566317374751052</v>
          </cell>
          <cell r="Z148">
            <v>0.44749835168361662</v>
          </cell>
          <cell r="AA148">
            <v>0.44450926936829305</v>
          </cell>
          <cell r="AB148">
            <v>0.44917784835059016</v>
          </cell>
          <cell r="AC148">
            <v>0.44380068802247175</v>
          </cell>
          <cell r="AD148">
            <v>0.44157143293750895</v>
          </cell>
          <cell r="AE148">
            <v>0.41401420519947818</v>
          </cell>
          <cell r="AF148">
            <v>0.42649310970695337</v>
          </cell>
          <cell r="AG148">
            <v>0.43063454981247534</v>
          </cell>
          <cell r="AH148">
            <v>0.41721742283836061</v>
          </cell>
          <cell r="AI148">
            <v>0.41726424764702491</v>
          </cell>
          <cell r="AJ148">
            <v>0.4219430539580134</v>
          </cell>
          <cell r="AK148">
            <v>0.4049645033517778</v>
          </cell>
          <cell r="AL148">
            <v>0.43984857844367892</v>
          </cell>
          <cell r="AM148">
            <v>0.42079017413334191</v>
          </cell>
          <cell r="AN148">
            <v>0.41125051942435059</v>
          </cell>
          <cell r="AO148">
            <v>0.42122480206799817</v>
          </cell>
          <cell r="AP148">
            <v>0.41281594789535375</v>
          </cell>
          <cell r="AQ148">
            <v>0.42669017685666244</v>
          </cell>
          <cell r="AR148">
            <v>0.46332382888372842</v>
          </cell>
          <cell r="AS148">
            <v>0.47945676642562773</v>
          </cell>
          <cell r="AT148">
            <v>0.43973117941939621</v>
          </cell>
          <cell r="AU148">
            <v>0.42621937782778913</v>
          </cell>
          <cell r="AV148">
            <v>0.44160682649033189</v>
          </cell>
          <cell r="AW148">
            <v>0.47430825133805221</v>
          </cell>
          <cell r="AX148">
            <v>0.47037325330192015</v>
          </cell>
          <cell r="AY148">
            <v>0.46088492521183172</v>
          </cell>
          <cell r="AZ148">
            <v>0.46972988193648302</v>
          </cell>
          <cell r="BA148">
            <v>0.4792266042641451</v>
          </cell>
          <cell r="BB148">
            <v>0.46954455831441871</v>
          </cell>
          <cell r="BC148">
            <v>0.4421681950005929</v>
          </cell>
          <cell r="BD148">
            <v>0.48369508754824941</v>
          </cell>
          <cell r="BE148">
            <v>0.49312060089262255</v>
          </cell>
          <cell r="BF148">
            <v>0.47885525160698361</v>
          </cell>
          <cell r="BG148">
            <v>0.47002539237182411</v>
          </cell>
          <cell r="BH148">
            <v>0.48495941572437329</v>
          </cell>
          <cell r="BI148">
            <v>0.51260570032118669</v>
          </cell>
          <cell r="BJ148">
            <v>0.49491540466737621</v>
          </cell>
          <cell r="BK148">
            <v>0.49851836766617819</v>
          </cell>
          <cell r="BL148">
            <v>0.50764495122840536</v>
          </cell>
          <cell r="BM148">
            <v>0.50687018792787319</v>
          </cell>
          <cell r="BN148">
            <v>0.4797105985473496</v>
          </cell>
          <cell r="BO148">
            <v>0.49368198749932785</v>
          </cell>
          <cell r="BP148">
            <v>0.50855618190138896</v>
          </cell>
          <cell r="BQ148">
            <v>0.52031763551549848</v>
          </cell>
          <cell r="BR148">
            <v>0.50466095344683692</v>
          </cell>
          <cell r="BS148">
            <v>0.50061775471844738</v>
          </cell>
          <cell r="BT148">
            <v>0.52436531308176815</v>
          </cell>
          <cell r="BU148">
            <v>0.52354409263163426</v>
          </cell>
          <cell r="BV148">
            <v>0.5322405255601298</v>
          </cell>
          <cell r="BW148">
            <v>0.52489402098960158</v>
          </cell>
          <cell r="BX148">
            <v>0.52835468394981855</v>
          </cell>
          <cell r="BY148">
            <v>0.52248835545941419</v>
          </cell>
          <cell r="BZ148">
            <v>0.51007850039982616</v>
          </cell>
          <cell r="CA148">
            <v>0.51072783463610005</v>
          </cell>
          <cell r="CB148">
            <v>0.50972425300603785</v>
          </cell>
          <cell r="CC148">
            <v>0.52785877569617634</v>
          </cell>
          <cell r="CD148">
            <v>0.50954945505979421</v>
          </cell>
          <cell r="CE148">
            <v>0.49871965553636538</v>
          </cell>
          <cell r="CF148">
            <v>0.51987639288235832</v>
          </cell>
          <cell r="CG148">
            <v>0.52938454027958326</v>
          </cell>
          <cell r="CH148">
            <v>0.52466515400516023</v>
          </cell>
          <cell r="CI148">
            <v>0.51336032345370886</v>
          </cell>
          <cell r="CJ148">
            <v>0.52116123023392724</v>
          </cell>
          <cell r="CK148">
            <v>0.51619074097381767</v>
          </cell>
          <cell r="CL148">
            <v>0.50422638837718226</v>
          </cell>
          <cell r="CM148">
            <v>0.50683342324565628</v>
          </cell>
          <cell r="CN148">
            <v>0.51394452154391834</v>
          </cell>
          <cell r="CO148">
            <v>0.51471282945058572</v>
          </cell>
          <cell r="CP148">
            <v>0.51465108179544039</v>
          </cell>
          <cell r="CQ148">
            <v>0.49842365657119531</v>
          </cell>
          <cell r="CR148">
            <v>0.51759346821217522</v>
          </cell>
          <cell r="CS148">
            <v>0.52907666275330278</v>
          </cell>
        </row>
        <row r="149">
          <cell r="B149" t="str">
            <v>From Mainland China</v>
          </cell>
          <cell r="L149">
            <v>12458</v>
          </cell>
          <cell r="M149">
            <v>13840</v>
          </cell>
          <cell r="N149">
            <v>29757</v>
          </cell>
          <cell r="O149">
            <v>23029</v>
          </cell>
          <cell r="P149">
            <v>32113</v>
          </cell>
          <cell r="Q149">
            <v>22636</v>
          </cell>
          <cell r="R149">
            <v>28651</v>
          </cell>
          <cell r="S149">
            <v>21599</v>
          </cell>
          <cell r="T149">
            <v>19949</v>
          </cell>
          <cell r="U149">
            <v>14371</v>
          </cell>
          <cell r="V149">
            <v>14494</v>
          </cell>
          <cell r="W149">
            <v>17652</v>
          </cell>
          <cell r="X149">
            <v>16751</v>
          </cell>
          <cell r="Y149">
            <v>14063</v>
          </cell>
          <cell r="Z149">
            <v>23849</v>
          </cell>
          <cell r="AA149">
            <v>20003</v>
          </cell>
          <cell r="AB149">
            <v>20927</v>
          </cell>
          <cell r="AC149">
            <v>18472</v>
          </cell>
          <cell r="AD149">
            <v>21789</v>
          </cell>
          <cell r="AE149">
            <v>37245</v>
          </cell>
          <cell r="AF149">
            <v>21159</v>
          </cell>
          <cell r="AG149">
            <v>23356</v>
          </cell>
          <cell r="AH149">
            <v>24141</v>
          </cell>
          <cell r="AI149">
            <v>29848</v>
          </cell>
          <cell r="AJ149">
            <v>28133</v>
          </cell>
          <cell r="AK149">
            <v>28926</v>
          </cell>
          <cell r="AL149">
            <v>37708</v>
          </cell>
          <cell r="AM149">
            <v>26757</v>
          </cell>
          <cell r="AN149">
            <v>28145</v>
          </cell>
          <cell r="AO149">
            <v>20203</v>
          </cell>
          <cell r="AP149">
            <v>33291</v>
          </cell>
          <cell r="AQ149">
            <v>75762</v>
          </cell>
          <cell r="AR149">
            <v>83226</v>
          </cell>
          <cell r="AS149">
            <v>104790</v>
          </cell>
          <cell r="AT149">
            <v>107722</v>
          </cell>
          <cell r="AU149">
            <v>115015</v>
          </cell>
          <cell r="AV149">
            <v>135917</v>
          </cell>
          <cell r="AW149">
            <v>136869</v>
          </cell>
          <cell r="AX149">
            <v>150318</v>
          </cell>
          <cell r="AY149">
            <v>110578</v>
          </cell>
          <cell r="AZ149">
            <v>114674</v>
          </cell>
          <cell r="BA149">
            <v>165006</v>
          </cell>
          <cell r="BB149">
            <v>171319</v>
          </cell>
          <cell r="BC149">
            <v>205277</v>
          </cell>
          <cell r="BD149">
            <v>191420</v>
          </cell>
          <cell r="BE149">
            <v>244046</v>
          </cell>
          <cell r="BF149">
            <v>270224</v>
          </cell>
          <cell r="BG149">
            <v>277719</v>
          </cell>
          <cell r="BH149">
            <v>335315</v>
          </cell>
          <cell r="BI149">
            <v>318631</v>
          </cell>
          <cell r="BJ149">
            <v>360754</v>
          </cell>
          <cell r="BK149">
            <v>328872</v>
          </cell>
          <cell r="BL149">
            <v>387621</v>
          </cell>
          <cell r="BM149">
            <v>346745</v>
          </cell>
          <cell r="BN149">
            <v>382349</v>
          </cell>
          <cell r="BO149">
            <v>405899</v>
          </cell>
          <cell r="BP149">
            <v>325016</v>
          </cell>
          <cell r="BQ149">
            <v>401738</v>
          </cell>
          <cell r="BR149">
            <v>363750</v>
          </cell>
          <cell r="BS149">
            <v>360442</v>
          </cell>
          <cell r="BT149">
            <v>387336</v>
          </cell>
          <cell r="BU149">
            <v>400525</v>
          </cell>
          <cell r="BV149">
            <v>393414</v>
          </cell>
          <cell r="BW149">
            <v>374821</v>
          </cell>
          <cell r="BX149">
            <v>410488</v>
          </cell>
          <cell r="BY149">
            <v>372914</v>
          </cell>
          <cell r="BZ149">
            <v>417058</v>
          </cell>
          <cell r="CA149">
            <v>437544</v>
          </cell>
          <cell r="CB149">
            <v>359298</v>
          </cell>
          <cell r="CC149">
            <v>460891</v>
          </cell>
          <cell r="CD149">
            <v>420513</v>
          </cell>
          <cell r="CE149">
            <v>412437</v>
          </cell>
          <cell r="CF149">
            <v>457232</v>
          </cell>
          <cell r="CG149">
            <v>489712</v>
          </cell>
          <cell r="CH149">
            <v>490644</v>
          </cell>
          <cell r="CI149">
            <v>452255</v>
          </cell>
          <cell r="CJ149">
            <v>464753</v>
          </cell>
          <cell r="CK149">
            <v>408185</v>
          </cell>
          <cell r="CL149">
            <v>431787</v>
          </cell>
          <cell r="CM149">
            <v>472919</v>
          </cell>
          <cell r="CN149">
            <v>426228</v>
          </cell>
          <cell r="CO149">
            <v>498328</v>
          </cell>
          <cell r="CP149">
            <v>495241</v>
          </cell>
          <cell r="CQ149">
            <v>527336</v>
          </cell>
          <cell r="CR149">
            <v>554309</v>
          </cell>
          <cell r="CS149">
            <v>642115</v>
          </cell>
        </row>
        <row r="150">
          <cell r="B150" t="str">
            <v>Share of Mainland China</v>
          </cell>
          <cell r="L150">
            <v>6.8567717363186551E-2</v>
          </cell>
          <cell r="M150">
            <v>7.1979487926273039E-2</v>
          </cell>
          <cell r="N150">
            <v>0.14552309971978111</v>
          </cell>
          <cell r="O150">
            <v>0.13106105445274085</v>
          </cell>
          <cell r="P150">
            <v>0.14562926280655927</v>
          </cell>
          <cell r="Q150">
            <v>0.14822284501951336</v>
          </cell>
          <cell r="R150">
            <v>0.15230738970725044</v>
          </cell>
          <cell r="S150">
            <v>0.11007766950707383</v>
          </cell>
          <cell r="T150">
            <v>0.12021018252375701</v>
          </cell>
          <cell r="U150">
            <v>7.3229144904125923E-2</v>
          </cell>
          <cell r="V150">
            <v>7.4118014042228966E-2</v>
          </cell>
          <cell r="W150">
            <v>8.6004950205608929E-2</v>
          </cell>
          <cell r="X150">
            <v>7.2732088350100518E-2</v>
          </cell>
          <cell r="Y150">
            <v>7.3525874959480514E-2</v>
          </cell>
          <cell r="Z150">
            <v>0.10304169367033916</v>
          </cell>
          <cell r="AA150">
            <v>8.3941468000016783E-2</v>
          </cell>
          <cell r="AB150">
            <v>8.3237210338326428E-2</v>
          </cell>
          <cell r="AC150">
            <v>8.505543890669319E-2</v>
          </cell>
          <cell r="AD150">
            <v>9.8321375389197233E-2</v>
          </cell>
          <cell r="AE150">
            <v>0.11452036430051718</v>
          </cell>
          <cell r="AF150">
            <v>8.6724677123850819E-2</v>
          </cell>
          <cell r="AG150">
            <v>8.2563002188152865E-2</v>
          </cell>
          <cell r="AH150">
            <v>8.4625388668239446E-2</v>
          </cell>
          <cell r="AI150">
            <v>0.10405909976746375</v>
          </cell>
          <cell r="AJ150">
            <v>0.10402023242142004</v>
          </cell>
          <cell r="AK150">
            <v>9.6572584683800408E-2</v>
          </cell>
          <cell r="AL150">
            <v>0.12428682081115378</v>
          </cell>
          <cell r="AM150">
            <v>7.5153568088172099E-2</v>
          </cell>
          <cell r="AN150">
            <v>7.8848357337561736E-2</v>
          </cell>
          <cell r="AO150">
            <v>7.1100271689401293E-2</v>
          </cell>
          <cell r="AP150">
            <v>9.5404719941538069E-2</v>
          </cell>
          <cell r="AQ150">
            <v>0.19544876441770653</v>
          </cell>
          <cell r="AR150">
            <v>0.2464414839907495</v>
          </cell>
          <cell r="AS150">
            <v>0.27457094196253112</v>
          </cell>
          <cell r="AT150">
            <v>0.24205124056822114</v>
          </cell>
          <cell r="AU150">
            <v>0.24525388996573291</v>
          </cell>
          <cell r="AV150">
            <v>0.29071911362080766</v>
          </cell>
          <cell r="AW150">
            <v>0.32896773511258098</v>
          </cell>
          <cell r="AX150">
            <v>0.33057993006531633</v>
          </cell>
          <cell r="AY150">
            <v>0.37035374814953748</v>
          </cell>
          <cell r="AZ150">
            <v>0.42387547729146108</v>
          </cell>
          <cell r="BA150">
            <v>0.44857236840316761</v>
          </cell>
          <cell r="BB150">
            <v>0.38143870828407239</v>
          </cell>
          <cell r="BC150">
            <v>0.34988409749446053</v>
          </cell>
          <cell r="BD150">
            <v>0.38393806285977899</v>
          </cell>
          <cell r="BE150">
            <v>0.41274533846348993</v>
          </cell>
          <cell r="BF150">
            <v>0.40897980557779534</v>
          </cell>
          <cell r="BG150">
            <v>0.40818159237250895</v>
          </cell>
          <cell r="BH150">
            <v>0.45438222771485642</v>
          </cell>
          <cell r="BI150">
            <v>0.48293961265524255</v>
          </cell>
          <cell r="BJ150">
            <v>0.45561885805435537</v>
          </cell>
          <cell r="BK150">
            <v>0.45043060942738805</v>
          </cell>
          <cell r="BL150">
            <v>0.47703618559098948</v>
          </cell>
          <cell r="BM150">
            <v>0.47257911299676036</v>
          </cell>
          <cell r="BN150">
            <v>0.44284776120094466</v>
          </cell>
          <cell r="BO150">
            <v>0.45369535159520302</v>
          </cell>
          <cell r="BP150">
            <v>0.44188541183732349</v>
          </cell>
          <cell r="BQ150">
            <v>0.45821689847184233</v>
          </cell>
          <cell r="BR150">
            <v>0.42580164842304141</v>
          </cell>
          <cell r="BS150">
            <v>0.42949234296281819</v>
          </cell>
          <cell r="BT150">
            <v>0.46926440282477455</v>
          </cell>
          <cell r="BU150">
            <v>0.48120532909146174</v>
          </cell>
          <cell r="BV150">
            <v>0.47555867694468656</v>
          </cell>
          <cell r="BW150">
            <v>0.45122623610763335</v>
          </cell>
          <cell r="BX150">
            <v>0.47080304947074686</v>
          </cell>
          <cell r="BY150">
            <v>0.46439752629494674</v>
          </cell>
          <cell r="BZ150">
            <v>0.45665801290509078</v>
          </cell>
          <cell r="CA150">
            <v>0.46541837169945188</v>
          </cell>
          <cell r="CB150">
            <v>0.45073896260464091</v>
          </cell>
          <cell r="CC150">
            <v>0.47874731744610483</v>
          </cell>
          <cell r="CD150">
            <v>0.45016443072285289</v>
          </cell>
          <cell r="CE150">
            <v>0.44586482340515465</v>
          </cell>
          <cell r="CF150">
            <v>0.49285188422887338</v>
          </cell>
          <cell r="CG150">
            <v>0.48665821967156098</v>
          </cell>
          <cell r="CH150">
            <v>0.47007312976821319</v>
          </cell>
          <cell r="CI150">
            <v>0.45679277947126756</v>
          </cell>
          <cell r="CJ150">
            <v>0.47389442342792465</v>
          </cell>
          <cell r="CK150">
            <v>0.46547787929516626</v>
          </cell>
          <cell r="CL150">
            <v>0.45435097828351595</v>
          </cell>
          <cell r="CM150">
            <v>0.46412157553572042</v>
          </cell>
          <cell r="CN150">
            <v>0.46461292611700894</v>
          </cell>
          <cell r="CO150">
            <v>0.46936932100213147</v>
          </cell>
          <cell r="CP150">
            <v>0.46318230026916968</v>
          </cell>
          <cell r="CQ150">
            <v>0.46153294094479574</v>
          </cell>
          <cell r="CR150">
            <v>0.47960147780267698</v>
          </cell>
          <cell r="CS150">
            <v>0.51857322606227907</v>
          </cell>
        </row>
        <row r="151">
          <cell r="B151" t="str">
            <v xml:space="preserve">   % Change</v>
          </cell>
          <cell r="X151">
            <v>0.34459784877187349</v>
          </cell>
          <cell r="Y151">
            <v>1.6112716763005741E-2</v>
          </cell>
          <cell r="Z151">
            <v>-0.19854151964243705</v>
          </cell>
          <cell r="AA151">
            <v>-0.13139953971079943</v>
          </cell>
          <cell r="AB151">
            <v>-0.34833245103229227</v>
          </cell>
          <cell r="AC151">
            <v>-0.18395476232549923</v>
          </cell>
          <cell r="AD151">
            <v>-0.2395029841890336</v>
          </cell>
          <cell r="AE151">
            <v>0.72438538821241716</v>
          </cell>
          <cell r="AF151">
            <v>6.0654669406987827E-2</v>
          </cell>
          <cell r="AG151">
            <v>0.62521745181267829</v>
          </cell>
          <cell r="AH151">
            <v>0.66558575962467237</v>
          </cell>
          <cell r="AI151">
            <v>0.69091321096759573</v>
          </cell>
          <cell r="AJ151">
            <v>0.67948182198077722</v>
          </cell>
          <cell r="AK151">
            <v>1.0568868662447559</v>
          </cell>
          <cell r="AL151">
            <v>0.58111451213887366</v>
          </cell>
          <cell r="AM151">
            <v>0.33764935259711049</v>
          </cell>
          <cell r="AN151">
            <v>0.34491326993835725</v>
          </cell>
          <cell r="AO151">
            <v>9.3709398007795652E-2</v>
          </cell>
          <cell r="AP151">
            <v>0.52788104089219323</v>
          </cell>
          <cell r="AQ151">
            <v>1.0341522351993557</v>
          </cell>
          <cell r="AR151">
            <v>2.9333616900609671</v>
          </cell>
          <cell r="AS151">
            <v>3.4866415482103097</v>
          </cell>
          <cell r="AT151">
            <v>3.4622012344144819</v>
          </cell>
          <cell r="AU151">
            <v>2.8533570088448137</v>
          </cell>
          <cell r="AV151">
            <v>3.8312302278463015</v>
          </cell>
          <cell r="AW151">
            <v>3.7316946691557771</v>
          </cell>
          <cell r="AX151">
            <v>2.986368940277925</v>
          </cell>
          <cell r="AY151">
            <v>3.132675561535299</v>
          </cell>
          <cell r="AZ151">
            <v>3.074400426363475</v>
          </cell>
          <cell r="BA151">
            <v>7.1674008810572687</v>
          </cell>
          <cell r="BB151">
            <v>4.1461055540536478</v>
          </cell>
          <cell r="BC151">
            <v>1.7094981653071462</v>
          </cell>
          <cell r="BD151">
            <v>1.3000024030951867</v>
          </cell>
          <cell r="BE151">
            <v>1.3289054299074339</v>
          </cell>
          <cell r="BF151">
            <v>1.5085312192495497</v>
          </cell>
          <cell r="BG151">
            <v>1.4146328739729599</v>
          </cell>
          <cell r="BH151">
            <v>1.4670571010248903</v>
          </cell>
          <cell r="BI151">
            <v>1.3279997661997971</v>
          </cell>
          <cell r="BJ151">
            <v>1.3999387964182599</v>
          </cell>
          <cell r="BK151">
            <v>1.9741178172873446</v>
          </cell>
          <cell r="BL151">
            <v>2.380199522123585</v>
          </cell>
          <cell r="BM151">
            <v>1.1014084336327166</v>
          </cell>
          <cell r="BN151">
            <v>1.2317956560568297</v>
          </cell>
          <cell r="BO151">
            <v>0.97732332409378553</v>
          </cell>
          <cell r="BP151">
            <v>0.69792080242398913</v>
          </cell>
          <cell r="BQ151">
            <v>0.64615687206510253</v>
          </cell>
          <cell r="BR151">
            <v>0.34610545325359698</v>
          </cell>
          <cell r="BS151">
            <v>0.29786582840929143</v>
          </cell>
          <cell r="BT151">
            <v>0.15514068860623587</v>
          </cell>
          <cell r="BU151">
            <v>0.25701830644224821</v>
          </cell>
          <cell r="BV151">
            <v>9.0532606707063534E-2</v>
          </cell>
          <cell r="BW151">
            <v>0.13971697195261368</v>
          </cell>
          <cell r="BX151">
            <v>5.8993191803333733E-2</v>
          </cell>
          <cell r="BY151">
            <v>7.5470446581781925E-2</v>
          </cell>
          <cell r="BZ151">
            <v>9.0778320330378692E-2</v>
          </cell>
          <cell r="CA151">
            <v>7.7962744426569142E-2</v>
          </cell>
          <cell r="CB151">
            <v>0.1054778841657027</v>
          </cell>
          <cell r="CC151">
            <v>0.147242730336687</v>
          </cell>
          <cell r="CD151">
            <v>0.15604948453608247</v>
          </cell>
          <cell r="CE151">
            <v>0.14425344438217524</v>
          </cell>
          <cell r="CF151">
            <v>0.18045314662205425</v>
          </cell>
          <cell r="CG151">
            <v>0.22267523874914175</v>
          </cell>
          <cell r="CH151">
            <v>0.24714422974271377</v>
          </cell>
          <cell r="CI151">
            <v>0.20658927861565912</v>
          </cell>
          <cell r="CJ151">
            <v>0.13219631268149135</v>
          </cell>
          <cell r="CK151">
            <v>9.4582128855446479E-2</v>
          </cell>
          <cell r="CL151">
            <v>3.5316430808185029E-2</v>
          </cell>
          <cell r="CM151">
            <v>8.0849011756531919E-2</v>
          </cell>
          <cell r="CN151">
            <v>0.18627991249603393</v>
          </cell>
          <cell r="CO151">
            <v>8.1227448572439132E-2</v>
          </cell>
          <cell r="CP151">
            <v>0.17770675341784914</v>
          </cell>
          <cell r="CQ151">
            <v>0.27858557791856686</v>
          </cell>
          <cell r="CR151">
            <v>0.21231453616544771</v>
          </cell>
          <cell r="CS151">
            <v>0.31120944555167118</v>
          </cell>
        </row>
        <row r="153">
          <cell r="B153" t="str">
            <v>From Hong Kong</v>
          </cell>
          <cell r="L153">
            <v>174260</v>
          </cell>
          <cell r="M153">
            <v>208845</v>
          </cell>
          <cell r="N153">
            <v>189375</v>
          </cell>
          <cell r="O153">
            <v>225476</v>
          </cell>
          <cell r="P153">
            <v>182491</v>
          </cell>
          <cell r="Q153">
            <v>170014</v>
          </cell>
          <cell r="R153">
            <v>223265</v>
          </cell>
          <cell r="S153">
            <v>236295</v>
          </cell>
          <cell r="T153">
            <v>185803</v>
          </cell>
          <cell r="U153">
            <v>201934</v>
          </cell>
          <cell r="V153">
            <v>182975</v>
          </cell>
          <cell r="W153">
            <v>207721</v>
          </cell>
          <cell r="X153">
            <v>236151</v>
          </cell>
          <cell r="Y153">
            <v>191449</v>
          </cell>
          <cell r="Z153">
            <v>222613</v>
          </cell>
          <cell r="AA153">
            <v>247126</v>
          </cell>
          <cell r="AB153">
            <v>203203</v>
          </cell>
          <cell r="AC153">
            <v>196992</v>
          </cell>
          <cell r="AD153">
            <v>216894</v>
          </cell>
          <cell r="AE153">
            <v>254341</v>
          </cell>
          <cell r="AF153">
            <v>190057</v>
          </cell>
          <cell r="AG153">
            <v>213387</v>
          </cell>
          <cell r="AH153">
            <v>194269</v>
          </cell>
          <cell r="AI153">
            <v>213910</v>
          </cell>
          <cell r="AJ153">
            <v>189562</v>
          </cell>
          <cell r="AK153">
            <v>232425</v>
          </cell>
          <cell r="AL153">
            <v>233180</v>
          </cell>
          <cell r="AM153">
            <v>234671</v>
          </cell>
          <cell r="AN153">
            <v>208687</v>
          </cell>
          <cell r="AO153">
            <v>202244</v>
          </cell>
          <cell r="AP153">
            <v>232734</v>
          </cell>
          <cell r="AQ153">
            <v>245132</v>
          </cell>
          <cell r="AR153">
            <v>188974</v>
          </cell>
          <cell r="AS153">
            <v>207153</v>
          </cell>
          <cell r="AT153">
            <v>194190</v>
          </cell>
          <cell r="AU153">
            <v>208149</v>
          </cell>
          <cell r="AV153">
            <v>191298</v>
          </cell>
          <cell r="AW153">
            <v>239505</v>
          </cell>
          <cell r="AX153">
            <v>185773</v>
          </cell>
          <cell r="AY153">
            <v>143183</v>
          </cell>
          <cell r="AZ153">
            <v>144622</v>
          </cell>
          <cell r="BA153">
            <v>192376</v>
          </cell>
          <cell r="BB153">
            <v>219163</v>
          </cell>
          <cell r="BC153">
            <v>238489</v>
          </cell>
          <cell r="BD153">
            <v>175725</v>
          </cell>
          <cell r="BE153">
            <v>189433</v>
          </cell>
          <cell r="BF153">
            <v>172284</v>
          </cell>
          <cell r="BG153">
            <v>192793</v>
          </cell>
          <cell r="BH153">
            <v>213770</v>
          </cell>
          <cell r="BI153">
            <v>166701</v>
          </cell>
          <cell r="BJ153">
            <v>179238</v>
          </cell>
          <cell r="BK153">
            <v>223787</v>
          </cell>
          <cell r="BL153">
            <v>185600</v>
          </cell>
          <cell r="BM153">
            <v>193768</v>
          </cell>
          <cell r="BN153">
            <v>223231</v>
          </cell>
          <cell r="BO153">
            <v>254314</v>
          </cell>
          <cell r="BP153">
            <v>203376</v>
          </cell>
          <cell r="BQ153">
            <v>232046</v>
          </cell>
          <cell r="BR153">
            <v>215687</v>
          </cell>
          <cell r="BS153">
            <v>241655</v>
          </cell>
          <cell r="BT153">
            <v>208040</v>
          </cell>
          <cell r="BU153">
            <v>255163</v>
          </cell>
          <cell r="BV153">
            <v>263160</v>
          </cell>
          <cell r="BW153">
            <v>248339</v>
          </cell>
          <cell r="BX153">
            <v>241597</v>
          </cell>
          <cell r="BY153">
            <v>219260</v>
          </cell>
          <cell r="BZ153">
            <v>268152</v>
          </cell>
          <cell r="CA153">
            <v>281766</v>
          </cell>
          <cell r="CB153">
            <v>235201</v>
          </cell>
          <cell r="CC153">
            <v>255556</v>
          </cell>
          <cell r="CD153">
            <v>245787</v>
          </cell>
          <cell r="CE153">
            <v>271499</v>
          </cell>
          <cell r="CF153">
            <v>270568</v>
          </cell>
          <cell r="CG153">
            <v>296397</v>
          </cell>
          <cell r="CH153">
            <v>289521</v>
          </cell>
          <cell r="CI153">
            <v>335219</v>
          </cell>
          <cell r="CJ153">
            <v>262277</v>
          </cell>
          <cell r="CK153">
            <v>257661</v>
          </cell>
          <cell r="CL153">
            <v>301719</v>
          </cell>
          <cell r="CM153">
            <v>320618</v>
          </cell>
          <cell r="CN153">
            <v>305275</v>
          </cell>
          <cell r="CO153">
            <v>343401</v>
          </cell>
          <cell r="CP153">
            <v>324600</v>
          </cell>
          <cell r="CQ153">
            <v>361094</v>
          </cell>
          <cell r="CR153">
            <v>327693</v>
          </cell>
          <cell r="CS153">
            <v>346155</v>
          </cell>
        </row>
        <row r="154">
          <cell r="B154" t="str">
            <v>Share of Hong Kong</v>
          </cell>
          <cell r="L154">
            <v>0.51387000793245907</v>
          </cell>
          <cell r="M154">
            <v>0.43327310032633704</v>
          </cell>
          <cell r="N154">
            <v>0.5043759188630601</v>
          </cell>
          <cell r="O154">
            <v>0.48588624957170656</v>
          </cell>
          <cell r="P154">
            <v>0.51412577404396065</v>
          </cell>
          <cell r="Q154">
            <v>0.4976830371387338</v>
          </cell>
          <cell r="R154">
            <v>0.46405552079847523</v>
          </cell>
          <cell r="S154">
            <v>0.44657689581856841</v>
          </cell>
          <cell r="T154">
            <v>0.47713487445238228</v>
          </cell>
          <cell r="U154">
            <v>0.5011652176934398</v>
          </cell>
          <cell r="V154">
            <v>0.50774486080895087</v>
          </cell>
          <cell r="W154">
            <v>0.47811746183733222</v>
          </cell>
          <cell r="X154">
            <v>0.46746375018557923</v>
          </cell>
          <cell r="Y154">
            <v>0.51437683371127041</v>
          </cell>
          <cell r="Z154">
            <v>0.49949514894228092</v>
          </cell>
          <cell r="AA154">
            <v>0.49528218694885362</v>
          </cell>
          <cell r="AB154">
            <v>0.52957717847946872</v>
          </cell>
          <cell r="AC154">
            <v>0.49116368133402483</v>
          </cell>
          <cell r="AD154">
            <v>0.48314298888673557</v>
          </cell>
          <cell r="AE154">
            <v>0.47035032954352118</v>
          </cell>
          <cell r="AF154">
            <v>0.50015131618767417</v>
          </cell>
          <cell r="AG154">
            <v>0.52907879142512859</v>
          </cell>
          <cell r="AH154">
            <v>0.51597849702262377</v>
          </cell>
          <cell r="AI154">
            <v>0.48631935524206843</v>
          </cell>
          <cell r="AJ154">
            <v>0.52472893258815745</v>
          </cell>
          <cell r="AK154">
            <v>0.48229859870391006</v>
          </cell>
          <cell r="AL154">
            <v>0.50237528411845178</v>
          </cell>
          <cell r="AM154">
            <v>0.53284908539354414</v>
          </cell>
          <cell r="AN154">
            <v>0.52534236229986908</v>
          </cell>
          <cell r="AO154">
            <v>0.50254073247640041</v>
          </cell>
          <cell r="AP154">
            <v>0.49195692887853587</v>
          </cell>
          <cell r="AQ154">
            <v>0.46579928970605838</v>
          </cell>
          <cell r="AR154">
            <v>0.50777213210340633</v>
          </cell>
          <cell r="AS154">
            <v>0.52945641728177972</v>
          </cell>
          <cell r="AT154">
            <v>0.51975268989882772</v>
          </cell>
          <cell r="AU154">
            <v>0.49838738641669361</v>
          </cell>
          <cell r="AV154">
            <v>0.51704537776059978</v>
          </cell>
          <cell r="AW154">
            <v>0.50709494651795017</v>
          </cell>
          <cell r="AX154">
            <v>0.52229641396179205</v>
          </cell>
          <cell r="AY154">
            <v>0.484948552771512</v>
          </cell>
          <cell r="AZ154">
            <v>0.49682745258355637</v>
          </cell>
          <cell r="BA154">
            <v>0.48745359871279981</v>
          </cell>
          <cell r="BB154">
            <v>0.47333887671025776</v>
          </cell>
          <cell r="BC154">
            <v>0.45122479599346876</v>
          </cell>
          <cell r="BD154">
            <v>0.50324470766129037</v>
          </cell>
          <cell r="BE154">
            <v>0.51687039563437931</v>
          </cell>
          <cell r="BF154">
            <v>0.50389583040853569</v>
          </cell>
          <cell r="BG154">
            <v>0.48802671081342425</v>
          </cell>
          <cell r="BH154">
            <v>0.46703836893780831</v>
          </cell>
          <cell r="BI154">
            <v>0.50044881012779829</v>
          </cell>
          <cell r="BJ154">
            <v>0.48852402717929011</v>
          </cell>
          <cell r="BK154">
            <v>0.49220519858708228</v>
          </cell>
          <cell r="BL154">
            <v>0.49880271223974781</v>
          </cell>
          <cell r="BM154">
            <v>0.48357133231179278</v>
          </cell>
          <cell r="BN154">
            <v>0.46558254391343701</v>
          </cell>
          <cell r="BO154">
            <v>0.48121054782700839</v>
          </cell>
          <cell r="BP154">
            <v>0.52007139678919023</v>
          </cell>
          <cell r="BQ154">
            <v>0.54857469775270806</v>
          </cell>
          <cell r="BR154">
            <v>0.55746327292276199</v>
          </cell>
          <cell r="BS154">
            <v>0.5288133293652183</v>
          </cell>
          <cell r="BT154">
            <v>0.5518961149208792</v>
          </cell>
          <cell r="BU154">
            <v>0.515025088911226</v>
          </cell>
          <cell r="BV154">
            <v>0.54178581795947101</v>
          </cell>
          <cell r="BW154">
            <v>0.56485356600220171</v>
          </cell>
          <cell r="BX154">
            <v>0.54643512246315018</v>
          </cell>
          <cell r="BY154">
            <v>0.52982084777135019</v>
          </cell>
          <cell r="BZ154">
            <v>0.51505885245397831</v>
          </cell>
          <cell r="CA154">
            <v>0.50121850996687789</v>
          </cell>
          <cell r="CB154">
            <v>0.52554419959869325</v>
          </cell>
          <cell r="CC154">
            <v>0.54459477601921324</v>
          </cell>
          <cell r="CD154">
            <v>0.5521045325282693</v>
          </cell>
          <cell r="CE154">
            <v>0.52576958232633075</v>
          </cell>
          <cell r="CF154">
            <v>0.5114948721584196</v>
          </cell>
          <cell r="CG154">
            <v>0.54208716645024413</v>
          </cell>
          <cell r="CH154">
            <v>0.55658170199758927</v>
          </cell>
          <cell r="CI154">
            <v>0.53790559264946813</v>
          </cell>
          <cell r="CJ154">
            <v>0.53905235206103352</v>
          </cell>
          <cell r="CK154">
            <v>0.53038493207081105</v>
          </cell>
          <cell r="CL154">
            <v>0.51086082331965821</v>
          </cell>
          <cell r="CM154">
            <v>0.50429951759208136</v>
          </cell>
          <cell r="CN154">
            <v>0.52730809025600633</v>
          </cell>
          <cell r="CO154">
            <v>0.53532111378892133</v>
          </cell>
          <cell r="CP154">
            <v>0.5445532096932485</v>
          </cell>
          <cell r="CQ154">
            <v>0.51124083085448435</v>
          </cell>
          <cell r="CR154">
            <v>0.5422660486544002</v>
          </cell>
          <cell r="CS154">
            <v>0.50994612607118073</v>
          </cell>
        </row>
        <row r="155">
          <cell r="B155" t="str">
            <v xml:space="preserve">   % Change</v>
          </cell>
          <cell r="X155">
            <v>0.35516469643062099</v>
          </cell>
          <cell r="Y155">
            <v>-8.3296224472695024E-2</v>
          </cell>
          <cell r="Z155">
            <v>0.17551419141914182</v>
          </cell>
          <cell r="AA155">
            <v>9.6019088506093864E-2</v>
          </cell>
          <cell r="AB155">
            <v>0.11349600802231352</v>
          </cell>
          <cell r="AC155">
            <v>0.15868104979589925</v>
          </cell>
          <cell r="AD155">
            <v>-2.8535596712426892E-2</v>
          </cell>
          <cell r="AE155">
            <v>7.6370638396919155E-2</v>
          </cell>
          <cell r="AF155">
            <v>2.2895216977120825E-2</v>
          </cell>
          <cell r="AG155">
            <v>5.6716550952291334E-2</v>
          </cell>
          <cell r="AH155">
            <v>6.1724279273124738E-2</v>
          </cell>
          <cell r="AI155">
            <v>2.9794772796202684E-2</v>
          </cell>
          <cell r="AJ155">
            <v>-0.19728478812285355</v>
          </cell>
          <cell r="AK155">
            <v>0.21403089073330239</v>
          </cell>
          <cell r="AL155">
            <v>4.7468027473687613E-2</v>
          </cell>
          <cell r="AM155">
            <v>-5.0399391403575522E-2</v>
          </cell>
          <cell r="AN155">
            <v>2.6987790534588552E-2</v>
          </cell>
          <cell r="AO155">
            <v>2.6660981156595209E-2</v>
          </cell>
          <cell r="AP155">
            <v>7.3031065866275613E-2</v>
          </cell>
          <cell r="AQ155">
            <v>-3.6207296503512953E-2</v>
          </cell>
          <cell r="AR155">
            <v>-5.6982905128460937E-3</v>
          </cell>
          <cell r="AS155">
            <v>-2.9214525720873352E-2</v>
          </cell>
          <cell r="AT155">
            <v>-4.0665263114547656E-4</v>
          </cell>
          <cell r="AU155">
            <v>-2.6931887242298114E-2</v>
          </cell>
          <cell r="AV155">
            <v>9.1579535982950766E-3</v>
          </cell>
          <cell r="AW155">
            <v>3.0461439173927074E-2</v>
          </cell>
          <cell r="AX155">
            <v>-0.20330645852989104</v>
          </cell>
          <cell r="AY155">
            <v>-0.38985643731010644</v>
          </cell>
          <cell r="AZ155">
            <v>-0.30699085232908618</v>
          </cell>
          <cell r="BA155">
            <v>-4.8792547615751247E-2</v>
          </cell>
          <cell r="BB155">
            <v>-5.8311205066728489E-2</v>
          </cell>
          <cell r="BC155">
            <v>-2.7099685067637047E-2</v>
          </cell>
          <cell r="BD155">
            <v>-7.0110173886354765E-2</v>
          </cell>
          <cell r="BE155">
            <v>-8.5540639044570876E-2</v>
          </cell>
          <cell r="BF155">
            <v>-0.1128070446469952</v>
          </cell>
          <cell r="BG155">
            <v>-7.3774075301827002E-2</v>
          </cell>
          <cell r="BH155">
            <v>0.11747117063429835</v>
          </cell>
          <cell r="BI155">
            <v>-0.30397695246445799</v>
          </cell>
          <cell r="BJ155">
            <v>-3.5177340087095499E-2</v>
          </cell>
          <cell r="BK155">
            <v>0.56294392490728651</v>
          </cell>
          <cell r="BL155">
            <v>0.28334554908658438</v>
          </cell>
          <cell r="BM155">
            <v>7.2358298332433346E-3</v>
          </cell>
          <cell r="BN155">
            <v>1.8561527265094968E-2</v>
          </cell>
          <cell r="BO155">
            <v>6.6355261668253007E-2</v>
          </cell>
          <cell r="BP155">
            <v>0.15735381988903119</v>
          </cell>
          <cell r="BQ155">
            <v>0.22495024626121118</v>
          </cell>
          <cell r="BR155">
            <v>0.25192705068375476</v>
          </cell>
          <cell r="BS155">
            <v>0.25344281172034244</v>
          </cell>
          <cell r="BT155">
            <v>-2.6804509519577135E-2</v>
          </cell>
          <cell r="BU155">
            <v>0.53066268348720169</v>
          </cell>
          <cell r="BV155">
            <v>0.46821544538546522</v>
          </cell>
          <cell r="BW155">
            <v>0.10971146670718146</v>
          </cell>
          <cell r="BX155">
            <v>0.30170797413793093</v>
          </cell>
          <cell r="BY155">
            <v>0.13155939061145294</v>
          </cell>
          <cell r="BZ155">
            <v>0.20123101182183478</v>
          </cell>
          <cell r="CA155">
            <v>0.1079452959726952</v>
          </cell>
          <cell r="CB155">
            <v>0.1564835575485799</v>
          </cell>
          <cell r="CC155">
            <v>0.10131611835584331</v>
          </cell>
          <cell r="CD155">
            <v>0.13955407604538062</v>
          </cell>
          <cell r="CE155">
            <v>0.12349837578365852</v>
          </cell>
          <cell r="CF155">
            <v>0.30055758507979236</v>
          </cell>
          <cell r="CG155">
            <v>0.16159866438315906</v>
          </cell>
          <cell r="CH155">
            <v>0.10017099863201095</v>
          </cell>
          <cell r="CI155">
            <v>0.34984436596748791</v>
          </cell>
          <cell r="CJ155">
            <v>8.5597089367831503E-2</v>
          </cell>
          <cell r="CK155">
            <v>0.17513910425978296</v>
          </cell>
          <cell r="CL155">
            <v>0.12517900295354867</v>
          </cell>
          <cell r="CM155">
            <v>0.1378874669051624</v>
          </cell>
          <cell r="CN155">
            <v>0.29793240674997135</v>
          </cell>
          <cell r="CO155">
            <v>0.34374070653790167</v>
          </cell>
          <cell r="CP155">
            <v>0.32065568968252989</v>
          </cell>
          <cell r="CQ155">
            <v>0.33000121547409011</v>
          </cell>
          <cell r="CR155">
            <v>0.21112991928092018</v>
          </cell>
          <cell r="CS155">
            <v>0.16787619307887724</v>
          </cell>
        </row>
        <row r="157">
          <cell r="B157" t="str">
            <v>From PRC + Hong Kong</v>
          </cell>
          <cell r="L157">
            <v>186718</v>
          </cell>
          <cell r="M157">
            <v>222685</v>
          </cell>
          <cell r="N157">
            <v>219132</v>
          </cell>
          <cell r="O157">
            <v>248505</v>
          </cell>
          <cell r="P157">
            <v>214604</v>
          </cell>
          <cell r="Q157">
            <v>192650</v>
          </cell>
          <cell r="R157">
            <v>251916</v>
          </cell>
          <cell r="S157">
            <v>257894</v>
          </cell>
          <cell r="T157">
            <v>205752</v>
          </cell>
          <cell r="U157">
            <v>216305</v>
          </cell>
          <cell r="V157">
            <v>197469</v>
          </cell>
          <cell r="W157">
            <v>225373</v>
          </cell>
          <cell r="X157">
            <v>252902</v>
          </cell>
          <cell r="Y157">
            <v>205512</v>
          </cell>
          <cell r="Z157">
            <v>246462</v>
          </cell>
          <cell r="AA157">
            <v>267129</v>
          </cell>
          <cell r="AB157">
            <v>224130</v>
          </cell>
          <cell r="AC157">
            <v>215464</v>
          </cell>
          <cell r="AD157">
            <v>238683</v>
          </cell>
          <cell r="AE157">
            <v>291586</v>
          </cell>
          <cell r="AF157">
            <v>211216</v>
          </cell>
          <cell r="AG157">
            <v>236743</v>
          </cell>
          <cell r="AH157">
            <v>218410</v>
          </cell>
          <cell r="AI157">
            <v>243758</v>
          </cell>
          <cell r="AJ157">
            <v>217695</v>
          </cell>
          <cell r="AK157">
            <v>261351</v>
          </cell>
          <cell r="AL157">
            <v>270888</v>
          </cell>
          <cell r="AM157">
            <v>261428</v>
          </cell>
          <cell r="AN157">
            <v>236832</v>
          </cell>
          <cell r="AO157">
            <v>222447</v>
          </cell>
          <cell r="AP157">
            <v>266025</v>
          </cell>
          <cell r="AQ157">
            <v>320894</v>
          </cell>
          <cell r="AR157">
            <v>272200</v>
          </cell>
          <cell r="AS157">
            <v>311943</v>
          </cell>
          <cell r="AT157">
            <v>301912</v>
          </cell>
          <cell r="AU157">
            <v>323164</v>
          </cell>
          <cell r="AV157">
            <v>327215</v>
          </cell>
          <cell r="AW157">
            <v>376374</v>
          </cell>
          <cell r="AX157">
            <v>336091</v>
          </cell>
          <cell r="AY157">
            <v>253761</v>
          </cell>
          <cell r="AZ157">
            <v>259296</v>
          </cell>
          <cell r="BA157">
            <v>357382</v>
          </cell>
          <cell r="BB157">
            <v>390482</v>
          </cell>
          <cell r="BC157">
            <v>443766</v>
          </cell>
          <cell r="BD157">
            <v>367145</v>
          </cell>
          <cell r="BE157">
            <v>433479</v>
          </cell>
          <cell r="BF157">
            <v>442508</v>
          </cell>
          <cell r="BG157">
            <v>470512</v>
          </cell>
          <cell r="BH157">
            <v>549085</v>
          </cell>
          <cell r="BI157">
            <v>485332</v>
          </cell>
          <cell r="BJ157">
            <v>539992</v>
          </cell>
          <cell r="BK157">
            <v>552659</v>
          </cell>
          <cell r="BL157">
            <v>573221</v>
          </cell>
          <cell r="BM157">
            <v>540513</v>
          </cell>
          <cell r="BN157">
            <v>605580</v>
          </cell>
          <cell r="BO157">
            <v>660213</v>
          </cell>
          <cell r="BP157">
            <v>528392</v>
          </cell>
          <cell r="BQ157">
            <v>633784</v>
          </cell>
          <cell r="BR157">
            <v>579437</v>
          </cell>
          <cell r="BS157">
            <v>602097</v>
          </cell>
          <cell r="BT157">
            <v>595376</v>
          </cell>
          <cell r="BU157">
            <v>655688</v>
          </cell>
          <cell r="BV157">
            <v>656574</v>
          </cell>
          <cell r="BW157">
            <v>623160</v>
          </cell>
          <cell r="BX157">
            <v>652085</v>
          </cell>
          <cell r="BY157">
            <v>592174</v>
          </cell>
          <cell r="BZ157">
            <v>685210</v>
          </cell>
          <cell r="CA157">
            <v>719310</v>
          </cell>
          <cell r="CB157">
            <v>594499</v>
          </cell>
          <cell r="CC157">
            <v>716447</v>
          </cell>
          <cell r="CD157">
            <v>666300</v>
          </cell>
          <cell r="CE157">
            <v>683936</v>
          </cell>
          <cell r="CF157">
            <v>727800</v>
          </cell>
          <cell r="CG157">
            <v>786109</v>
          </cell>
          <cell r="CH157">
            <v>780165</v>
          </cell>
          <cell r="CI157">
            <v>787474</v>
          </cell>
          <cell r="CJ157">
            <v>727030</v>
          </cell>
          <cell r="CK157">
            <v>665846</v>
          </cell>
          <cell r="CL157">
            <v>733506</v>
          </cell>
          <cell r="CM157">
            <v>793537</v>
          </cell>
          <cell r="CN157">
            <v>731503</v>
          </cell>
          <cell r="CO157">
            <v>841729</v>
          </cell>
          <cell r="CP157">
            <v>819841</v>
          </cell>
          <cell r="CQ157">
            <v>888430</v>
          </cell>
          <cell r="CR157">
            <v>882002</v>
          </cell>
          <cell r="CS157">
            <v>988270</v>
          </cell>
        </row>
        <row r="158">
          <cell r="B158" t="str">
            <v>Share of Total Same-Day</v>
          </cell>
          <cell r="L158">
            <v>0.69653741988913176</v>
          </cell>
          <cell r="M158">
            <v>0.72214745512623024</v>
          </cell>
          <cell r="N158">
            <v>0.71256414091816622</v>
          </cell>
          <cell r="O158">
            <v>0.7179693865168929</v>
          </cell>
          <cell r="P158">
            <v>0.68030204086808221</v>
          </cell>
          <cell r="Q158">
            <v>0.65464863395405737</v>
          </cell>
          <cell r="R158">
            <v>0.66029046741611908</v>
          </cell>
          <cell r="S158">
            <v>0.67170741109241594</v>
          </cell>
          <cell r="T158">
            <v>0.61744555578562621</v>
          </cell>
          <cell r="U158">
            <v>0.61237171774364785</v>
          </cell>
          <cell r="V158">
            <v>0.60832878940509971</v>
          </cell>
          <cell r="W158">
            <v>0.64548123326316398</v>
          </cell>
          <cell r="X158">
            <v>0.69719909577107575</v>
          </cell>
          <cell r="Y158">
            <v>0.64904606852641988</v>
          </cell>
          <cell r="Z158">
            <v>0.64270347374158032</v>
          </cell>
          <cell r="AA158">
            <v>0.64450433322395728</v>
          </cell>
          <cell r="AB158">
            <v>0.60667825183115975</v>
          </cell>
          <cell r="AC158">
            <v>0.60557106039015973</v>
          </cell>
          <cell r="AD158">
            <v>0.63538497168914765</v>
          </cell>
          <cell r="AE158">
            <v>0.66723874381012527</v>
          </cell>
          <cell r="AF158">
            <v>0.6325593653322632</v>
          </cell>
          <cell r="AG158">
            <v>0.64152083547857375</v>
          </cell>
          <cell r="AH158">
            <v>0.63704615456412172</v>
          </cell>
          <cell r="AI158">
            <v>0.64807365597258371</v>
          </cell>
          <cell r="AJ158">
            <v>0.66306546132384658</v>
          </cell>
          <cell r="AK158">
            <v>0.69032362015045223</v>
          </cell>
          <cell r="AL158">
            <v>0.64154831008831448</v>
          </cell>
          <cell r="AM158">
            <v>0.62261364935411345</v>
          </cell>
          <cell r="AN158">
            <v>0.61046412719033705</v>
          </cell>
          <cell r="AO158">
            <v>0.61216419265888411</v>
          </cell>
          <cell r="AP158">
            <v>0.63419919612078213</v>
          </cell>
          <cell r="AQ158">
            <v>0.67587650753398398</v>
          </cell>
          <cell r="AR158">
            <v>0.66421186455153503</v>
          </cell>
          <cell r="AS158">
            <v>0.66999793809118791</v>
          </cell>
          <cell r="AT158">
            <v>0.68439509721469749</v>
          </cell>
          <cell r="AU158">
            <v>0.71098340927241488</v>
          </cell>
          <cell r="AV158">
            <v>0.75056197816313419</v>
          </cell>
          <cell r="AW158">
            <v>0.75759814331349296</v>
          </cell>
          <cell r="AX158">
            <v>0.74355099909736111</v>
          </cell>
          <cell r="AY158">
            <v>0.8333940904657281</v>
          </cell>
          <cell r="AZ158">
            <v>0.9252178381040056</v>
          </cell>
          <cell r="BA158">
            <v>0.91415372573495368</v>
          </cell>
          <cell r="BB158">
            <v>0.7944328139273239</v>
          </cell>
          <cell r="BC158">
            <v>0.7881425016827901</v>
          </cell>
          <cell r="BD158">
            <v>0.75824759088149163</v>
          </cell>
          <cell r="BE158">
            <v>0.7882883947779501</v>
          </cell>
          <cell r="BF158">
            <v>0.79689101069165291</v>
          </cell>
          <cell r="BG158">
            <v>0.81837282758428764</v>
          </cell>
          <cell r="BH158">
            <v>0.84881655569863479</v>
          </cell>
          <cell r="BI158">
            <v>0.85253054714342924</v>
          </cell>
          <cell r="BJ158">
            <v>0.83480508558424849</v>
          </cell>
          <cell r="BK158">
            <v>0.81799909120915071</v>
          </cell>
          <cell r="BL158">
            <v>0.85066052883859111</v>
          </cell>
          <cell r="BM158">
            <v>0.81980498059361251</v>
          </cell>
          <cell r="BN158">
            <v>0.82835202293636967</v>
          </cell>
          <cell r="BO158">
            <v>0.82653291168716059</v>
          </cell>
          <cell r="BP158">
            <v>0.7911635101000648</v>
          </cell>
          <cell r="BQ158">
            <v>0.80698881672182121</v>
          </cell>
          <cell r="BR158">
            <v>0.78931724467680786</v>
          </cell>
          <cell r="BS158">
            <v>0.79208802600577</v>
          </cell>
          <cell r="BT158">
            <v>0.8101830809970797</v>
          </cell>
          <cell r="BU158">
            <v>0.82254752284094568</v>
          </cell>
          <cell r="BV158">
            <v>0.80470290628627039</v>
          </cell>
          <cell r="BW158">
            <v>0.79481652487787458</v>
          </cell>
          <cell r="BX158">
            <v>0.80165842983944335</v>
          </cell>
          <cell r="BY158">
            <v>0.79086762869525151</v>
          </cell>
          <cell r="BZ158">
            <v>0.80646148414052843</v>
          </cell>
          <cell r="CA158">
            <v>0.81312604352362527</v>
          </cell>
          <cell r="CB158">
            <v>0.80251486578608122</v>
          </cell>
          <cell r="CC158">
            <v>0.81585204484842133</v>
          </cell>
          <cell r="CD158">
            <v>0.81442123288927026</v>
          </cell>
          <cell r="CE158">
            <v>0.82240913873440558</v>
          </cell>
          <cell r="CF158">
            <v>0.84263516259338977</v>
          </cell>
          <cell r="CG158">
            <v>0.83709744230844996</v>
          </cell>
          <cell r="CH158">
            <v>0.82031102138666334</v>
          </cell>
          <cell r="CI158">
            <v>0.820161538101016</v>
          </cell>
          <cell r="CJ158">
            <v>0.81716033327975746</v>
          </cell>
          <cell r="CK158">
            <v>0.80771950851152363</v>
          </cell>
          <cell r="CL158">
            <v>0.80716727868556604</v>
          </cell>
          <cell r="CM158">
            <v>0.81450479698888489</v>
          </cell>
          <cell r="CN158">
            <v>0.81386807714302878</v>
          </cell>
          <cell r="CO158">
            <v>0.82184848514435793</v>
          </cell>
          <cell r="CP158">
            <v>0.81709963073887104</v>
          </cell>
          <cell r="CQ158">
            <v>0.82410910821307748</v>
          </cell>
          <cell r="CR158">
            <v>0.83582041463042511</v>
          </cell>
          <cell r="CS158">
            <v>0.86099286825703547</v>
          </cell>
        </row>
        <row r="159">
          <cell r="B159" t="str">
            <v xml:space="preserve">   % Change</v>
          </cell>
          <cell r="X159">
            <v>0.3544596664488695</v>
          </cell>
          <cell r="Y159">
            <v>-7.711790196914925E-2</v>
          </cell>
          <cell r="Z159">
            <v>0.12471934724275768</v>
          </cell>
          <cell r="AA159">
            <v>7.4944166113357857E-2</v>
          </cell>
          <cell r="AB159">
            <v>4.4388734599541513E-2</v>
          </cell>
          <cell r="AC159">
            <v>0.11842200882429266</v>
          </cell>
          <cell r="AD159">
            <v>-5.2529414566760302E-2</v>
          </cell>
          <cell r="AE159">
            <v>0.13064282224479817</v>
          </cell>
          <cell r="AF159">
            <v>2.6556242466658997E-2</v>
          </cell>
          <cell r="AG159">
            <v>9.4486951295624344E-2</v>
          </cell>
          <cell r="AH159">
            <v>0.10604702510267439</v>
          </cell>
          <cell r="AI159">
            <v>8.1575876435952877E-2</v>
          </cell>
          <cell r="AJ159">
            <v>-0.13921202679298705</v>
          </cell>
          <cell r="AK159">
            <v>0.2717067616489548</v>
          </cell>
          <cell r="AL159">
            <v>9.9106555980232214E-2</v>
          </cell>
          <cell r="AM159">
            <v>-2.1341748743116673E-2</v>
          </cell>
          <cell r="AN159">
            <v>5.6672466871904748E-2</v>
          </cell>
          <cell r="AO159">
            <v>3.2409126350573692E-2</v>
          </cell>
          <cell r="AP159">
            <v>0.11455361295106892</v>
          </cell>
          <cell r="AQ159">
            <v>0.10051237027840854</v>
          </cell>
          <cell r="AR159">
            <v>0.28872812665707137</v>
          </cell>
          <cell r="AS159">
            <v>0.3176440274897252</v>
          </cell>
          <cell r="AT159">
            <v>0.38231765944782747</v>
          </cell>
          <cell r="AU159">
            <v>0.32575751359955363</v>
          </cell>
          <cell r="AV159">
            <v>0.50308918440938011</v>
          </cell>
          <cell r="AW159">
            <v>0.44010927832684787</v>
          </cell>
          <cell r="AX159">
            <v>0.24070095389976665</v>
          </cell>
          <cell r="AY159">
            <v>-2.9327386507948638E-2</v>
          </cell>
          <cell r="AZ159">
            <v>9.4852047020672847E-2</v>
          </cell>
          <cell r="BA159">
            <v>0.60659393023956265</v>
          </cell>
          <cell r="BB159">
            <v>0.46783948876985249</v>
          </cell>
          <cell r="BC159">
            <v>0.38290525843424938</v>
          </cell>
          <cell r="BD159">
            <v>0.34880602498163116</v>
          </cell>
          <cell r="BE159">
            <v>0.38960964022273292</v>
          </cell>
          <cell r="BF159">
            <v>0.46568536527199988</v>
          </cell>
          <cell r="BG159">
            <v>0.45595425233008635</v>
          </cell>
          <cell r="BH159">
            <v>0.6780557126048623</v>
          </cell>
          <cell r="BI159">
            <v>0.28949396079431633</v>
          </cell>
          <cell r="BJ159">
            <v>0.60668390406169759</v>
          </cell>
          <cell r="BK159">
            <v>1.1778720922442769</v>
          </cell>
          <cell r="BL159">
            <v>1.2106820004936445</v>
          </cell>
          <cell r="BM159">
            <v>0.5124236811031333</v>
          </cell>
          <cell r="BN159">
            <v>0.55085253609641427</v>
          </cell>
          <cell r="BO159">
            <v>0.48775030083422344</v>
          </cell>
          <cell r="BP159">
            <v>0.43919160004902702</v>
          </cell>
          <cell r="BQ159">
            <v>0.46208697537827659</v>
          </cell>
          <cell r="BR159">
            <v>0.30943847342872899</v>
          </cell>
          <cell r="BS159">
            <v>0.27966343047573705</v>
          </cell>
          <cell r="BT159">
            <v>8.4305708587923522E-2</v>
          </cell>
          <cell r="BU159">
            <v>0.35100920606924735</v>
          </cell>
          <cell r="BV159">
            <v>0.21589579104875622</v>
          </cell>
          <cell r="BW159">
            <v>0.12756690834673812</v>
          </cell>
          <cell r="BX159">
            <v>0.13758044454058727</v>
          </cell>
          <cell r="BY159">
            <v>9.5577719684817986E-2</v>
          </cell>
          <cell r="BZ159">
            <v>0.13149377456322875</v>
          </cell>
          <cell r="CA159">
            <v>8.9512021120456531E-2</v>
          </cell>
          <cell r="CB159">
            <v>0.12510976699117315</v>
          </cell>
          <cell r="CC159">
            <v>0.13042771669843356</v>
          </cell>
          <cell r="CD159">
            <v>0.14990930851844109</v>
          </cell>
          <cell r="CE159">
            <v>0.13592328146461452</v>
          </cell>
          <cell r="CF159">
            <v>0.22242078955147671</v>
          </cell>
          <cell r="CG159">
            <v>0.19890710215834351</v>
          </cell>
          <cell r="CH159">
            <v>0.18823620795218821</v>
          </cell>
          <cell r="CI159">
            <v>0.2636786700044933</v>
          </cell>
          <cell r="CJ159">
            <v>0.11493133563875868</v>
          </cell>
          <cell r="CK159">
            <v>0.12440937967556831</v>
          </cell>
          <cell r="CL159">
            <v>7.0483501408327376E-2</v>
          </cell>
          <cell r="CM159">
            <v>0.10319194783890118</v>
          </cell>
          <cell r="CN159">
            <v>0.23045286871802984</v>
          </cell>
          <cell r="CO159">
            <v>0.17486569139098918</v>
          </cell>
          <cell r="CP159">
            <v>0.23043824103256783</v>
          </cell>
          <cell r="CQ159">
            <v>0.29899581247368179</v>
          </cell>
          <cell r="CR159">
            <v>0.21187414124759552</v>
          </cell>
          <cell r="CS159">
            <v>0.2571666270199171</v>
          </cell>
        </row>
        <row r="161">
          <cell r="B161" t="str">
            <v>FIT Visitors</v>
          </cell>
          <cell r="BT161">
            <v>401381</v>
          </cell>
          <cell r="BU161">
            <v>463550</v>
          </cell>
          <cell r="BV161">
            <v>422359</v>
          </cell>
          <cell r="BW161">
            <v>398109</v>
          </cell>
          <cell r="BX161">
            <v>446792</v>
          </cell>
          <cell r="BY161">
            <v>402763</v>
          </cell>
          <cell r="BZ161">
            <v>479900</v>
          </cell>
          <cell r="CA161">
            <v>520133</v>
          </cell>
          <cell r="CB161">
            <v>386029</v>
          </cell>
          <cell r="CC161">
            <v>491989</v>
          </cell>
          <cell r="CD161">
            <v>461242</v>
          </cell>
          <cell r="CE161">
            <v>457262</v>
          </cell>
          <cell r="CF161">
            <v>502423</v>
          </cell>
          <cell r="CG161">
            <v>565315</v>
          </cell>
          <cell r="CH161">
            <v>525880</v>
          </cell>
          <cell r="CI161">
            <v>451048</v>
          </cell>
          <cell r="CJ161">
            <v>335978</v>
          </cell>
          <cell r="CK161">
            <v>397465</v>
          </cell>
          <cell r="CL161">
            <v>460039</v>
          </cell>
          <cell r="CM161">
            <v>526649</v>
          </cell>
          <cell r="CN161">
            <v>427097</v>
          </cell>
          <cell r="CO161">
            <v>515673</v>
          </cell>
          <cell r="CP161">
            <v>513119</v>
          </cell>
          <cell r="CQ161">
            <v>554164</v>
          </cell>
          <cell r="CR161">
            <v>565587</v>
          </cell>
          <cell r="CS161">
            <v>766863</v>
          </cell>
          <cell r="CU161">
            <v>0.24791849685971656</v>
          </cell>
        </row>
        <row r="162">
          <cell r="B162" t="str">
            <v>Share of Mainland China</v>
          </cell>
          <cell r="BT162">
            <v>0.48628016830403276</v>
          </cell>
          <cell r="BU162">
            <v>0.55692586055888416</v>
          </cell>
          <cell r="BV162">
            <v>0.51054738071263572</v>
          </cell>
          <cell r="BW162">
            <v>0.47926136910838452</v>
          </cell>
          <cell r="BX162">
            <v>0.51244137728541128</v>
          </cell>
          <cell r="BY162">
            <v>0.50156910409137667</v>
          </cell>
          <cell r="BZ162">
            <v>0.52546691441754634</v>
          </cell>
          <cell r="CA162">
            <v>0.55326882308328074</v>
          </cell>
          <cell r="CB162">
            <v>0.48427297395283836</v>
          </cell>
          <cell r="CC162">
            <v>0.51105014843638008</v>
          </cell>
          <cell r="CD162">
            <v>0.49376533509182857</v>
          </cell>
          <cell r="CE162">
            <v>0.49432286841357065</v>
          </cell>
          <cell r="CF162">
            <v>0.54156341251251716</v>
          </cell>
          <cell r="CG162">
            <v>0.56178976919828083</v>
          </cell>
          <cell r="CH162">
            <v>0.50383181590421566</v>
          </cell>
          <cell r="CI162">
            <v>0.45557366882611866</v>
          </cell>
          <cell r="CJ162">
            <v>0.34258649345882064</v>
          </cell>
          <cell r="CK162">
            <v>0.45325321923650613</v>
          </cell>
          <cell r="CL162">
            <v>0.48407934861070484</v>
          </cell>
          <cell r="CM162">
            <v>0.51685206903150782</v>
          </cell>
          <cell r="CN162">
            <v>0.46556018587656411</v>
          </cell>
          <cell r="CO162">
            <v>0.48570637385242682</v>
          </cell>
          <cell r="CP162">
            <v>0.47990299416206672</v>
          </cell>
          <cell r="CQ162">
            <v>0.4850132376430431</v>
          </cell>
          <cell r="CR162">
            <v>0.48935947463595697</v>
          </cell>
          <cell r="CS162">
            <v>0.61931993468116686</v>
          </cell>
        </row>
        <row r="163">
          <cell r="B163" t="str">
            <v xml:space="preserve">   % Change</v>
          </cell>
          <cell r="CF163">
            <v>0.25173588186785123</v>
          </cell>
          <cell r="CG163">
            <v>0.21953403084888357</v>
          </cell>
          <cell r="CH163">
            <v>0.24510191566889783</v>
          </cell>
          <cell r="CI163">
            <v>0.13297614472418351</v>
          </cell>
          <cell r="CJ163">
            <v>-0.24802145069741621</v>
          </cell>
          <cell r="CK163">
            <v>-1.3154137793193521E-2</v>
          </cell>
          <cell r="CL163">
            <v>-4.1385705355282298E-2</v>
          </cell>
          <cell r="CM163">
            <v>1.2527565065089119E-2</v>
          </cell>
          <cell r="CN163">
            <v>0.10638578966865175</v>
          </cell>
          <cell r="CO163">
            <v>4.8139287667000596E-2</v>
          </cell>
          <cell r="CP163">
            <v>0.11247241144561859</v>
          </cell>
          <cell r="CQ163">
            <v>0.21191789389890259</v>
          </cell>
          <cell r="CR163">
            <v>0.12571876685581662</v>
          </cell>
          <cell r="CS163">
            <v>0.3565233542361339</v>
          </cell>
        </row>
        <row r="165">
          <cell r="B165" t="str">
            <v>Visitor Arrival Stats</v>
          </cell>
        </row>
        <row r="166">
          <cell r="B166" t="str">
            <v>Total % Change</v>
          </cell>
          <cell r="D166">
            <v>2.8122746574793744E-2</v>
          </cell>
          <cell r="E166">
            <v>1.6897859517871927E-2</v>
          </cell>
          <cell r="F166">
            <v>5.7476402743539268E-4</v>
          </cell>
          <cell r="G166">
            <v>-1.0378105134162263E-2</v>
          </cell>
          <cell r="H166">
            <v>5.1415672363753551E-2</v>
          </cell>
          <cell r="I166">
            <v>-0.1411711302768951</v>
          </cell>
          <cell r="J166">
            <v>-7.4138620650248122E-3</v>
          </cell>
          <cell r="K166">
            <v>7.1295963157516073E-2</v>
          </cell>
          <cell r="X166">
            <v>0.37942409649062703</v>
          </cell>
          <cell r="Y166">
            <v>-0.12631393844594963</v>
          </cell>
          <cell r="Z166">
            <v>0.18934339656160692</v>
          </cell>
          <cell r="AA166">
            <v>0.16094820577245605</v>
          </cell>
          <cell r="AB166">
            <v>0.11502212485358543</v>
          </cell>
          <cell r="AC166">
            <v>0.23509964382109705</v>
          </cell>
          <cell r="AD166">
            <v>2.927268633190705E-3</v>
          </cell>
          <cell r="AE166">
            <v>0.17154213107148486</v>
          </cell>
          <cell r="AF166">
            <v>7.9181880962522211E-2</v>
          </cell>
          <cell r="AG166">
            <v>9.7173570140937304E-2</v>
          </cell>
          <cell r="AH166">
            <v>0.12354881888794855</v>
          </cell>
          <cell r="AI166">
            <v>0.11364487135929835</v>
          </cell>
          <cell r="AJ166">
            <v>-0.12144249160514964</v>
          </cell>
          <cell r="AK166">
            <v>0.31582932785350848</v>
          </cell>
          <cell r="AL166">
            <v>0.12023549043976489</v>
          </cell>
          <cell r="AM166">
            <v>7.0171788431468096E-2</v>
          </cell>
          <cell r="AN166">
            <v>0.14696599049698711</v>
          </cell>
          <cell r="AO166">
            <v>7.6026732591759183E-2</v>
          </cell>
          <cell r="AP166">
            <v>0.1944190409467812</v>
          </cell>
          <cell r="AQ166">
            <v>5.4171889166474863E-2</v>
          </cell>
          <cell r="AR166">
            <v>0.12975260341825967</v>
          </cell>
          <cell r="AS166">
            <v>0.13316934164494243</v>
          </cell>
          <cell r="AT166">
            <v>0.22080708342815147</v>
          </cell>
          <cell r="AU166">
            <v>0.18306057607398163</v>
          </cell>
          <cell r="AV166">
            <v>0.26874008006631489</v>
          </cell>
          <cell r="AW166">
            <v>0.12038054203922011</v>
          </cell>
          <cell r="AX166">
            <v>1.028158200941931E-3</v>
          </cell>
          <cell r="AY166">
            <v>-0.337914488663695</v>
          </cell>
          <cell r="AZ166">
            <v>-0.36754467049415274</v>
          </cell>
          <cell r="BA166">
            <v>-5.4355663231594908E-2</v>
          </cell>
          <cell r="BB166">
            <v>3.0212309899823708E-2</v>
          </cell>
          <cell r="BC166">
            <v>0.14440612954510113</v>
          </cell>
          <cell r="BD166">
            <v>0.13176965917390437</v>
          </cell>
          <cell r="BE166">
            <v>0.14835841552754991</v>
          </cell>
          <cell r="BF166">
            <v>0.15593049022275784</v>
          </cell>
          <cell r="BG166">
            <v>0.14701174484844226</v>
          </cell>
          <cell r="BH166">
            <v>0.35116839020555846</v>
          </cell>
          <cell r="BI166">
            <v>6.0292070596457137E-2</v>
          </cell>
          <cell r="BJ166">
            <v>0.36009036834152663</v>
          </cell>
          <cell r="BK166">
            <v>1.0513572667580897</v>
          </cell>
          <cell r="BL166">
            <v>1.2248570298410399</v>
          </cell>
          <cell r="BM166">
            <v>0.59450660043957981</v>
          </cell>
          <cell r="BN166">
            <v>0.45582857601393956</v>
          </cell>
          <cell r="BO166">
            <v>0.27061758721398221</v>
          </cell>
          <cell r="BP166">
            <v>0.31188614332179876</v>
          </cell>
          <cell r="BQ166">
            <v>0.35355349682237502</v>
          </cell>
          <cell r="BR166">
            <v>0.25440271259871716</v>
          </cell>
          <cell r="BS166">
            <v>0.24133381076878546</v>
          </cell>
          <cell r="BT166">
            <v>5.0639819895328841E-2</v>
          </cell>
          <cell r="BU166">
            <v>0.37099991085650696</v>
          </cell>
          <cell r="BV166">
            <v>0.17292138330373596</v>
          </cell>
          <cell r="BW166">
            <v>0.1021426115393187</v>
          </cell>
          <cell r="BX166">
            <v>0.15980117702717767</v>
          </cell>
          <cell r="BY166">
            <v>0.1017170664954854</v>
          </cell>
          <cell r="BZ166">
            <v>9.3014115079466553E-2</v>
          </cell>
          <cell r="CA166">
            <v>7.0513284050054637E-2</v>
          </cell>
          <cell r="CB166">
            <v>0.1066535898043115</v>
          </cell>
          <cell r="CC166">
            <v>0.10217284582049979</v>
          </cell>
          <cell r="CD166">
            <v>0.1037722099931393</v>
          </cell>
          <cell r="CE166">
            <v>9.8207194142262644E-2</v>
          </cell>
          <cell r="CF166">
            <v>0.18549077055797647</v>
          </cell>
          <cell r="CG166">
            <v>0.16507135867173695</v>
          </cell>
          <cell r="CH166">
            <v>0.18245745414362613</v>
          </cell>
          <cell r="CI166">
            <v>0.25214167311601043</v>
          </cell>
          <cell r="CJ166">
            <v>0.10887775131955513</v>
          </cell>
          <cell r="CK166">
            <v>0.11438201071123277</v>
          </cell>
          <cell r="CL166">
            <v>8.1960757004161611E-2</v>
          </cell>
          <cell r="CM166">
            <v>0.10978688665612446</v>
          </cell>
          <cell r="CN166">
            <v>0.2033254777837028</v>
          </cell>
          <cell r="CO166">
            <v>0.19608108327427543</v>
          </cell>
          <cell r="CP166">
            <v>0.21424785545989655</v>
          </cell>
          <cell r="CQ166">
            <v>0.29708609192093638</v>
          </cell>
          <cell r="CR166">
            <v>0.22714372818472217</v>
          </cell>
          <cell r="CS166">
            <v>0.22298731739655442</v>
          </cell>
        </row>
        <row r="167">
          <cell r="B167" t="str">
            <v>Mainland China % Change</v>
          </cell>
          <cell r="D167">
            <v>0.75657894736842102</v>
          </cell>
          <cell r="E167">
            <v>9.191011235955056</v>
          </cell>
          <cell r="F167">
            <v>-9.8493201029033473E-2</v>
          </cell>
          <cell r="G167">
            <v>1.214431308601712</v>
          </cell>
          <cell r="H167">
            <v>0.11229749631811492</v>
          </cell>
          <cell r="I167">
            <v>-0.1231380337636544</v>
          </cell>
          <cell r="J167">
            <v>0.54171385428463581</v>
          </cell>
          <cell r="K167">
            <v>1.0142017629774731</v>
          </cell>
          <cell r="X167">
            <v>0.26761113771334544</v>
          </cell>
          <cell r="Y167">
            <v>-5.2580391830535644E-3</v>
          </cell>
          <cell r="Z167">
            <v>0.13187893370109016</v>
          </cell>
          <cell r="AA167">
            <v>0.35617942997632479</v>
          </cell>
          <cell r="AB167">
            <v>0.14013749818603971</v>
          </cell>
          <cell r="AC167">
            <v>0.42209067812148038</v>
          </cell>
          <cell r="AD167">
            <v>0.17806850137949004</v>
          </cell>
          <cell r="AE167">
            <v>0.65748970522281569</v>
          </cell>
          <cell r="AF167">
            <v>0.47018698290459238</v>
          </cell>
          <cell r="AG167">
            <v>0.44148445581333728</v>
          </cell>
          <cell r="AH167">
            <v>0.45878099543346296</v>
          </cell>
          <cell r="AI167">
            <v>0.39754146284422442</v>
          </cell>
          <cell r="AJ167">
            <v>0.17431212577775268</v>
          </cell>
          <cell r="AK167">
            <v>0.56601800633672483</v>
          </cell>
          <cell r="AL167">
            <v>0.31084467487578316</v>
          </cell>
          <cell r="AM167">
            <v>0.49406413005619032</v>
          </cell>
          <cell r="AN167">
            <v>0.41977375961561414</v>
          </cell>
          <cell r="AO167">
            <v>0.30837661620068513</v>
          </cell>
          <cell r="AP167">
            <v>0.57459049681873564</v>
          </cell>
          <cell r="AQ167">
            <v>0.19188195285739762</v>
          </cell>
          <cell r="AR167">
            <v>0.38418060570786827</v>
          </cell>
          <cell r="AS167">
            <v>0.34912526910038277</v>
          </cell>
          <cell r="AT167">
            <v>0.56006436030553619</v>
          </cell>
          <cell r="AU167">
            <v>0.63494597977248413</v>
          </cell>
          <cell r="AV167">
            <v>0.72862968974735365</v>
          </cell>
          <cell r="AW167">
            <v>0.38904802921950021</v>
          </cell>
          <cell r="AX167">
            <v>0.49873926729181428</v>
          </cell>
          <cell r="AY167">
            <v>-0.16138201448750245</v>
          </cell>
          <cell r="AZ167">
            <v>-0.2420892503452855</v>
          </cell>
          <cell r="BA167">
            <v>0.29456128496417366</v>
          </cell>
          <cell r="BB167">
            <v>0.28713407557064863</v>
          </cell>
          <cell r="BC167">
            <v>0.51355283762134607</v>
          </cell>
          <cell r="BD167">
            <v>0.47632147013274673</v>
          </cell>
          <cell r="BE167">
            <v>0.54925979300406125</v>
          </cell>
          <cell r="BF167">
            <v>0.48465299592394362</v>
          </cell>
          <cell r="BG167">
            <v>0.45082021396144256</v>
          </cell>
          <cell r="BH167">
            <v>0.57845225872689943</v>
          </cell>
          <cell r="BI167">
            <v>0.58578172169131082</v>
          </cell>
          <cell r="BJ167">
            <v>0.74130544742803095</v>
          </cell>
          <cell r="BK167">
            <v>1.4453837239679275</v>
          </cell>
          <cell r="BL167">
            <v>2.003511534466635</v>
          </cell>
          <cell r="BM167">
            <v>0.99465810513610275</v>
          </cell>
          <cell r="BN167">
            <v>0.92231580869174135</v>
          </cell>
          <cell r="BO167">
            <v>0.5248866541673769</v>
          </cell>
          <cell r="BP167">
            <v>0.47526124716689733</v>
          </cell>
          <cell r="BQ167">
            <v>0.48279903598156526</v>
          </cell>
          <cell r="BR167">
            <v>0.29292582261660272</v>
          </cell>
          <cell r="BS167">
            <v>0.23346771882224804</v>
          </cell>
          <cell r="BT167">
            <v>0.11850674428626018</v>
          </cell>
          <cell r="BU167">
            <v>0.2615486515079406</v>
          </cell>
          <cell r="BV167">
            <v>4.4807391868288082E-2</v>
          </cell>
          <cell r="BW167">
            <v>0.13770736090110236</v>
          </cell>
          <cell r="BX167">
            <v>7.3013595286999911E-2</v>
          </cell>
          <cell r="BY167">
            <v>9.4417693726157825E-2</v>
          </cell>
          <cell r="BZ167">
            <v>5.7791002180945572E-2</v>
          </cell>
          <cell r="CA167">
            <v>5.0810874855111043E-2</v>
          </cell>
          <cell r="CB167">
            <v>8.3763753856110235E-2</v>
          </cell>
          <cell r="CC167">
            <v>9.8044806796069972E-2</v>
          </cell>
          <cell r="CD167">
            <v>9.3484386102302475E-2</v>
          </cell>
          <cell r="CE167">
            <v>0.10223562607539316</v>
          </cell>
          <cell r="CF167">
            <v>0.12395764049667379</v>
          </cell>
          <cell r="CG167">
            <v>0.20897545104927451</v>
          </cell>
          <cell r="CH167">
            <v>0.26169785571042969</v>
          </cell>
          <cell r="CI167">
            <v>0.1918856058709093</v>
          </cell>
          <cell r="CJ167">
            <v>0.12481061236005964</v>
          </cell>
          <cell r="CK167">
            <v>9.2041653487022534E-2</v>
          </cell>
          <cell r="CL167">
            <v>4.0573403862767643E-2</v>
          </cell>
          <cell r="CM167">
            <v>8.386899816936122E-2</v>
          </cell>
          <cell r="CN167">
            <v>0.15085600735638183</v>
          </cell>
          <cell r="CO167">
            <v>0.10283036702946502</v>
          </cell>
          <cell r="CP167">
            <v>0.14460697203393091</v>
          </cell>
          <cell r="CQ167">
            <v>0.23518016230877592</v>
          </cell>
          <cell r="CR167">
            <v>0.24580830352032446</v>
          </cell>
          <cell r="CS167">
            <v>0.23051253385009063</v>
          </cell>
        </row>
        <row r="168">
          <cell r="B168" t="str">
            <v>Hong Kong % Change</v>
          </cell>
          <cell r="D168">
            <v>3.0837147401574505E-4</v>
          </cell>
          <cell r="E168">
            <v>-1.5494945889377498E-2</v>
          </cell>
          <cell r="F168">
            <v>3.3949701704076851E-3</v>
          </cell>
          <cell r="G168">
            <v>-7.7343801327113826E-2</v>
          </cell>
          <cell r="H168">
            <v>-7.3324432576769016E-2</v>
          </cell>
          <cell r="I168">
            <v>-9.6645919778699851E-2</v>
          </cell>
          <cell r="J168">
            <v>4.1041998936734991E-3</v>
          </cell>
          <cell r="K168">
            <v>-0.10419755178110046</v>
          </cell>
          <cell r="X168">
            <v>0.48969517535452778</v>
          </cell>
          <cell r="Y168">
            <v>-0.22783636261791596</v>
          </cell>
          <cell r="Z168">
            <v>0.18700061790211575</v>
          </cell>
          <cell r="AA168">
            <v>7.5226645347170829E-2</v>
          </cell>
          <cell r="AB168">
            <v>8.1007679868377203E-2</v>
          </cell>
          <cell r="AC168">
            <v>0.17406055425615685</v>
          </cell>
          <cell r="AD168">
            <v>-6.6915116281486609E-2</v>
          </cell>
          <cell r="AE168">
            <v>2.1966454051500106E-2</v>
          </cell>
          <cell r="AF168">
            <v>-2.4177353664737278E-2</v>
          </cell>
          <cell r="AG168">
            <v>9.6543063418130792E-4</v>
          </cell>
          <cell r="AH168">
            <v>4.4782000621586882E-2</v>
          </cell>
          <cell r="AI168">
            <v>1.2427035188833813E-2</v>
          </cell>
          <cell r="AJ168">
            <v>-0.28488741525214034</v>
          </cell>
          <cell r="AK168">
            <v>0.2947774828316263</v>
          </cell>
          <cell r="AL168">
            <v>4.1462856424846706E-2</v>
          </cell>
          <cell r="AM168">
            <v>-0.11734808401475072</v>
          </cell>
          <cell r="AN168">
            <v>3.5266400492040884E-2</v>
          </cell>
          <cell r="AO168">
            <v>3.4183388518769231E-3</v>
          </cell>
          <cell r="AP168">
            <v>5.3806554798929929E-2</v>
          </cell>
          <cell r="AQ168">
            <v>-2.6790667741720675E-2</v>
          </cell>
          <cell r="AR168">
            <v>-2.0621106897649732E-2</v>
          </cell>
          <cell r="AS168">
            <v>-2.9906922081335274E-2</v>
          </cell>
          <cell r="AT168">
            <v>-7.665216490573834E-3</v>
          </cell>
          <cell r="AU168">
            <v>-5.0493912766707227E-2</v>
          </cell>
          <cell r="AV168">
            <v>2.4154549254408852E-2</v>
          </cell>
          <cell r="AW168">
            <v>-1.9926915965811087E-2</v>
          </cell>
          <cell r="AX168">
            <v>-0.23369348601221573</v>
          </cell>
          <cell r="AY168">
            <v>-0.32958983488038363</v>
          </cell>
          <cell r="AZ168">
            <v>-0.26721629241768197</v>
          </cell>
          <cell r="BA168">
            <v>-1.935180882758547E-2</v>
          </cell>
          <cell r="BB168">
            <v>-2.1271333691272876E-2</v>
          </cell>
          <cell r="BC168">
            <v>4.3248502169075387E-3</v>
          </cell>
          <cell r="BD168">
            <v>-6.1744450684243168E-2</v>
          </cell>
          <cell r="BE168">
            <v>-6.3273151082667067E-2</v>
          </cell>
          <cell r="BF168">
            <v>-8.4888389272522846E-2</v>
          </cell>
          <cell r="BG168">
            <v>-5.4110548432281025E-2</v>
          </cell>
          <cell r="BH168">
            <v>0.23712170559187862</v>
          </cell>
          <cell r="BI168">
            <v>-0.2947335213462402</v>
          </cell>
          <cell r="BJ168">
            <v>3.1522273922150124E-2</v>
          </cell>
          <cell r="BK168">
            <v>0.53990123757849173</v>
          </cell>
          <cell r="BL168">
            <v>0.27826349835618425</v>
          </cell>
          <cell r="BM168">
            <v>1.5322243478481212E-2</v>
          </cell>
          <cell r="BN168">
            <v>3.5530166409295516E-2</v>
          </cell>
          <cell r="BO168">
            <v>-9.2708741299074582E-5</v>
          </cell>
          <cell r="BP168">
            <v>0.11990812866568912</v>
          </cell>
          <cell r="BQ168">
            <v>0.15415552523874498</v>
          </cell>
          <cell r="BR168">
            <v>0.13162759137067725</v>
          </cell>
          <cell r="BS168">
            <v>0.15676655376842197</v>
          </cell>
          <cell r="BT168">
            <v>-0.17643987293375341</v>
          </cell>
          <cell r="BU168">
            <v>0.48734175315142769</v>
          </cell>
          <cell r="BV168">
            <v>0.32387836368245049</v>
          </cell>
          <cell r="BW168">
            <v>-3.3013535329541543E-2</v>
          </cell>
          <cell r="BX168">
            <v>0.18823889854901088</v>
          </cell>
          <cell r="BY168">
            <v>3.2782466770817198E-2</v>
          </cell>
          <cell r="BZ168">
            <v>8.5841331814977551E-2</v>
          </cell>
          <cell r="CA168">
            <v>6.3717624619669788E-2</v>
          </cell>
          <cell r="CB168">
            <v>0.14444040976438033</v>
          </cell>
          <cell r="CC168">
            <v>0.10936458328408172</v>
          </cell>
          <cell r="CD168">
            <v>0.15061461639459517</v>
          </cell>
          <cell r="CE168">
            <v>0.13000245089457652</v>
          </cell>
          <cell r="CF168">
            <v>0.40328421164329953</v>
          </cell>
          <cell r="CG168">
            <v>0.10360933154097984</v>
          </cell>
          <cell r="CH168">
            <v>7.0924614032161992E-2</v>
          </cell>
          <cell r="CI168">
            <v>0.41746881624557597</v>
          </cell>
          <cell r="CJ168">
            <v>0.1004652446209624</v>
          </cell>
          <cell r="CK168">
            <v>0.17388929967765154</v>
          </cell>
          <cell r="CL168">
            <v>0.13442522818771319</v>
          </cell>
          <cell r="CM168">
            <v>0.13093556661602879</v>
          </cell>
          <cell r="CN168">
            <v>0.29359071185016683</v>
          </cell>
          <cell r="CO168">
            <v>0.36701906622994973</v>
          </cell>
          <cell r="CP168">
            <v>0.33896923056188255</v>
          </cell>
          <cell r="CQ168">
            <v>0.36779799529032653</v>
          </cell>
          <cell r="CR168">
            <v>0.14240370527907742</v>
          </cell>
          <cell r="CS168">
            <v>0.2414854509208626</v>
          </cell>
        </row>
        <row r="169">
          <cell r="B169" t="str">
            <v>Other % Change</v>
          </cell>
          <cell r="D169">
            <v>0.15030487804878057</v>
          </cell>
          <cell r="E169">
            <v>-1.3119533527696792E-2</v>
          </cell>
          <cell r="F169">
            <v>7.184100980260455E-3</v>
          </cell>
          <cell r="G169">
            <v>6.1129258049463342E-2</v>
          </cell>
          <cell r="H169">
            <v>0.47085060937303691</v>
          </cell>
          <cell r="I169">
            <v>-0.24482125314995939</v>
          </cell>
          <cell r="J169">
            <v>-0.20259035122447822</v>
          </cell>
          <cell r="K169">
            <v>0.11277395559968784</v>
          </cell>
          <cell r="X169">
            <v>0.23856494845360832</v>
          </cell>
          <cell r="Y169">
            <v>5.8404722482182647E-2</v>
          </cell>
          <cell r="Z169">
            <v>0.27919666486440331</v>
          </cell>
          <cell r="AA169">
            <v>0.19445396460133657</v>
          </cell>
          <cell r="AB169">
            <v>0.15532232403833102</v>
          </cell>
          <cell r="AC169">
            <v>0.18532157508802527</v>
          </cell>
          <cell r="AD169">
            <v>6.5921419433410122E-3</v>
          </cell>
          <cell r="AE169">
            <v>7.9267563612760661E-2</v>
          </cell>
          <cell r="AF169">
            <v>-6.5659831632413068E-2</v>
          </cell>
          <cell r="AG169">
            <v>-6.1199692104684456E-2</v>
          </cell>
          <cell r="AH169">
            <v>-8.8290609006873133E-2</v>
          </cell>
          <cell r="AI169">
            <v>2.9429960229783392E-2</v>
          </cell>
          <cell r="AJ169">
            <v>-2.5203760920519902E-2</v>
          </cell>
          <cell r="AK169">
            <v>4.3646232222169346E-2</v>
          </cell>
          <cell r="AL169">
            <v>7.012997124726783E-2</v>
          </cell>
          <cell r="AM169">
            <v>3.2013280797667631E-2</v>
          </cell>
          <cell r="AN169">
            <v>9.6448434514342374E-3</v>
          </cell>
          <cell r="AO169">
            <v>-4.0284515179593416E-2</v>
          </cell>
          <cell r="AP169">
            <v>7.7172398865585246E-2</v>
          </cell>
          <cell r="AQ169">
            <v>4.8861807918546107E-2</v>
          </cell>
          <cell r="AR169">
            <v>9.8713310472834825E-2</v>
          </cell>
          <cell r="AS169">
            <v>0.16058073546550777</v>
          </cell>
          <cell r="AT169">
            <v>0.15355620288296845</v>
          </cell>
          <cell r="AU169">
            <v>2.9172390109890145E-2</v>
          </cell>
          <cell r="AV169">
            <v>2.2672158807576892E-2</v>
          </cell>
          <cell r="AW169">
            <v>3.6587591240875961E-2</v>
          </cell>
          <cell r="AX169">
            <v>-0.21753569034242981</v>
          </cell>
          <cell r="AY169">
            <v>-0.66816107875700659</v>
          </cell>
          <cell r="AZ169">
            <v>-0.81497243089220295</v>
          </cell>
          <cell r="BA169">
            <v>-0.69742558737839266</v>
          </cell>
          <cell r="BB169">
            <v>-0.30621477077171977</v>
          </cell>
          <cell r="BC169">
            <v>-0.20452476397893538</v>
          </cell>
          <cell r="BD169">
            <v>-0.12214815832875203</v>
          </cell>
          <cell r="BE169">
            <v>-0.20589600742804082</v>
          </cell>
          <cell r="BF169">
            <v>-0.1492584223389094</v>
          </cell>
          <cell r="BG169">
            <v>-0.17819227325558762</v>
          </cell>
          <cell r="BH169">
            <v>-7.6755059782245727E-2</v>
          </cell>
          <cell r="BI169">
            <v>-0.26005004589636227</v>
          </cell>
          <cell r="BJ169">
            <v>-1.5010527294584963E-2</v>
          </cell>
          <cell r="BK169">
            <v>1.5505251503635655</v>
          </cell>
          <cell r="BL169">
            <v>3.0788571428571432</v>
          </cell>
          <cell r="BM169">
            <v>2.1220601760609643</v>
          </cell>
          <cell r="BN169">
            <v>0.34507701219421638</v>
          </cell>
          <cell r="BO169">
            <v>0.23205230345106664</v>
          </cell>
          <cell r="BP169">
            <v>0.21782979112033085</v>
          </cell>
          <cell r="BQ169">
            <v>0.3323271863045385</v>
          </cell>
          <cell r="BR169">
            <v>0.35965476607535263</v>
          </cell>
          <cell r="BS169">
            <v>0.50362375232617151</v>
          </cell>
          <cell r="BT169">
            <v>0.44027232146087014</v>
          </cell>
          <cell r="BU169">
            <v>0.65529517724229347</v>
          </cell>
          <cell r="BV169">
            <v>0.48346268737230358</v>
          </cell>
          <cell r="BW169">
            <v>0.31029142615796146</v>
          </cell>
          <cell r="BX169">
            <v>0.57965816755393673</v>
          </cell>
          <cell r="BY169">
            <v>0.29998076160015397</v>
          </cell>
          <cell r="BZ169">
            <v>0.27990834805653719</v>
          </cell>
          <cell r="CA169">
            <v>0.17940611945353968</v>
          </cell>
          <cell r="CB169">
            <v>0.11768423984658738</v>
          </cell>
          <cell r="CC169">
            <v>0.10492552333983585</v>
          </cell>
          <cell r="CD169">
            <v>6.0039632903742701E-2</v>
          </cell>
          <cell r="CE169">
            <v>1.7601418554622494E-2</v>
          </cell>
          <cell r="CF169">
            <v>2.8220803423869567E-2</v>
          </cell>
          <cell r="CG169">
            <v>0.13379873213048277</v>
          </cell>
          <cell r="CH169">
            <v>0.13073695789526307</v>
          </cell>
          <cell r="CI169">
            <v>0.15081390351348456</v>
          </cell>
          <cell r="CJ169">
            <v>6.3770442371137603E-2</v>
          </cell>
          <cell r="CK169">
            <v>8.3457043624642235E-2</v>
          </cell>
          <cell r="CL169">
            <v>0.12718653075486275</v>
          </cell>
          <cell r="CM169">
            <v>0.16407759385932841</v>
          </cell>
          <cell r="CN169">
            <v>0.21016889042251363</v>
          </cell>
          <cell r="CO169">
            <v>0.23734147162676655</v>
          </cell>
          <cell r="CP169">
            <v>0.25636504253673631</v>
          </cell>
          <cell r="CQ169">
            <v>0.38885670185618437</v>
          </cell>
          <cell r="CR169">
            <v>0.3615400774826445</v>
          </cell>
          <cell r="CS169">
            <v>0.14291405779582678</v>
          </cell>
        </row>
        <row r="171">
          <cell r="B171" t="str">
            <v>Mainland China % of Total</v>
          </cell>
          <cell r="C171">
            <v>2.0297518895387658E-3</v>
          </cell>
          <cell r="D171">
            <v>3.4678927680798005E-3</v>
          </cell>
          <cell r="E171">
            <v>3.4754064858927361E-2</v>
          </cell>
          <cell r="F171">
            <v>3.1313028160024507E-2</v>
          </cell>
          <cell r="G171">
            <v>7.0067720090293453E-2</v>
          </cell>
          <cell r="H171">
            <v>7.4124964728686932E-2</v>
          </cell>
          <cell r="I171">
            <v>7.5681389634878013E-2</v>
          </cell>
          <cell r="J171">
            <v>0.11755055047852055</v>
          </cell>
          <cell r="K171">
            <v>0.22101317857574659</v>
          </cell>
          <cell r="L171">
            <v>0.28298175225682654</v>
          </cell>
          <cell r="M171">
            <v>0.23644374597272025</v>
          </cell>
          <cell r="N171">
            <v>0.28380274555142115</v>
          </cell>
          <cell r="O171">
            <v>0.21877610784415041</v>
          </cell>
          <cell r="P171">
            <v>0.29894581579974838</v>
          </cell>
          <cell r="Q171">
            <v>0.23526910610187457</v>
          </cell>
          <cell r="R171">
            <v>0.22177095626073559</v>
          </cell>
          <cell r="S171">
            <v>0.21778208916128544</v>
          </cell>
          <cell r="T171">
            <v>0.22874995347837054</v>
          </cell>
          <cell r="U171">
            <v>0.25125855252376272</v>
          </cell>
          <cell r="V171">
            <v>0.26737281357202136</v>
          </cell>
          <cell r="W171">
            <v>0.25356765605213577</v>
          </cell>
          <cell r="X171">
            <v>0.26004389936567224</v>
          </cell>
          <cell r="Y171">
            <v>0.26920483894804254</v>
          </cell>
          <cell r="Z171">
            <v>0.2700904969455093</v>
          </cell>
          <cell r="AA171">
            <v>0.25556666159030317</v>
          </cell>
          <cell r="AB171">
            <v>0.30567943623886895</v>
          </cell>
          <cell r="AC171">
            <v>0.27088826744566047</v>
          </cell>
          <cell r="AD171">
            <v>0.26049882804326718</v>
          </cell>
          <cell r="AE171">
            <v>0.30811659367009336</v>
          </cell>
          <cell r="AF171">
            <v>0.31162977240127576</v>
          </cell>
          <cell r="AG171">
            <v>0.33010756703393646</v>
          </cell>
          <cell r="AH171">
            <v>0.34714858186623898</v>
          </cell>
          <cell r="AI171">
            <v>0.31820854392885828</v>
          </cell>
          <cell r="AJ171">
            <v>0.34758419493513087</v>
          </cell>
          <cell r="AK171">
            <v>0.320390810769759</v>
          </cell>
          <cell r="AL171">
            <v>0.31604666400685855</v>
          </cell>
          <cell r="AM171">
            <v>0.35679597056088252</v>
          </cell>
          <cell r="AN171">
            <v>0.37838579872624428</v>
          </cell>
          <cell r="AO171">
            <v>0.32938203484530587</v>
          </cell>
          <cell r="AP171">
            <v>0.34341296061741405</v>
          </cell>
          <cell r="AQ171">
            <v>0.34836691354163579</v>
          </cell>
          <cell r="AR171">
            <v>0.38181092551933415</v>
          </cell>
          <cell r="AS171">
            <v>0.39301845173488326</v>
          </cell>
          <cell r="AT171">
            <v>0.44361974766670953</v>
          </cell>
          <cell r="AU171">
            <v>0.43975244391307405</v>
          </cell>
          <cell r="AV171">
            <v>0.47357561134223314</v>
          </cell>
          <cell r="AW171">
            <v>0.39722059387942543</v>
          </cell>
          <cell r="AX171">
            <v>0.47318503656775129</v>
          </cell>
          <cell r="AY171">
            <v>0.45192881122988016</v>
          </cell>
          <cell r="AZ171">
            <v>0.45344335163619542</v>
          </cell>
          <cell r="BA171">
            <v>0.45091501497341807</v>
          </cell>
          <cell r="BB171">
            <v>0.42905575807597957</v>
          </cell>
          <cell r="BC171">
            <v>0.46073829640699521</v>
          </cell>
          <cell r="BD171">
            <v>0.49804804564816074</v>
          </cell>
          <cell r="BE171">
            <v>0.53022442901839317</v>
          </cell>
          <cell r="BF171">
            <v>0.56977594500295781</v>
          </cell>
          <cell r="BG171">
            <v>0.55622946986679223</v>
          </cell>
          <cell r="BH171">
            <v>0.55323710857933672</v>
          </cell>
          <cell r="BI171">
            <v>0.59408645478128774</v>
          </cell>
          <cell r="BJ171">
            <v>0.60581245261046968</v>
          </cell>
          <cell r="BK171">
            <v>0.53873568358000146</v>
          </cell>
          <cell r="BL171">
            <v>0.61213926045568368</v>
          </cell>
          <cell r="BM171">
            <v>0.5640749866424758</v>
          </cell>
          <cell r="BN171">
            <v>0.56653693995891008</v>
          </cell>
          <cell r="BO171">
            <v>0.55293873335669563</v>
          </cell>
          <cell r="BP171">
            <v>0.560072217175413</v>
          </cell>
          <cell r="BQ171">
            <v>0.58085348975720863</v>
          </cell>
          <cell r="BR171">
            <v>0.58727394719510972</v>
          </cell>
          <cell r="BS171">
            <v>0.55270475144263509</v>
          </cell>
          <cell r="BT171">
            <v>0.58897390467940458</v>
          </cell>
          <cell r="BU171">
            <v>0.54665865400403257</v>
          </cell>
          <cell r="BV171">
            <v>0.53964173352389733</v>
          </cell>
          <cell r="BW171">
            <v>0.55612000332063105</v>
          </cell>
          <cell r="BX171">
            <v>0.56633305922441468</v>
          </cell>
          <cell r="BY171">
            <v>0.56033773528949982</v>
          </cell>
          <cell r="BZ171">
            <v>0.54827990711546448</v>
          </cell>
          <cell r="CA171">
            <v>0.54276209627367744</v>
          </cell>
          <cell r="CB171">
            <v>0.54848777802625015</v>
          </cell>
          <cell r="CC171">
            <v>0.57867798173023577</v>
          </cell>
          <cell r="CD171">
            <v>0.58180019917924197</v>
          </cell>
          <cell r="CE171">
            <v>0.55473217712531186</v>
          </cell>
          <cell r="CF171">
            <v>0.55840309908612829</v>
          </cell>
          <cell r="CG171">
            <v>0.56725872443382641</v>
          </cell>
          <cell r="CH171">
            <v>0.57580491852204918</v>
          </cell>
          <cell r="CI171">
            <v>0.5293581719433208</v>
          </cell>
          <cell r="CJ171">
            <v>0.57447039079638351</v>
          </cell>
          <cell r="CK171">
            <v>0.54910447321935663</v>
          </cell>
          <cell r="CL171">
            <v>0.52730700769261496</v>
          </cell>
          <cell r="CM171">
            <v>0.53008646669541781</v>
          </cell>
          <cell r="CN171">
            <v>0.52457166905970476</v>
          </cell>
          <cell r="CO171">
            <v>0.53356219733564914</v>
          </cell>
          <cell r="CP171">
            <v>0.54843215190120143</v>
          </cell>
          <cell r="CQ171">
            <v>0.52825651654686701</v>
          </cell>
          <cell r="CR171">
            <v>0.56689628246078028</v>
          </cell>
          <cell r="CS171">
            <v>0.57074914876268101</v>
          </cell>
        </row>
        <row r="172">
          <cell r="B172" t="str">
            <v>Hong Kong % of Total</v>
          </cell>
          <cell r="C172">
            <v>0.82277061132922047</v>
          </cell>
          <cell r="D172">
            <v>0.80051174147963422</v>
          </cell>
          <cell r="E172">
            <v>0.77501181459389723</v>
          </cell>
          <cell r="F172">
            <v>0.77719625213817045</v>
          </cell>
          <cell r="G172">
            <v>0.72460496613995484</v>
          </cell>
          <cell r="H172">
            <v>0.63863772987694911</v>
          </cell>
          <cell r="I172">
            <v>0.67174732872407295</v>
          </cell>
          <cell r="J172">
            <v>0.67954234726919482</v>
          </cell>
          <cell r="K172">
            <v>0.56822364620696142</v>
          </cell>
          <cell r="L172">
            <v>0.52817061546416799</v>
          </cell>
          <cell r="M172">
            <v>0.59273810753513267</v>
          </cell>
          <cell r="N172">
            <v>0.52110793589549642</v>
          </cell>
          <cell r="O172">
            <v>0.57778223240977189</v>
          </cell>
          <cell r="P172">
            <v>0.4812074313478808</v>
          </cell>
          <cell r="Q172">
            <v>0.52627435635144626</v>
          </cell>
          <cell r="R172">
            <v>0.56720044421861493</v>
          </cell>
          <cell r="S172">
            <v>0.58728109801170736</v>
          </cell>
          <cell r="T172">
            <v>0.53677552038750109</v>
          </cell>
          <cell r="U172">
            <v>0.51587722263192393</v>
          </cell>
          <cell r="V172">
            <v>0.49271862912521003</v>
          </cell>
          <cell r="W172">
            <v>0.53674645581740121</v>
          </cell>
          <cell r="X172">
            <v>0.57039254252751048</v>
          </cell>
          <cell r="Y172">
            <v>0.52386186900497544</v>
          </cell>
          <cell r="Z172">
            <v>0.52008145308570664</v>
          </cell>
          <cell r="AA172">
            <v>0.53512021329306558</v>
          </cell>
          <cell r="AB172">
            <v>0.46652789868640543</v>
          </cell>
          <cell r="AC172">
            <v>0.50026567945337386</v>
          </cell>
          <cell r="AD172">
            <v>0.52770143667554548</v>
          </cell>
          <cell r="AE172">
            <v>0.51230046734859958</v>
          </cell>
          <cell r="AF172">
            <v>0.48536555147251353</v>
          </cell>
          <cell r="AG172">
            <v>0.47064136464734396</v>
          </cell>
          <cell r="AH172">
            <v>0.4581764017966557</v>
          </cell>
          <cell r="AI172">
            <v>0.4879622192737616</v>
          </cell>
          <cell r="AJ172">
            <v>0.46427795734508837</v>
          </cell>
          <cell r="AK172">
            <v>0.51548064611708277</v>
          </cell>
          <cell r="AL172">
            <v>0.48351040502349557</v>
          </cell>
          <cell r="AM172">
            <v>0.44135426354103197</v>
          </cell>
          <cell r="AN172">
            <v>0.42109414089332509</v>
          </cell>
          <cell r="AO172">
            <v>0.4665086301830364</v>
          </cell>
          <cell r="AP172">
            <v>0.46557800393461723</v>
          </cell>
          <cell r="AQ172">
            <v>0.4729547437829657</v>
          </cell>
          <cell r="AR172">
            <v>0.42076183326587513</v>
          </cell>
          <cell r="AS172">
            <v>0.40291059177776362</v>
          </cell>
          <cell r="AT172">
            <v>0.37242934338918476</v>
          </cell>
          <cell r="AU172">
            <v>0.39163091637949221</v>
          </cell>
          <cell r="AV172">
            <v>0.37477525113627963</v>
          </cell>
          <cell r="AW172">
            <v>0.45092599134252037</v>
          </cell>
          <cell r="AX172">
            <v>0.37013661395526953</v>
          </cell>
          <cell r="AY172">
            <v>0.44690357911561968</v>
          </cell>
          <cell r="AZ172">
            <v>0.48789362886086474</v>
          </cell>
          <cell r="BA172">
            <v>0.48377685623189615</v>
          </cell>
          <cell r="BB172">
            <v>0.4423112929973787</v>
          </cell>
          <cell r="BC172">
            <v>0.41506261627418445</v>
          </cell>
          <cell r="BD172">
            <v>0.34881843827668602</v>
          </cell>
          <cell r="BE172">
            <v>0.32865799033485449</v>
          </cell>
          <cell r="BF172">
            <v>0.29483988803286576</v>
          </cell>
          <cell r="BG172">
            <v>0.32296055761844733</v>
          </cell>
          <cell r="BH172">
            <v>0.3431419808665026</v>
          </cell>
          <cell r="BI172">
            <v>0.29993904025774176</v>
          </cell>
          <cell r="BJ172">
            <v>0.28071970111408912</v>
          </cell>
          <cell r="BK172">
            <v>0.33547904390442584</v>
          </cell>
          <cell r="BL172">
            <v>0.28031312056844448</v>
          </cell>
          <cell r="BM172">
            <v>0.30805103150838159</v>
          </cell>
          <cell r="BN172">
            <v>0.3146158101226203</v>
          </cell>
          <cell r="BO172">
            <v>0.32663182102765587</v>
          </cell>
          <cell r="BP172">
            <v>0.29777325299388319</v>
          </cell>
          <cell r="BQ172">
            <v>0.28024192346245502</v>
          </cell>
          <cell r="BR172">
            <v>0.26598232687445261</v>
          </cell>
          <cell r="BS172">
            <v>0.30095850769427335</v>
          </cell>
          <cell r="BT172">
            <v>0.26897710139363895</v>
          </cell>
          <cell r="BU172">
            <v>0.32539160246684923</v>
          </cell>
          <cell r="BV172">
            <v>0.31684880491952672</v>
          </cell>
          <cell r="BW172">
            <v>0.29433912747741836</v>
          </cell>
          <cell r="BX172">
            <v>0.28718625246340773</v>
          </cell>
          <cell r="BY172">
            <v>0.2887762329257017</v>
          </cell>
          <cell r="BZ172">
            <v>0.31255117894681234</v>
          </cell>
          <cell r="CA172">
            <v>0.32455834968647579</v>
          </cell>
          <cell r="CB172">
            <v>0.3079407565410352</v>
          </cell>
          <cell r="CC172">
            <v>0.28207051717847131</v>
          </cell>
          <cell r="CD172">
            <v>0.27727021049596129</v>
          </cell>
          <cell r="CE172">
            <v>0.30967184801381692</v>
          </cell>
          <cell r="CF172">
            <v>0.31839245741374861</v>
          </cell>
          <cell r="CG172">
            <v>0.30822593501645501</v>
          </cell>
          <cell r="CH172">
            <v>0.28696270037110411</v>
          </cell>
          <cell r="CI172">
            <v>0.33320233928634441</v>
          </cell>
          <cell r="CJ172">
            <v>0.28500751249886508</v>
          </cell>
          <cell r="CK172">
            <v>0.30419669967244689</v>
          </cell>
          <cell r="CL172">
            <v>0.3277068416777269</v>
          </cell>
          <cell r="CM172">
            <v>0.33074330352614106</v>
          </cell>
          <cell r="CN172">
            <v>0.33104036257528635</v>
          </cell>
          <cell r="CO172">
            <v>0.32238263809736317</v>
          </cell>
          <cell r="CP172">
            <v>0.30574999884590703</v>
          </cell>
          <cell r="CQ172">
            <v>0.32655390844863674</v>
          </cell>
          <cell r="CR172">
            <v>0.2964059667406983</v>
          </cell>
          <cell r="CS172">
            <v>0.31288796578364769</v>
          </cell>
        </row>
        <row r="174">
          <cell r="B174" t="str">
            <v>Total Package %</v>
          </cell>
          <cell r="L174">
            <v>0.16545388847009276</v>
          </cell>
          <cell r="M174">
            <v>0.15976925839026862</v>
          </cell>
          <cell r="N174">
            <v>0.19897822517629848</v>
          </cell>
          <cell r="O174">
            <v>0.17202695854743583</v>
          </cell>
          <cell r="P174">
            <v>0.21456227495553337</v>
          </cell>
          <cell r="Q174">
            <v>0.18501121532185508</v>
          </cell>
          <cell r="R174">
            <v>0.16039970243954771</v>
          </cell>
          <cell r="S174">
            <v>0.14623729430594001</v>
          </cell>
          <cell r="T174">
            <v>0.14787813125026708</v>
          </cell>
          <cell r="U174">
            <v>0.13545379588659456</v>
          </cell>
          <cell r="V174">
            <v>0.14702202800979508</v>
          </cell>
          <cell r="W174">
            <v>0.13492293912345182</v>
          </cell>
          <cell r="X174">
            <v>0.12430814464208693</v>
          </cell>
          <cell r="Y174">
            <v>0.13623510700437025</v>
          </cell>
          <cell r="Z174">
            <v>0.15367093186764458</v>
          </cell>
          <cell r="AA174">
            <v>0.14122943804655813</v>
          </cell>
          <cell r="AB174">
            <v>0.17712006186198745</v>
          </cell>
          <cell r="AC174">
            <v>0.15738077478614676</v>
          </cell>
          <cell r="AD174">
            <v>0.14607611958895705</v>
          </cell>
          <cell r="AE174">
            <v>0.13796683937627482</v>
          </cell>
          <cell r="AF174">
            <v>0.1566623622292643</v>
          </cell>
          <cell r="AG174">
            <v>0.16135055090471601</v>
          </cell>
          <cell r="AH174">
            <v>0.20307539163418514</v>
          </cell>
          <cell r="AI174">
            <v>0.19948369890793555</v>
          </cell>
          <cell r="AJ174">
            <v>0.18664833152338053</v>
          </cell>
          <cell r="AK174">
            <v>0.19635524245435496</v>
          </cell>
          <cell r="AL174">
            <v>0.19700011146193264</v>
          </cell>
          <cell r="AM174">
            <v>0.2066630856556457</v>
          </cell>
          <cell r="AN174">
            <v>0.22633015035744874</v>
          </cell>
          <cell r="AO174">
            <v>0.15937148619982147</v>
          </cell>
          <cell r="AP174">
            <v>0.17245886022070467</v>
          </cell>
          <cell r="AQ174">
            <v>0.17304075009728509</v>
          </cell>
          <cell r="AR174">
            <v>0.1701213569731079</v>
          </cell>
          <cell r="AS174">
            <v>0.14862204116267144</v>
          </cell>
          <cell r="AT174">
            <v>0.18545908729790858</v>
          </cell>
          <cell r="AU174">
            <v>0.16769111751881285</v>
          </cell>
          <cell r="AV174">
            <v>0.14826587575325689</v>
          </cell>
          <cell r="AW174">
            <v>0.15801236946472183</v>
          </cell>
          <cell r="AX174">
            <v>0.18634151823808789</v>
          </cell>
          <cell r="AY174">
            <v>9.1354784414515056E-2</v>
          </cell>
          <cell r="AZ174">
            <v>7.8558163545794021E-3</v>
          </cell>
          <cell r="BA174">
            <v>3.1021882151906339E-2</v>
          </cell>
          <cell r="BB174">
            <v>9.2176406752718737E-2</v>
          </cell>
          <cell r="BC174">
            <v>0.17115559949771908</v>
          </cell>
          <cell r="BD174">
            <v>0.14208909063301658</v>
          </cell>
          <cell r="BE174">
            <v>0.11694395596610653</v>
          </cell>
          <cell r="BF174">
            <v>0.15466365880033736</v>
          </cell>
          <cell r="BG174">
            <v>0.15473323294108413</v>
          </cell>
          <cell r="BH174">
            <v>0.11903371414905715</v>
          </cell>
          <cell r="BI174">
            <v>0.1096392930110601</v>
          </cell>
          <cell r="BJ174">
            <v>0.20144653313307631</v>
          </cell>
          <cell r="BK174">
            <v>0.17534469349837892</v>
          </cell>
          <cell r="BL174">
            <v>0.14233862583734364</v>
          </cell>
          <cell r="BM174">
            <v>0.14459798656944184</v>
          </cell>
          <cell r="BN174">
            <v>0.15618386939926102</v>
          </cell>
          <cell r="BO174">
            <v>0.14033311639790777</v>
          </cell>
          <cell r="BP174">
            <v>0.13831142476628788</v>
          </cell>
          <cell r="BQ174">
            <v>0.13493745540455399</v>
          </cell>
          <cell r="BR174">
            <v>0.18651100823710093</v>
          </cell>
          <cell r="BS174">
            <v>0.14518355481618175</v>
          </cell>
          <cell r="BT174">
            <v>0.1304302220788775</v>
          </cell>
          <cell r="BU174">
            <v>0.12457128971029627</v>
          </cell>
          <cell r="BV174">
            <v>0.13771034831861595</v>
          </cell>
          <cell r="BW174">
            <v>0.15514510354209568</v>
          </cell>
          <cell r="BX174">
            <v>0.1398734941872021</v>
          </cell>
          <cell r="BY174">
            <v>0.14997958934459119</v>
          </cell>
          <cell r="BZ174">
            <v>0.14602239026393329</v>
          </cell>
          <cell r="CA174">
            <v>0.1473584118082101</v>
          </cell>
          <cell r="CB174">
            <v>0.13372026215746649</v>
          </cell>
          <cell r="CC174">
            <v>0.12954257064250735</v>
          </cell>
          <cell r="CD174">
            <v>0.18011396440807703</v>
          </cell>
          <cell r="CE174">
            <v>0.1446129581654193</v>
          </cell>
          <cell r="CF174">
            <v>0.12101892809226956</v>
          </cell>
          <cell r="CG174">
            <v>0.13536359464825479</v>
          </cell>
          <cell r="CH174">
            <v>0.16174169015374312</v>
          </cell>
          <cell r="CI174">
            <v>0.14596586455536342</v>
          </cell>
          <cell r="CJ174">
            <v>0.13993164065360206</v>
          </cell>
          <cell r="CK174">
            <v>0.13023789083609008</v>
          </cell>
          <cell r="CL174">
            <v>0.12608642095871378</v>
          </cell>
          <cell r="CM174">
            <v>0.12172914662714339</v>
          </cell>
          <cell r="CN174">
            <v>0.10504036143166004</v>
          </cell>
          <cell r="CO174">
            <v>0.10856817775204691</v>
          </cell>
          <cell r="CP174">
            <v>0.14855792238647958</v>
          </cell>
          <cell r="CQ174">
            <v>0.14938668474102335</v>
          </cell>
          <cell r="CR174">
            <v>0.1606906720136867</v>
          </cell>
          <cell r="CS174">
            <v>0.18073057756918795</v>
          </cell>
        </row>
        <row r="175">
          <cell r="B175" t="str">
            <v>Mainland China Package %</v>
          </cell>
          <cell r="L175">
            <v>0.39365619272493108</v>
          </cell>
          <cell r="M175">
            <v>0.4576990487681834</v>
          </cell>
          <cell r="N175">
            <v>0.49698996982634253</v>
          </cell>
          <cell r="O175">
            <v>0.51544003824439988</v>
          </cell>
          <cell r="P175">
            <v>0.50270280075460749</v>
          </cell>
          <cell r="Q175">
            <v>0.46564210691741531</v>
          </cell>
          <cell r="R175">
            <v>0.44569487488902948</v>
          </cell>
          <cell r="S175">
            <v>0.40467138255799728</v>
          </cell>
          <cell r="T175">
            <v>0.34930190236877151</v>
          </cell>
          <cell r="U175">
            <v>0.30182372214607101</v>
          </cell>
          <cell r="V175">
            <v>0.32366161603248222</v>
          </cell>
          <cell r="W175">
            <v>0.33619496794059756</v>
          </cell>
          <cell r="X175">
            <v>0.31226906226797679</v>
          </cell>
          <cell r="Y175">
            <v>0.30702790877625924</v>
          </cell>
          <cell r="Z175">
            <v>0.33727802981205446</v>
          </cell>
          <cell r="AA175">
            <v>0.32758700277384944</v>
          </cell>
          <cell r="AB175">
            <v>0.32914237075103214</v>
          </cell>
          <cell r="AC175">
            <v>0.31235035178841125</v>
          </cell>
          <cell r="AD175">
            <v>0.31682234556202338</v>
          </cell>
          <cell r="AE175">
            <v>0.26828728330453283</v>
          </cell>
          <cell r="AF175">
            <v>0.29279569143245937</v>
          </cell>
          <cell r="AG175">
            <v>0.32414356262394523</v>
          </cell>
          <cell r="AH175">
            <v>0.39506220444562851</v>
          </cell>
          <cell r="AI175">
            <v>0.41111850981567927</v>
          </cell>
          <cell r="AJ175">
            <v>0.37325711665810091</v>
          </cell>
          <cell r="AK175">
            <v>0.4403490848874555</v>
          </cell>
          <cell r="AL175">
            <v>0.36887555826562729</v>
          </cell>
          <cell r="AM175">
            <v>0.37913552471554446</v>
          </cell>
          <cell r="AN175">
            <v>0.40868074329529824</v>
          </cell>
          <cell r="AO175">
            <v>0.2979644410659234</v>
          </cell>
          <cell r="AP175">
            <v>0.3448451761738956</v>
          </cell>
          <cell r="AQ175">
            <v>0.35683162595354861</v>
          </cell>
          <cell r="AR175">
            <v>0.29127567654000019</v>
          </cell>
          <cell r="AS175">
            <v>0.23754749115681909</v>
          </cell>
          <cell r="AT175">
            <v>0.29753863715008605</v>
          </cell>
          <cell r="AU175">
            <v>0.28748749901378146</v>
          </cell>
          <cell r="AV175">
            <v>0.23708076659822039</v>
          </cell>
          <cell r="AW175">
            <v>0.3092107793181687</v>
          </cell>
          <cell r="AX175">
            <v>0.32466407160607857</v>
          </cell>
          <cell r="AY175">
            <v>0.18984238413257684</v>
          </cell>
          <cell r="AZ175">
            <v>5.6923821880186442E-3</v>
          </cell>
          <cell r="BA175">
            <v>5.2385910446462798E-2</v>
          </cell>
          <cell r="BB175">
            <v>0.17334945306464145</v>
          </cell>
          <cell r="BC175">
            <v>0.31524799727288222</v>
          </cell>
          <cell r="BD175">
            <v>0.23636400104298294</v>
          </cell>
          <cell r="BE175">
            <v>0.17629360280749229</v>
          </cell>
          <cell r="BF175">
            <v>0.22496734657430376</v>
          </cell>
          <cell r="BG175">
            <v>0.23526230156338876</v>
          </cell>
          <cell r="BH175">
            <v>0.17764967653985728</v>
          </cell>
          <cell r="BI175">
            <v>0.15245068765971378</v>
          </cell>
          <cell r="BJ175">
            <v>0.30128228606358515</v>
          </cell>
          <cell r="BK175">
            <v>0.28860282032739465</v>
          </cell>
          <cell r="BL175">
            <v>0.19965270299706731</v>
          </cell>
          <cell r="BM175">
            <v>0.21002304665619051</v>
          </cell>
          <cell r="BN175">
            <v>0.23370053058477833</v>
          </cell>
          <cell r="BO175">
            <v>0.20225764013006189</v>
          </cell>
          <cell r="BP175">
            <v>0.18081060907846275</v>
          </cell>
          <cell r="BQ175">
            <v>0.17858617472414917</v>
          </cell>
          <cell r="BR175">
            <v>0.25848471972008885</v>
          </cell>
          <cell r="BS175">
            <v>0.21193525478177563</v>
          </cell>
          <cell r="BT175">
            <v>0.17587238357618204</v>
          </cell>
          <cell r="BU175">
            <v>0.1729059263255148</v>
          </cell>
          <cell r="BV175">
            <v>0.19214473682620001</v>
          </cell>
          <cell r="BW175">
            <v>0.21431443457826915</v>
          </cell>
          <cell r="BX175">
            <v>0.17992198548209692</v>
          </cell>
          <cell r="BY175">
            <v>0.20850404604697848</v>
          </cell>
          <cell r="BZ175">
            <v>0.2123919967852243</v>
          </cell>
          <cell r="CA175">
            <v>0.21182650096956843</v>
          </cell>
          <cell r="CB175">
            <v>0.18898148485004346</v>
          </cell>
          <cell r="CC175">
            <v>0.17513934737852418</v>
          </cell>
          <cell r="CD175">
            <v>0.25692193394509555</v>
          </cell>
          <cell r="CE175">
            <v>0.21514723354021018</v>
          </cell>
          <cell r="CF175">
            <v>0.17448559759498214</v>
          </cell>
          <cell r="CG175">
            <v>0.19464659263123898</v>
          </cell>
          <cell r="CH175">
            <v>0.24110308777584141</v>
          </cell>
          <cell r="CI175">
            <v>0.22953823280468172</v>
          </cell>
          <cell r="CJ175">
            <v>0.19725403024339508</v>
          </cell>
          <cell r="CK175">
            <v>0.18585018405411693</v>
          </cell>
          <cell r="CL175">
            <v>0.19475597103346387</v>
          </cell>
          <cell r="CM175">
            <v>0.17499791453008229</v>
          </cell>
          <cell r="CN175">
            <v>0.15284782909646244</v>
          </cell>
          <cell r="CO175">
            <v>0.14569505235486208</v>
          </cell>
          <cell r="CP175">
            <v>0.2006183981878277</v>
          </cell>
          <cell r="CQ175">
            <v>0.19976369166137889</v>
          </cell>
          <cell r="CR175">
            <v>0.20739680040146397</v>
          </cell>
          <cell r="CS175">
            <v>0.22951719949541041</v>
          </cell>
        </row>
        <row r="177">
          <cell r="B177" t="str">
            <v>Total Package % Change</v>
          </cell>
          <cell r="X177">
            <v>3.6383319213028287E-2</v>
          </cell>
          <cell r="Y177">
            <v>-0.25500865884163937</v>
          </cell>
          <cell r="Z177">
            <v>-8.1469804556170922E-2</v>
          </cell>
          <cell r="AA177">
            <v>-4.6893207396952907E-2</v>
          </cell>
          <cell r="AB177">
            <v>-7.9554932140420087E-2</v>
          </cell>
          <cell r="AC177">
            <v>5.0644084168103065E-2</v>
          </cell>
          <cell r="AD177">
            <v>-8.6633445052037406E-2</v>
          </cell>
          <cell r="AE177">
            <v>0.10528552779380074</v>
          </cell>
          <cell r="AF177">
            <v>0.14328725496593053</v>
          </cell>
          <cell r="AG177">
            <v>0.3069368696654915</v>
          </cell>
          <cell r="AH177">
            <v>0.55191109457825727</v>
          </cell>
          <cell r="AI177">
            <v>0.6465250434941856</v>
          </cell>
          <cell r="AJ177">
            <v>0.31915164176393107</v>
          </cell>
          <cell r="AK177">
            <v>0.89650078001508371</v>
          </cell>
          <cell r="AL177">
            <v>0.43609799067478705</v>
          </cell>
          <cell r="AM177">
            <v>0.56599790410521988</v>
          </cell>
          <cell r="AN177">
            <v>0.46563287272527587</v>
          </cell>
          <cell r="AO177">
            <v>8.9637408361402882E-2</v>
          </cell>
          <cell r="AP177">
            <v>0.4101425134184713</v>
          </cell>
          <cell r="AQ177">
            <v>0.32216332024061312</v>
          </cell>
          <cell r="AR177">
            <v>0.2268105957457216</v>
          </cell>
          <cell r="AS177">
            <v>4.3776668836334798E-2</v>
          </cell>
          <cell r="AT177">
            <v>0.11490498990274278</v>
          </cell>
          <cell r="AU177">
            <v>-5.4889137289577672E-3</v>
          </cell>
          <cell r="AV177">
            <v>7.835738680180615E-3</v>
          </cell>
          <cell r="AW177">
            <v>-9.8399503181382353E-2</v>
          </cell>
          <cell r="AX177">
            <v>-5.3131973307105729E-2</v>
          </cell>
          <cell r="AY177">
            <v>-0.70732712636989625</v>
          </cell>
          <cell r="AZ177">
            <v>-0.97804776379450042</v>
          </cell>
          <cell r="BA177">
            <v>-0.81592901043750232</v>
          </cell>
          <cell r="BB177">
            <v>-0.44936856942312409</v>
          </cell>
          <cell r="BC177">
            <v>0.13193867375768664</v>
          </cell>
          <cell r="BD177">
            <v>-5.4721144133127786E-2</v>
          </cell>
          <cell r="BE177">
            <v>-9.6408749818116313E-2</v>
          </cell>
          <cell r="BF177">
            <v>-3.6011437662588963E-2</v>
          </cell>
          <cell r="BG177">
            <v>5.8379466532461066E-2</v>
          </cell>
          <cell r="BH177">
            <v>8.4771469563435176E-2</v>
          </cell>
          <cell r="BI177">
            <v>-0.26430017220023561</v>
          </cell>
          <cell r="BJ177">
            <v>0.47034054482704701</v>
          </cell>
          <cell r="BK177">
            <v>2.9373374202634412</v>
          </cell>
          <cell r="BL177">
            <v>39.311926605504588</v>
          </cell>
          <cell r="BM177">
            <v>6.4322519461018688</v>
          </cell>
          <cell r="BN177">
            <v>1.4667585577929549</v>
          </cell>
          <cell r="BO177">
            <v>4.1798961220107511E-2</v>
          </cell>
          <cell r="BP177">
            <v>0.27700755072484151</v>
          </cell>
          <cell r="BQ177">
            <v>0.5618170525040449</v>
          </cell>
          <cell r="BR177">
            <v>0.5127012801641464</v>
          </cell>
          <cell r="BS177">
            <v>0.16472235430865956</v>
          </cell>
          <cell r="BT177">
            <v>0.15123001927219137</v>
          </cell>
          <cell r="BU177">
            <v>0.5577191570440696</v>
          </cell>
          <cell r="BV177">
            <v>-0.19818221871106922</v>
          </cell>
          <cell r="BW177">
            <v>-2.4823470993696306E-2</v>
          </cell>
          <cell r="BX177">
            <v>0.13971483312339239</v>
          </cell>
          <cell r="BY177">
            <v>0.14272042873548552</v>
          </cell>
          <cell r="BZ177">
            <v>2.190152088059838E-2</v>
          </cell>
          <cell r="CA177">
            <v>0.12410485426631079</v>
          </cell>
          <cell r="CB177">
            <v>6.9918905080957217E-2</v>
          </cell>
          <cell r="CC177">
            <v>5.8107278752915104E-2</v>
          </cell>
          <cell r="CD177">
            <v>6.591450244373509E-2</v>
          </cell>
          <cell r="CE177">
            <v>9.3891048642077202E-2</v>
          </cell>
          <cell r="CF177">
            <v>9.9950763170851831E-2</v>
          </cell>
          <cell r="CG177">
            <v>0.26600798224293642</v>
          </cell>
          <cell r="CH177">
            <v>0.38880388803888044</v>
          </cell>
          <cell r="CI177">
            <v>0.17805807395388773</v>
          </cell>
          <cell r="CJ177">
            <v>0.10933872016346236</v>
          </cell>
          <cell r="CK177">
            <v>-3.2303240094541552E-2</v>
          </cell>
          <cell r="CL177">
            <v>-6.5755880164286906E-2</v>
          </cell>
          <cell r="CM177">
            <v>-8.3232446706394403E-2</v>
          </cell>
          <cell r="CN177">
            <v>-5.4759981269842939E-2</v>
          </cell>
          <cell r="CO177">
            <v>2.4221613846224788E-3</v>
          </cell>
          <cell r="CP177">
            <v>1.5111224839119419E-3</v>
          </cell>
          <cell r="CQ177">
            <v>0.3399033776358622</v>
          </cell>
          <cell r="CR177">
            <v>0.62941907888192583</v>
          </cell>
          <cell r="CS177">
            <v>0.63287038001041118</v>
          </cell>
        </row>
        <row r="178">
          <cell r="B178" t="str">
            <v>Mainland China Package % Change</v>
          </cell>
          <cell r="X178">
            <v>5.5366805083678639E-3</v>
          </cell>
          <cell r="Y178">
            <v>-0.33271973183341852</v>
          </cell>
          <cell r="Z178">
            <v>-0.23185995709759311</v>
          </cell>
          <cell r="AA178">
            <v>-0.13808256688270826</v>
          </cell>
          <cell r="AB178">
            <v>-0.25350016237866702</v>
          </cell>
          <cell r="AC178">
            <v>-4.6068821982534369E-2</v>
          </cell>
          <cell r="AD178">
            <v>-0.1625696258393865</v>
          </cell>
          <cell r="AE178">
            <v>9.8875357354256233E-2</v>
          </cell>
          <cell r="AF178">
            <v>0.23235634067659183</v>
          </cell>
          <cell r="AG178">
            <v>0.54808211777417615</v>
          </cell>
          <cell r="AH178">
            <v>0.78059185059959235</v>
          </cell>
          <cell r="AI178">
            <v>0.70899394220457368</v>
          </cell>
          <cell r="AJ178">
            <v>0.40366245359362618</v>
          </cell>
          <cell r="AK178">
            <v>1.2460322866289761</v>
          </cell>
          <cell r="AL178">
            <v>0.4336497444371854</v>
          </cell>
          <cell r="AM178">
            <v>0.72916746730205095</v>
          </cell>
          <cell r="AN178">
            <v>0.76286691399499706</v>
          </cell>
          <cell r="AO178">
            <v>0.24811675388811083</v>
          </cell>
          <cell r="AP178">
            <v>0.71386250017803476</v>
          </cell>
          <cell r="AQ178">
            <v>0.58524537557017453</v>
          </cell>
          <cell r="AR178">
            <v>0.37699479254157575</v>
          </cell>
          <cell r="AS178">
            <v>-1.1298202756935938E-2</v>
          </cell>
          <cell r="AT178">
            <v>0.17495275024623114</v>
          </cell>
          <cell r="AU178">
            <v>0.14328720192666466</v>
          </cell>
          <cell r="AV178">
            <v>9.79692917285786E-2</v>
          </cell>
          <cell r="AW178">
            <v>-2.4617880754533861E-2</v>
          </cell>
          <cell r="AX178">
            <v>0.31910825179823976</v>
          </cell>
          <cell r="AY178">
            <v>-0.58008356545961004</v>
          </cell>
          <cell r="AZ178">
            <v>-0.98944330575339834</v>
          </cell>
          <cell r="BA178">
            <v>-0.77239978267545417</v>
          </cell>
          <cell r="BB178">
            <v>-0.35297344014892129</v>
          </cell>
          <cell r="BC178">
            <v>0.33716987543287624</v>
          </cell>
          <cell r="BD178">
            <v>0.19800339544766032</v>
          </cell>
          <cell r="BE178">
            <v>0.14976836532097959</v>
          </cell>
          <cell r="BF178">
            <v>0.12253806186563554</v>
          </cell>
          <cell r="BG178">
            <v>0.18726311182975941</v>
          </cell>
          <cell r="BH178">
            <v>0.18276795380728972</v>
          </cell>
          <cell r="BI178">
            <v>-0.21815948821988507</v>
          </cell>
          <cell r="BJ178">
            <v>0.61589942287370958</v>
          </cell>
          <cell r="BK178">
            <v>2.717529374404573</v>
          </cell>
          <cell r="BL178">
            <v>104.34415584415585</v>
          </cell>
          <cell r="BM178">
            <v>6.9968863518422415</v>
          </cell>
          <cell r="BN178">
            <v>1.5915641295692158</v>
          </cell>
          <cell r="BO178">
            <v>-2.1659205432643436E-2</v>
          </cell>
          <cell r="BP178">
            <v>0.12852584773089837</v>
          </cell>
          <cell r="BQ178">
            <v>0.5020817744008903</v>
          </cell>
          <cell r="BR178">
            <v>0.48555589940931898</v>
          </cell>
          <cell r="BS178">
            <v>0.11116525476672412</v>
          </cell>
          <cell r="BT178">
            <v>0.1073166638697769</v>
          </cell>
          <cell r="BU178">
            <v>0.4308183291411074</v>
          </cell>
          <cell r="BV178">
            <v>-0.33366729266575001</v>
          </cell>
          <cell r="BW178">
            <v>-0.15514647607929122</v>
          </cell>
          <cell r="BX178">
            <v>-3.3027183628182244E-2</v>
          </cell>
          <cell r="BY178">
            <v>8.6502271252433482E-2</v>
          </cell>
          <cell r="BZ178">
            <v>-3.8657111421689594E-2</v>
          </cell>
          <cell r="CA178">
            <v>0.10052500690798571</v>
          </cell>
          <cell r="CB178">
            <v>0.13273930370704567</v>
          </cell>
          <cell r="CC178">
            <v>7.6851840024525053E-2</v>
          </cell>
          <cell r="CD178">
            <v>8.6873233823635987E-2</v>
          </cell>
          <cell r="CE178">
            <v>0.11894052692536916</v>
          </cell>
          <cell r="CF178">
            <v>0.1150950284844352</v>
          </cell>
          <cell r="CG178">
            <v>0.36098835431779652</v>
          </cell>
          <cell r="CH178">
            <v>0.58317762888867919</v>
          </cell>
          <cell r="CI178">
            <v>0.27655104620137627</v>
          </cell>
          <cell r="CJ178">
            <v>0.23316461828752111</v>
          </cell>
          <cell r="CK178">
            <v>-2.6608134742877598E-2</v>
          </cell>
          <cell r="CL178">
            <v>-4.5830884551537832E-2</v>
          </cell>
          <cell r="CM178">
            <v>-0.10457467108566842</v>
          </cell>
          <cell r="CN178">
            <v>-6.919007189182369E-2</v>
          </cell>
          <cell r="CO178">
            <v>-8.2576642725391003E-2</v>
          </cell>
          <cell r="CP178">
            <v>-0.10622960929003866</v>
          </cell>
          <cell r="CQ178">
            <v>0.14686182587417163</v>
          </cell>
          <cell r="CR178">
            <v>0.48079073359073354</v>
          </cell>
          <cell r="CS178">
            <v>0.45095676680213215</v>
          </cell>
        </row>
        <row r="180">
          <cell r="B180" t="str">
            <v>Overnight % Change</v>
          </cell>
          <cell r="X180">
            <v>0.17479395604395598</v>
          </cell>
          <cell r="Y180">
            <v>-0.21562443528470254</v>
          </cell>
          <cell r="Z180">
            <v>3.7296145723828111E-2</v>
          </cell>
          <cell r="AA180">
            <v>4.9111347811160222E-2</v>
          </cell>
          <cell r="AB180">
            <v>-4.0084838346249652E-2</v>
          </cell>
          <cell r="AC180">
            <v>8.1559851210439627E-2</v>
          </cell>
          <cell r="AD180">
            <v>-2.3449145970531826E-2</v>
          </cell>
          <cell r="AE180">
            <v>1.0115725388794017E-2</v>
          </cell>
          <cell r="AF180">
            <v>3.2942314669246464E-3</v>
          </cell>
          <cell r="AG180">
            <v>2.7107624404790753E-2</v>
          </cell>
          <cell r="AH180">
            <v>9.4943138989938669E-2</v>
          </cell>
          <cell r="AI180">
            <v>0.1924826771828978</v>
          </cell>
          <cell r="AJ180">
            <v>1.1221297778863715E-2</v>
          </cell>
          <cell r="AK180">
            <v>0.29064250176903283</v>
          </cell>
          <cell r="AL180">
            <v>0.14156053811659186</v>
          </cell>
          <cell r="AM180">
            <v>0.15575861316685957</v>
          </cell>
          <cell r="AN180">
            <v>0.21505323760197381</v>
          </cell>
          <cell r="AO180">
            <v>7.7669401140773697E-2</v>
          </cell>
          <cell r="AP180">
            <v>0.12273136852326538</v>
          </cell>
          <cell r="AQ180">
            <v>0.13712934649900954</v>
          </cell>
          <cell r="AR180">
            <v>0.15092620271351831</v>
          </cell>
          <cell r="AS180">
            <v>5.9221614667095634E-2</v>
          </cell>
          <cell r="AT180">
            <v>0.22187540086372781</v>
          </cell>
          <cell r="AU180">
            <v>0.12998344612142243</v>
          </cell>
          <cell r="AV180">
            <v>4.7532347624245519E-2</v>
          </cell>
          <cell r="AW180">
            <v>5.4184658801128771E-2</v>
          </cell>
          <cell r="AX180">
            <v>6.8904968417083046E-2</v>
          </cell>
          <cell r="AY180">
            <v>-0.40900312906106384</v>
          </cell>
          <cell r="AZ180">
            <v>-0.56680741141861923</v>
          </cell>
          <cell r="BA180">
            <v>-0.17596972563859981</v>
          </cell>
          <cell r="BB180">
            <v>-2.9427717024832156E-2</v>
          </cell>
          <cell r="BC180">
            <v>0.13695399726228241</v>
          </cell>
          <cell r="BD180">
            <v>0.11293667184731193</v>
          </cell>
          <cell r="BE180">
            <v>0.13725585463025936</v>
          </cell>
          <cell r="BF180">
            <v>0.11807460806270997</v>
          </cell>
          <cell r="BG180">
            <v>8.7041495257873747E-2</v>
          </cell>
          <cell r="BH180">
            <v>0.20339709056162381</v>
          </cell>
          <cell r="BI180">
            <v>6.6909372392022215E-2</v>
          </cell>
          <cell r="BJ180">
            <v>0.29366540614239156</v>
          </cell>
          <cell r="BK180">
            <v>1.0429153179492534</v>
          </cell>
          <cell r="BL180">
            <v>1.6568689556146796</v>
          </cell>
          <cell r="BM180">
            <v>0.68349320395540913</v>
          </cell>
          <cell r="BN180">
            <v>0.4194500872218152</v>
          </cell>
          <cell r="BO180">
            <v>7.5333730852736203E-2</v>
          </cell>
          <cell r="BP180">
            <v>0.11856527696222363</v>
          </cell>
          <cell r="BQ180">
            <v>0.18246322325230335</v>
          </cell>
          <cell r="BR180">
            <v>0.10163661459588536</v>
          </cell>
          <cell r="BS180">
            <v>5.8198997922224827E-2</v>
          </cell>
          <cell r="BT180">
            <v>3.6258470805667686E-2</v>
          </cell>
          <cell r="BU180">
            <v>8.9240570903855509E-2</v>
          </cell>
          <cell r="BV180">
            <v>-9.4688339800805599E-2</v>
          </cell>
          <cell r="BW180">
            <v>-5.3697328663129262E-3</v>
          </cell>
          <cell r="BX180">
            <v>4.6490335707019437E-2</v>
          </cell>
          <cell r="BY180">
            <v>5.3499145170211593E-2</v>
          </cell>
          <cell r="BZ180">
            <v>9.4405873433884846E-3</v>
          </cell>
          <cell r="CA180">
            <v>2.0946533938956513E-2</v>
          </cell>
          <cell r="CB180">
            <v>9.6080654985243985E-2</v>
          </cell>
          <cell r="CC180">
            <v>5.8882683246270329E-2</v>
          </cell>
          <cell r="CD180">
            <v>0.10218368402211531</v>
          </cell>
          <cell r="CE180">
            <v>0.11118649525079927</v>
          </cell>
          <cell r="CF180">
            <v>8.1106700046899682E-2</v>
          </cell>
          <cell r="CG180">
            <v>0.17993470922709176</v>
          </cell>
          <cell r="CH180">
            <v>0.25330889966926695</v>
          </cell>
          <cell r="CI180">
            <v>0.21584310453752664</v>
          </cell>
          <cell r="CJ180">
            <v>4.201905317390886E-2</v>
          </cell>
          <cell r="CK180">
            <v>3.506704652238124E-2</v>
          </cell>
          <cell r="CL180">
            <v>5.2047675892473722E-2</v>
          </cell>
          <cell r="CM180">
            <v>9.0855935572897506E-2</v>
          </cell>
          <cell r="CN180">
            <v>0.12088640822303898</v>
          </cell>
          <cell r="CO180">
            <v>0.1727534319802555</v>
          </cell>
          <cell r="CP180">
            <v>0.14290096406660835</v>
          </cell>
          <cell r="CQ180">
            <v>0.2466703231882108</v>
          </cell>
          <cell r="CR180">
            <v>0.3126437764831318</v>
          </cell>
          <cell r="CS180">
            <v>0.25306440468665015</v>
          </cell>
        </row>
        <row r="181">
          <cell r="B181" t="str">
            <v>Overnight % of Total</v>
          </cell>
          <cell r="L181">
            <v>0.30387569854155116</v>
          </cell>
          <cell r="M181">
            <v>0.28580528379102904</v>
          </cell>
          <cell r="N181">
            <v>0.29837434820564851</v>
          </cell>
          <cell r="O181">
            <v>0.28288047572149477</v>
          </cell>
          <cell r="P181">
            <v>0.31767602273220252</v>
          </cell>
          <cell r="Q181">
            <v>0.30316493917844689</v>
          </cell>
          <cell r="R181">
            <v>0.29340946039463306</v>
          </cell>
          <cell r="S181">
            <v>0.29789316894827156</v>
          </cell>
          <cell r="T181">
            <v>0.28495359553612903</v>
          </cell>
          <cell r="U181">
            <v>0.29065905645689938</v>
          </cell>
          <cell r="V181">
            <v>0.29203554342639398</v>
          </cell>
          <cell r="W181">
            <v>0.2772523705099299</v>
          </cell>
          <cell r="X181">
            <v>0.25879737416757181</v>
          </cell>
          <cell r="Y181">
            <v>0.25658951279759601</v>
          </cell>
          <cell r="Z181">
            <v>0.26022977238647038</v>
          </cell>
          <cell r="AA181">
            <v>0.25562993738913331</v>
          </cell>
          <cell r="AB181">
            <v>0.27348518376220099</v>
          </cell>
          <cell r="AC181">
            <v>0.26547738731075016</v>
          </cell>
          <cell r="AD181">
            <v>0.28569295909083431</v>
          </cell>
          <cell r="AE181">
            <v>0.25684656698205355</v>
          </cell>
          <cell r="AF181">
            <v>0.26491576969599434</v>
          </cell>
          <cell r="AG181">
            <v>0.27209745213862119</v>
          </cell>
          <cell r="AH181">
            <v>0.28460028548863459</v>
          </cell>
          <cell r="AI181">
            <v>0.29687978416084987</v>
          </cell>
          <cell r="AJ181">
            <v>0.29787625063455447</v>
          </cell>
          <cell r="AK181">
            <v>0.251678028232591</v>
          </cell>
          <cell r="AL181">
            <v>0.26518356321922898</v>
          </cell>
          <cell r="AM181">
            <v>0.27607390244684604</v>
          </cell>
          <cell r="AN181">
            <v>0.28972006207651013</v>
          </cell>
          <cell r="AO181">
            <v>0.26588266660484311</v>
          </cell>
          <cell r="AP181">
            <v>0.26854599260512407</v>
          </cell>
          <cell r="AQ181">
            <v>0.27705896150745613</v>
          </cell>
          <cell r="AR181">
            <v>0.26988076852632792</v>
          </cell>
          <cell r="AS181">
            <v>0.25434106978458904</v>
          </cell>
          <cell r="AT181">
            <v>0.28484933667066387</v>
          </cell>
          <cell r="AU181">
            <v>0.28356049417446139</v>
          </cell>
          <cell r="AV181">
            <v>0.24594084559259247</v>
          </cell>
          <cell r="AW181">
            <v>0.23680803652410021</v>
          </cell>
          <cell r="AX181">
            <v>0.28316488996374445</v>
          </cell>
          <cell r="AY181">
            <v>0.24643163111163582</v>
          </cell>
          <cell r="AZ181">
            <v>0.19844023411573042</v>
          </cell>
          <cell r="BA181">
            <v>0.2316889745874802</v>
          </cell>
          <cell r="BB181">
            <v>0.25299959495915203</v>
          </cell>
          <cell r="BC181">
            <v>0.27525481175852506</v>
          </cell>
          <cell r="BD181">
            <v>0.26538987141475734</v>
          </cell>
          <cell r="BE181">
            <v>0.25188204899649463</v>
          </cell>
          <cell r="BF181">
            <v>0.27552072823479296</v>
          </cell>
          <cell r="BG181">
            <v>0.26873484510326179</v>
          </cell>
          <cell r="BH181">
            <v>0.21904338510418017</v>
          </cell>
          <cell r="BI181">
            <v>0.23828595971974725</v>
          </cell>
          <cell r="BJ181">
            <v>0.26933550218938673</v>
          </cell>
          <cell r="BK181">
            <v>0.24541749123047796</v>
          </cell>
          <cell r="BL181">
            <v>0.23697239440354614</v>
          </cell>
          <cell r="BM181">
            <v>0.24461912797469182</v>
          </cell>
          <cell r="BN181">
            <v>0.24667759861887317</v>
          </cell>
          <cell r="BO181">
            <v>0.23295032796804435</v>
          </cell>
          <cell r="BP181">
            <v>0.22628175206604018</v>
          </cell>
          <cell r="BQ181">
            <v>0.22004395115154798</v>
          </cell>
          <cell r="BR181">
            <v>0.24196672986681222</v>
          </cell>
          <cell r="BS181">
            <v>0.22908821247601097</v>
          </cell>
          <cell r="BT181">
            <v>0.2160450793791239</v>
          </cell>
          <cell r="BU181">
            <v>0.1893149173447875</v>
          </cell>
          <cell r="BV181">
            <v>0.20788483704752728</v>
          </cell>
          <cell r="BW181">
            <v>0.22147738623491323</v>
          </cell>
          <cell r="BX181">
            <v>0.21382054569759421</v>
          </cell>
          <cell r="BY181">
            <v>0.23391308898696858</v>
          </cell>
          <cell r="BZ181">
            <v>0.22781625287262475</v>
          </cell>
          <cell r="CA181">
            <v>0.22216429582185149</v>
          </cell>
          <cell r="CB181">
            <v>0.22411986307260937</v>
          </cell>
          <cell r="CC181">
            <v>0.21140126098280682</v>
          </cell>
          <cell r="CD181">
            <v>0.24161849638979838</v>
          </cell>
          <cell r="CE181">
            <v>0.23179572059105738</v>
          </cell>
          <cell r="CF181">
            <v>0.19702201706640152</v>
          </cell>
          <cell r="CG181">
            <v>0.19173009471646507</v>
          </cell>
          <cell r="CH181">
            <v>0.22034104945167399</v>
          </cell>
          <cell r="CI181">
            <v>0.2150569369635259</v>
          </cell>
          <cell r="CJ181">
            <v>0.2009284452788411</v>
          </cell>
          <cell r="CK181">
            <v>0.21726457160425874</v>
          </cell>
          <cell r="CL181">
            <v>0.22151779333365884</v>
          </cell>
          <cell r="CM181">
            <v>0.21837457595111545</v>
          </cell>
          <cell r="CN181">
            <v>0.20876555260309362</v>
          </cell>
          <cell r="CO181">
            <v>0.20727821701172161</v>
          </cell>
          <cell r="CP181">
            <v>0.22742145371599978</v>
          </cell>
          <cell r="CQ181">
            <v>0.22278617256233132</v>
          </cell>
          <cell r="CR181">
            <v>0.21074933489244485</v>
          </cell>
          <cell r="CS181">
            <v>0.19644533804965134</v>
          </cell>
        </row>
        <row r="183">
          <cell r="B183" t="str">
            <v>Visitor Arrivals</v>
          </cell>
        </row>
        <row r="184">
          <cell r="B184" t="str">
            <v>Grand Total (units)</v>
          </cell>
          <cell r="C184">
            <v>7488600</v>
          </cell>
          <cell r="D184">
            <v>7699200</v>
          </cell>
          <cell r="E184">
            <v>7829300</v>
          </cell>
          <cell r="F184">
            <v>7833800</v>
          </cell>
          <cell r="G184">
            <v>7752500</v>
          </cell>
          <cell r="H184">
            <v>8151100</v>
          </cell>
          <cell r="I184">
            <v>7000400</v>
          </cell>
          <cell r="J184">
            <v>6948500</v>
          </cell>
          <cell r="K184">
            <v>7443900</v>
          </cell>
          <cell r="L184">
            <v>642052</v>
          </cell>
          <cell r="M184">
            <v>813204</v>
          </cell>
          <cell r="N184">
            <v>720511</v>
          </cell>
          <cell r="O184">
            <v>803159</v>
          </cell>
          <cell r="P184">
            <v>737632</v>
          </cell>
          <cell r="Q184">
            <v>649112</v>
          </cell>
          <cell r="R184">
            <v>848231</v>
          </cell>
          <cell r="S184">
            <v>900974</v>
          </cell>
          <cell r="T184">
            <v>725469</v>
          </cell>
          <cell r="U184">
            <v>781056</v>
          </cell>
          <cell r="V184">
            <v>731387</v>
          </cell>
          <cell r="W184">
            <v>809425</v>
          </cell>
          <cell r="X184">
            <v>885662</v>
          </cell>
          <cell r="Y184">
            <v>710485</v>
          </cell>
          <cell r="Z184">
            <v>856935</v>
          </cell>
          <cell r="AA184">
            <v>932426</v>
          </cell>
          <cell r="AB184">
            <v>822476</v>
          </cell>
          <cell r="AC184">
            <v>801718</v>
          </cell>
          <cell r="AD184">
            <v>850714</v>
          </cell>
          <cell r="AE184">
            <v>1055529</v>
          </cell>
          <cell r="AF184">
            <v>782913</v>
          </cell>
          <cell r="AG184">
            <v>856954</v>
          </cell>
          <cell r="AH184">
            <v>821749</v>
          </cell>
          <cell r="AI184">
            <v>901412</v>
          </cell>
          <cell r="AJ184">
            <v>778105</v>
          </cell>
          <cell r="AK184">
            <v>934877</v>
          </cell>
          <cell r="AL184">
            <v>959969</v>
          </cell>
          <cell r="AM184">
            <v>997856</v>
          </cell>
          <cell r="AN184">
            <v>943352</v>
          </cell>
          <cell r="AO184">
            <v>862670</v>
          </cell>
          <cell r="AP184">
            <v>1016109</v>
          </cell>
          <cell r="AQ184">
            <v>1112709</v>
          </cell>
          <cell r="AR184">
            <v>884498</v>
          </cell>
          <cell r="AS184">
            <v>971074</v>
          </cell>
          <cell r="AT184">
            <v>1003197</v>
          </cell>
          <cell r="AU184">
            <v>1066425</v>
          </cell>
          <cell r="AV184">
            <v>987213</v>
          </cell>
          <cell r="AW184">
            <v>1047418</v>
          </cell>
          <cell r="AX184">
            <v>960956</v>
          </cell>
          <cell r="AY184">
            <v>660666</v>
          </cell>
          <cell r="AZ184">
            <v>596628</v>
          </cell>
          <cell r="BA184">
            <v>815779</v>
          </cell>
          <cell r="BB184">
            <v>1046808</v>
          </cell>
          <cell r="BC184">
            <v>1273391</v>
          </cell>
          <cell r="BD184">
            <v>1001048</v>
          </cell>
          <cell r="BE184">
            <v>1115141</v>
          </cell>
          <cell r="BF184">
            <v>1159626</v>
          </cell>
          <cell r="BG184">
            <v>1223202</v>
          </cell>
          <cell r="BH184">
            <v>1333891</v>
          </cell>
          <cell r="BI184">
            <v>1110569</v>
          </cell>
          <cell r="BJ184">
            <v>1306987</v>
          </cell>
          <cell r="BK184">
            <v>1355262</v>
          </cell>
          <cell r="BL184">
            <v>1327412</v>
          </cell>
          <cell r="BM184">
            <v>1300765</v>
          </cell>
          <cell r="BN184">
            <v>1523973</v>
          </cell>
          <cell r="BO184">
            <v>1617993</v>
          </cell>
          <cell r="BP184">
            <v>1313261</v>
          </cell>
          <cell r="BQ184">
            <v>1509403</v>
          </cell>
          <cell r="BR184">
            <v>1454638</v>
          </cell>
          <cell r="BS184">
            <v>1518402</v>
          </cell>
          <cell r="BT184">
            <v>1401439</v>
          </cell>
          <cell r="BU184">
            <v>1522590</v>
          </cell>
          <cell r="BV184">
            <v>1532993</v>
          </cell>
          <cell r="BW184">
            <v>1493692</v>
          </cell>
          <cell r="BX184">
            <v>1539534</v>
          </cell>
          <cell r="BY184">
            <v>1433075</v>
          </cell>
          <cell r="BZ184">
            <v>1665724</v>
          </cell>
          <cell r="CA184">
            <v>1732083</v>
          </cell>
          <cell r="CB184">
            <v>1453325</v>
          </cell>
          <cell r="CC184">
            <v>1663623</v>
          </cell>
          <cell r="CD184">
            <v>1605589</v>
          </cell>
          <cell r="CE184">
            <v>1667520</v>
          </cell>
          <cell r="CF184">
            <v>1661393</v>
          </cell>
          <cell r="CG184">
            <v>1773926</v>
          </cell>
          <cell r="CH184">
            <v>1812699</v>
          </cell>
          <cell r="CI184">
            <v>1870314</v>
          </cell>
          <cell r="CJ184">
            <v>1707155</v>
          </cell>
          <cell r="CK184">
            <v>1596993</v>
          </cell>
          <cell r="CL184">
            <v>1802248</v>
          </cell>
          <cell r="CM184">
            <v>1922243</v>
          </cell>
          <cell r="CN184">
            <v>1748823</v>
          </cell>
          <cell r="CO184">
            <v>1989828</v>
          </cell>
          <cell r="CP184">
            <v>1949583</v>
          </cell>
          <cell r="CQ184">
            <v>2162917</v>
          </cell>
          <cell r="CR184">
            <v>2038768</v>
          </cell>
          <cell r="CS184">
            <v>2169489</v>
          </cell>
          <cell r="CU184">
            <v>0.22499744565206314</v>
          </cell>
          <cell r="CW184">
            <v>0.29708609192093638</v>
          </cell>
        </row>
        <row r="185">
          <cell r="CO185">
            <v>0.19608108327427543</v>
          </cell>
          <cell r="CP185">
            <v>0.21424785545989655</v>
          </cell>
          <cell r="CQ185">
            <v>0.29708609192093638</v>
          </cell>
          <cell r="CR185">
            <v>0.22714372818472217</v>
          </cell>
          <cell r="CS185">
            <v>0.22298731739655442</v>
          </cell>
        </row>
        <row r="186">
          <cell r="B186" t="str">
            <v>Total on Package Tours</v>
          </cell>
          <cell r="L186">
            <v>106230</v>
          </cell>
          <cell r="M186">
            <v>129925</v>
          </cell>
          <cell r="N186">
            <v>143366</v>
          </cell>
          <cell r="O186">
            <v>138165</v>
          </cell>
          <cell r="P186">
            <v>158268</v>
          </cell>
          <cell r="Q186">
            <v>120093</v>
          </cell>
          <cell r="R186">
            <v>136056</v>
          </cell>
          <cell r="S186">
            <v>131756</v>
          </cell>
          <cell r="T186">
            <v>107281</v>
          </cell>
          <cell r="U186">
            <v>105797</v>
          </cell>
          <cell r="V186">
            <v>107530</v>
          </cell>
          <cell r="W186">
            <v>109210</v>
          </cell>
          <cell r="X186">
            <v>110095</v>
          </cell>
          <cell r="Y186">
            <v>96793</v>
          </cell>
          <cell r="Z186">
            <v>131686</v>
          </cell>
          <cell r="AA186">
            <v>131686</v>
          </cell>
          <cell r="AB186">
            <v>145677</v>
          </cell>
          <cell r="AC186">
            <v>126175</v>
          </cell>
          <cell r="AD186">
            <v>124269</v>
          </cell>
          <cell r="AE186">
            <v>145628</v>
          </cell>
          <cell r="AF186">
            <v>122653</v>
          </cell>
          <cell r="AG186">
            <v>138270</v>
          </cell>
          <cell r="AH186">
            <v>166877</v>
          </cell>
          <cell r="AI186">
            <v>179817</v>
          </cell>
          <cell r="AJ186">
            <v>145232</v>
          </cell>
          <cell r="AK186">
            <v>183568</v>
          </cell>
          <cell r="AL186">
            <v>189114</v>
          </cell>
          <cell r="AM186">
            <v>206220</v>
          </cell>
          <cell r="AN186">
            <v>213509</v>
          </cell>
          <cell r="AO186">
            <v>137485</v>
          </cell>
          <cell r="AP186">
            <v>175237</v>
          </cell>
          <cell r="AQ186">
            <v>192544</v>
          </cell>
          <cell r="AR186">
            <v>150472</v>
          </cell>
          <cell r="AS186">
            <v>144323</v>
          </cell>
          <cell r="AT186">
            <v>186052</v>
          </cell>
          <cell r="AU186">
            <v>178830</v>
          </cell>
          <cell r="AV186">
            <v>146370</v>
          </cell>
          <cell r="AW186">
            <v>165505</v>
          </cell>
          <cell r="AX186">
            <v>179066</v>
          </cell>
          <cell r="AY186">
            <v>60355</v>
          </cell>
          <cell r="AZ186">
            <v>4687</v>
          </cell>
          <cell r="BA186">
            <v>25307</v>
          </cell>
          <cell r="BB186">
            <v>96491</v>
          </cell>
          <cell r="BC186">
            <v>217948</v>
          </cell>
          <cell r="BD186">
            <v>142238</v>
          </cell>
          <cell r="BE186">
            <v>130409</v>
          </cell>
          <cell r="BF186">
            <v>179352</v>
          </cell>
          <cell r="BG186">
            <v>189270</v>
          </cell>
          <cell r="BH186">
            <v>158778</v>
          </cell>
          <cell r="BI186">
            <v>121762</v>
          </cell>
          <cell r="BJ186">
            <v>263288</v>
          </cell>
          <cell r="BK186">
            <v>237638</v>
          </cell>
          <cell r="BL186">
            <v>188942</v>
          </cell>
          <cell r="BM186">
            <v>188088</v>
          </cell>
          <cell r="BN186">
            <v>238020</v>
          </cell>
          <cell r="BO186">
            <v>227058</v>
          </cell>
          <cell r="BP186">
            <v>181639</v>
          </cell>
          <cell r="BQ186">
            <v>203675</v>
          </cell>
          <cell r="BR186">
            <v>271306</v>
          </cell>
          <cell r="BS186">
            <v>220447</v>
          </cell>
          <cell r="BT186">
            <v>182790</v>
          </cell>
          <cell r="BU186">
            <v>189671</v>
          </cell>
          <cell r="BV186">
            <v>211109</v>
          </cell>
          <cell r="BW186">
            <v>231739</v>
          </cell>
          <cell r="BX186">
            <v>215340</v>
          </cell>
          <cell r="BY186">
            <v>214932</v>
          </cell>
          <cell r="BZ186">
            <v>243233</v>
          </cell>
          <cell r="CA186">
            <v>255237</v>
          </cell>
          <cell r="CB186">
            <v>194339</v>
          </cell>
          <cell r="CC186">
            <v>215510</v>
          </cell>
          <cell r="CD186">
            <v>289189</v>
          </cell>
          <cell r="CE186">
            <v>241145</v>
          </cell>
          <cell r="CF186">
            <v>201060</v>
          </cell>
          <cell r="CG186">
            <v>240125</v>
          </cell>
          <cell r="CH186">
            <v>293189</v>
          </cell>
          <cell r="CI186">
            <v>273002</v>
          </cell>
          <cell r="CJ186">
            <v>238885</v>
          </cell>
          <cell r="CK186">
            <v>207989</v>
          </cell>
          <cell r="CL186">
            <v>227239</v>
          </cell>
          <cell r="CM186">
            <v>233993</v>
          </cell>
          <cell r="CN186">
            <v>183697</v>
          </cell>
          <cell r="CO186">
            <v>216032</v>
          </cell>
          <cell r="CP186">
            <v>289626</v>
          </cell>
          <cell r="CQ186">
            <v>323111</v>
          </cell>
          <cell r="CR186">
            <v>327611</v>
          </cell>
          <cell r="CS186">
            <v>392093</v>
          </cell>
          <cell r="CW186">
            <v>0.3399033776358622</v>
          </cell>
          <cell r="CX186">
            <v>0.62941907888192583</v>
          </cell>
        </row>
        <row r="187">
          <cell r="B187" t="str">
            <v>China on Package Tours</v>
          </cell>
          <cell r="L187">
            <v>71523</v>
          </cell>
          <cell r="M187">
            <v>88005</v>
          </cell>
          <cell r="N187">
            <v>101626</v>
          </cell>
          <cell r="O187">
            <v>90569</v>
          </cell>
          <cell r="P187">
            <v>110852</v>
          </cell>
          <cell r="Q187">
            <v>71111</v>
          </cell>
          <cell r="R187">
            <v>83841</v>
          </cell>
          <cell r="S187">
            <v>79403</v>
          </cell>
          <cell r="T187">
            <v>57967</v>
          </cell>
          <cell r="U187">
            <v>59232</v>
          </cell>
          <cell r="V187">
            <v>63293</v>
          </cell>
          <cell r="W187">
            <v>69002</v>
          </cell>
          <cell r="X187">
            <v>71919</v>
          </cell>
          <cell r="Y187">
            <v>58724</v>
          </cell>
          <cell r="Z187">
            <v>78063</v>
          </cell>
          <cell r="AA187">
            <v>78063</v>
          </cell>
          <cell r="AB187">
            <v>82751</v>
          </cell>
          <cell r="AC187">
            <v>67835</v>
          </cell>
          <cell r="AD187">
            <v>70211</v>
          </cell>
          <cell r="AE187">
            <v>87254</v>
          </cell>
          <cell r="AF187">
            <v>71436</v>
          </cell>
          <cell r="AG187">
            <v>91696</v>
          </cell>
          <cell r="AH187">
            <v>112699</v>
          </cell>
          <cell r="AI187">
            <v>117924</v>
          </cell>
          <cell r="AJ187">
            <v>100950</v>
          </cell>
          <cell r="AK187">
            <v>131896</v>
          </cell>
          <cell r="AL187">
            <v>111915</v>
          </cell>
          <cell r="AM187">
            <v>134984</v>
          </cell>
          <cell r="AN187">
            <v>145879</v>
          </cell>
          <cell r="AO187">
            <v>84666</v>
          </cell>
          <cell r="AP187">
            <v>120332</v>
          </cell>
          <cell r="AQ187">
            <v>138319</v>
          </cell>
          <cell r="AR187">
            <v>98367</v>
          </cell>
          <cell r="AS187">
            <v>90660</v>
          </cell>
          <cell r="AT187">
            <v>132416</v>
          </cell>
          <cell r="AU187">
            <v>134821</v>
          </cell>
          <cell r="AV187">
            <v>110840</v>
          </cell>
          <cell r="AW187">
            <v>128649</v>
          </cell>
          <cell r="AX187">
            <v>147628</v>
          </cell>
          <cell r="AY187">
            <v>56682</v>
          </cell>
          <cell r="AZ187">
            <v>1540</v>
          </cell>
          <cell r="BA187">
            <v>19270</v>
          </cell>
          <cell r="BB187">
            <v>77858</v>
          </cell>
          <cell r="BC187">
            <v>184956</v>
          </cell>
          <cell r="BD187">
            <v>117844</v>
          </cell>
          <cell r="BE187">
            <v>104238</v>
          </cell>
          <cell r="BF187">
            <v>148642</v>
          </cell>
          <cell r="BG187">
            <v>160068</v>
          </cell>
          <cell r="BH187">
            <v>131098</v>
          </cell>
          <cell r="BI187">
            <v>100583</v>
          </cell>
          <cell r="BJ187">
            <v>238552</v>
          </cell>
          <cell r="BK187">
            <v>210717</v>
          </cell>
          <cell r="BL187">
            <v>162230</v>
          </cell>
          <cell r="BM187">
            <v>154100</v>
          </cell>
          <cell r="BN187">
            <v>201774</v>
          </cell>
          <cell r="BO187">
            <v>180950</v>
          </cell>
          <cell r="BP187">
            <v>132990</v>
          </cell>
          <cell r="BQ187">
            <v>156574</v>
          </cell>
          <cell r="BR187">
            <v>220816</v>
          </cell>
          <cell r="BS187">
            <v>177862</v>
          </cell>
          <cell r="BT187">
            <v>145167</v>
          </cell>
          <cell r="BU187">
            <v>143916</v>
          </cell>
          <cell r="BV187">
            <v>158955</v>
          </cell>
          <cell r="BW187">
            <v>178025</v>
          </cell>
          <cell r="BX187">
            <v>156872</v>
          </cell>
          <cell r="BY187">
            <v>167430</v>
          </cell>
          <cell r="BZ187">
            <v>193974</v>
          </cell>
          <cell r="CA187">
            <v>199140</v>
          </cell>
          <cell r="CB187">
            <v>150643</v>
          </cell>
          <cell r="CC187">
            <v>168607</v>
          </cell>
          <cell r="CD187">
            <v>239999</v>
          </cell>
          <cell r="CE187">
            <v>199017</v>
          </cell>
          <cell r="CF187">
            <v>161875</v>
          </cell>
          <cell r="CG187">
            <v>195868</v>
          </cell>
          <cell r="CH187">
            <v>251654</v>
          </cell>
          <cell r="CI187">
            <v>227258</v>
          </cell>
          <cell r="CJ187">
            <v>193449</v>
          </cell>
          <cell r="CK187">
            <v>162975</v>
          </cell>
          <cell r="CL187">
            <v>185084</v>
          </cell>
          <cell r="CM187">
            <v>178315</v>
          </cell>
          <cell r="CN187">
            <v>140220</v>
          </cell>
          <cell r="CO187">
            <v>154684</v>
          </cell>
          <cell r="CP187">
            <v>214504</v>
          </cell>
          <cell r="CQ187">
            <v>228245</v>
          </cell>
          <cell r="CR187">
            <v>239703</v>
          </cell>
          <cell r="CS187">
            <v>284196</v>
          </cell>
          <cell r="CW187">
            <v>0.14686182587417163</v>
          </cell>
          <cell r="CX187">
            <v>0.48079073359073354</v>
          </cell>
        </row>
        <row r="189">
          <cell r="B189" t="str">
            <v>Republic of Korea</v>
          </cell>
          <cell r="L189">
            <v>3804</v>
          </cell>
          <cell r="M189">
            <v>3801</v>
          </cell>
          <cell r="N189">
            <v>3006</v>
          </cell>
          <cell r="O189">
            <v>3451</v>
          </cell>
          <cell r="P189">
            <v>3091</v>
          </cell>
          <cell r="Q189">
            <v>3057</v>
          </cell>
          <cell r="R189">
            <v>4597</v>
          </cell>
          <cell r="S189">
            <v>4969</v>
          </cell>
          <cell r="T189">
            <v>3792</v>
          </cell>
          <cell r="U189">
            <v>3448</v>
          </cell>
          <cell r="V189">
            <v>3801</v>
          </cell>
          <cell r="W189">
            <v>4548</v>
          </cell>
          <cell r="X189">
            <v>4363</v>
          </cell>
          <cell r="Y189">
            <v>3715</v>
          </cell>
          <cell r="Z189">
            <v>3622</v>
          </cell>
          <cell r="AA189">
            <v>3312</v>
          </cell>
          <cell r="AB189">
            <v>3503</v>
          </cell>
          <cell r="AC189">
            <v>3439</v>
          </cell>
          <cell r="AD189">
            <v>4788</v>
          </cell>
          <cell r="AE189">
            <v>6820</v>
          </cell>
          <cell r="AF189">
            <v>3090</v>
          </cell>
          <cell r="AG189">
            <v>3763</v>
          </cell>
          <cell r="AH189">
            <v>2803</v>
          </cell>
          <cell r="AI189">
            <v>5056</v>
          </cell>
          <cell r="AJ189">
            <v>6075</v>
          </cell>
          <cell r="AK189">
            <v>4913</v>
          </cell>
          <cell r="AL189">
            <v>4234</v>
          </cell>
          <cell r="AM189">
            <v>3408</v>
          </cell>
          <cell r="AN189">
            <v>3107</v>
          </cell>
          <cell r="AO189">
            <v>2461</v>
          </cell>
          <cell r="AP189">
            <v>3727</v>
          </cell>
          <cell r="AQ189">
            <v>5691</v>
          </cell>
          <cell r="AR189">
            <v>3103</v>
          </cell>
          <cell r="AS189">
            <v>3978</v>
          </cell>
          <cell r="AT189">
            <v>4945</v>
          </cell>
          <cell r="AU189">
            <v>4805</v>
          </cell>
          <cell r="AV189">
            <v>5880</v>
          </cell>
          <cell r="AW189">
            <v>5194</v>
          </cell>
          <cell r="AX189">
            <v>2583</v>
          </cell>
          <cell r="AY189">
            <v>711</v>
          </cell>
          <cell r="AZ189">
            <v>798</v>
          </cell>
          <cell r="BA189">
            <v>1314</v>
          </cell>
          <cell r="BB189">
            <v>2565</v>
          </cell>
          <cell r="BC189">
            <v>4581</v>
          </cell>
          <cell r="BD189">
            <v>3283</v>
          </cell>
          <cell r="BE189">
            <v>2979</v>
          </cell>
          <cell r="BF189">
            <v>4000</v>
          </cell>
          <cell r="BG189">
            <v>4393</v>
          </cell>
          <cell r="BH189">
            <v>5677</v>
          </cell>
          <cell r="BI189">
            <v>3770</v>
          </cell>
          <cell r="BJ189">
            <v>3098</v>
          </cell>
          <cell r="BK189">
            <v>4163</v>
          </cell>
          <cell r="BL189">
            <v>3729</v>
          </cell>
          <cell r="BM189">
            <v>4082</v>
          </cell>
          <cell r="BN189">
            <v>5738</v>
          </cell>
          <cell r="BO189">
            <v>7230</v>
          </cell>
          <cell r="BP189">
            <v>6322</v>
          </cell>
          <cell r="BQ189">
            <v>6688</v>
          </cell>
          <cell r="BR189">
            <v>7453</v>
          </cell>
          <cell r="BS189">
            <v>7681</v>
          </cell>
          <cell r="BT189">
            <v>12988</v>
          </cell>
          <cell r="BU189">
            <v>9682</v>
          </cell>
          <cell r="BV189">
            <v>7067</v>
          </cell>
          <cell r="BW189">
            <v>8225</v>
          </cell>
          <cell r="BX189">
            <v>9092</v>
          </cell>
          <cell r="BY189">
            <v>9246</v>
          </cell>
          <cell r="BZ189">
            <v>10235</v>
          </cell>
          <cell r="CA189">
            <v>11708</v>
          </cell>
          <cell r="CB189">
            <v>7553</v>
          </cell>
          <cell r="CC189">
            <v>9594</v>
          </cell>
          <cell r="CD189">
            <v>10870</v>
          </cell>
          <cell r="CE189">
            <v>14479</v>
          </cell>
          <cell r="CF189">
            <v>18451</v>
          </cell>
          <cell r="CG189">
            <v>18200</v>
          </cell>
          <cell r="CH189">
            <v>12279</v>
          </cell>
          <cell r="CI189">
            <v>10509</v>
          </cell>
          <cell r="CJ189">
            <v>10705</v>
          </cell>
          <cell r="CK189">
            <v>10482</v>
          </cell>
          <cell r="CL189">
            <v>13314</v>
          </cell>
          <cell r="CM189">
            <v>15697</v>
          </cell>
          <cell r="CN189">
            <v>9321</v>
          </cell>
          <cell r="CO189">
            <v>11394</v>
          </cell>
          <cell r="CP189">
            <v>13406</v>
          </cell>
          <cell r="CQ189">
            <v>18951</v>
          </cell>
          <cell r="CR189">
            <v>25627</v>
          </cell>
          <cell r="CS189">
            <v>16886</v>
          </cell>
          <cell r="CW189">
            <v>0.30886110919262388</v>
          </cell>
          <cell r="CX189">
            <v>8.6829543273843797E-3</v>
          </cell>
          <cell r="CY189">
            <v>2.6818269046248329E-3</v>
          </cell>
          <cell r="CZ189">
            <v>9.0271035149587162E-3</v>
          </cell>
        </row>
        <row r="190">
          <cell r="B190" t="str">
            <v>Mainland China</v>
          </cell>
          <cell r="C190">
            <v>15200</v>
          </cell>
          <cell r="D190">
            <v>26700</v>
          </cell>
          <cell r="E190">
            <v>272100</v>
          </cell>
          <cell r="F190">
            <v>245300</v>
          </cell>
          <cell r="G190">
            <v>543200</v>
          </cell>
          <cell r="H190">
            <v>604200</v>
          </cell>
          <cell r="I190">
            <v>529800</v>
          </cell>
          <cell r="J190">
            <v>816800</v>
          </cell>
          <cell r="K190">
            <v>1645200</v>
          </cell>
          <cell r="L190">
            <v>181689</v>
          </cell>
          <cell r="M190">
            <v>192277</v>
          </cell>
          <cell r="N190">
            <v>204483</v>
          </cell>
          <cell r="O190">
            <v>175712</v>
          </cell>
          <cell r="P190">
            <v>220512</v>
          </cell>
          <cell r="Q190">
            <v>152716</v>
          </cell>
          <cell r="R190">
            <v>188113</v>
          </cell>
          <cell r="S190">
            <v>196216</v>
          </cell>
          <cell r="T190">
            <v>165951</v>
          </cell>
          <cell r="U190">
            <v>196247</v>
          </cell>
          <cell r="V190">
            <v>195553</v>
          </cell>
          <cell r="W190">
            <v>205244</v>
          </cell>
          <cell r="X190">
            <v>230311</v>
          </cell>
          <cell r="Y190">
            <v>191266</v>
          </cell>
          <cell r="Z190">
            <v>231450</v>
          </cell>
          <cell r="AA190">
            <v>238297</v>
          </cell>
          <cell r="AB190">
            <v>251414</v>
          </cell>
          <cell r="AC190">
            <v>217176</v>
          </cell>
          <cell r="AD190">
            <v>221610</v>
          </cell>
          <cell r="AE190">
            <v>325226</v>
          </cell>
          <cell r="AF190">
            <v>243979</v>
          </cell>
          <cell r="AG190">
            <v>282887</v>
          </cell>
          <cell r="AH190">
            <v>285269</v>
          </cell>
          <cell r="AI190">
            <v>286837</v>
          </cell>
          <cell r="AJ190">
            <v>270457</v>
          </cell>
          <cell r="AK190">
            <v>299526</v>
          </cell>
          <cell r="AL190">
            <v>303395</v>
          </cell>
          <cell r="AM190">
            <v>356031</v>
          </cell>
          <cell r="AN190">
            <v>356951</v>
          </cell>
          <cell r="AO190">
            <v>284148</v>
          </cell>
          <cell r="AP190">
            <v>348945</v>
          </cell>
          <cell r="AQ190">
            <v>387631</v>
          </cell>
          <cell r="AR190">
            <v>337711</v>
          </cell>
          <cell r="AS190">
            <v>381650</v>
          </cell>
          <cell r="AT190">
            <v>445038</v>
          </cell>
          <cell r="AU190">
            <v>468963</v>
          </cell>
          <cell r="AV190">
            <v>467520</v>
          </cell>
          <cell r="AW190">
            <v>416056</v>
          </cell>
          <cell r="AX190">
            <v>454710</v>
          </cell>
          <cell r="AY190">
            <v>298574</v>
          </cell>
          <cell r="AZ190">
            <v>270537</v>
          </cell>
          <cell r="BA190">
            <v>367847</v>
          </cell>
          <cell r="BB190">
            <v>449139</v>
          </cell>
          <cell r="BC190">
            <v>586700</v>
          </cell>
          <cell r="BD190">
            <v>498570</v>
          </cell>
          <cell r="BE190">
            <v>591275</v>
          </cell>
          <cell r="BF190">
            <v>660727</v>
          </cell>
          <cell r="BG190">
            <v>680381</v>
          </cell>
          <cell r="BH190">
            <v>737958</v>
          </cell>
          <cell r="BI190">
            <v>659774</v>
          </cell>
          <cell r="BJ190">
            <v>791789</v>
          </cell>
          <cell r="BK190">
            <v>730128</v>
          </cell>
          <cell r="BL190">
            <v>812561</v>
          </cell>
          <cell r="BM190">
            <v>733729</v>
          </cell>
          <cell r="BN190">
            <v>863387</v>
          </cell>
          <cell r="BO190">
            <v>894651</v>
          </cell>
          <cell r="BP190">
            <v>735521</v>
          </cell>
          <cell r="BQ190">
            <v>876742</v>
          </cell>
          <cell r="BR190">
            <v>854271</v>
          </cell>
          <cell r="BS190">
            <v>839228</v>
          </cell>
          <cell r="BT190">
            <v>825411</v>
          </cell>
          <cell r="BU190">
            <v>832337</v>
          </cell>
          <cell r="BV190">
            <v>827267</v>
          </cell>
          <cell r="BW190">
            <v>830672</v>
          </cell>
          <cell r="BX190">
            <v>871889</v>
          </cell>
          <cell r="BY190">
            <v>803006</v>
          </cell>
          <cell r="BZ190">
            <v>913283</v>
          </cell>
          <cell r="CA190">
            <v>940109</v>
          </cell>
          <cell r="CB190">
            <v>797131</v>
          </cell>
          <cell r="CC190">
            <v>962702</v>
          </cell>
          <cell r="CD190">
            <v>934132</v>
          </cell>
          <cell r="CE190">
            <v>925027</v>
          </cell>
          <cell r="CF190">
            <v>927727</v>
          </cell>
          <cell r="CG190">
            <v>1006275</v>
          </cell>
          <cell r="CH190">
            <v>1043761</v>
          </cell>
          <cell r="CI190">
            <v>990066</v>
          </cell>
          <cell r="CJ190">
            <v>980710</v>
          </cell>
          <cell r="CK190">
            <v>876916</v>
          </cell>
          <cell r="CL190">
            <v>950338</v>
          </cell>
          <cell r="CM190">
            <v>1018955</v>
          </cell>
          <cell r="CN190">
            <v>917383</v>
          </cell>
          <cell r="CO190">
            <v>1061697</v>
          </cell>
          <cell r="CP190">
            <v>1069214</v>
          </cell>
          <cell r="CQ190">
            <v>1142575</v>
          </cell>
          <cell r="CR190">
            <v>1155770</v>
          </cell>
          <cell r="CS190">
            <v>1238234</v>
          </cell>
          <cell r="CU190">
            <v>0.23784980573960102</v>
          </cell>
          <cell r="CW190">
            <v>0.23518016230877592</v>
          </cell>
          <cell r="CX190">
            <v>0.55473217712531186</v>
          </cell>
          <cell r="CY190">
            <v>0.13046200345423148</v>
          </cell>
          <cell r="CZ190">
            <v>0.43913871097321977</v>
          </cell>
        </row>
        <row r="191">
          <cell r="B191" t="str">
            <v>Hong Kong</v>
          </cell>
          <cell r="C191">
            <v>6161400</v>
          </cell>
          <cell r="D191">
            <v>6163300</v>
          </cell>
          <cell r="E191">
            <v>6067800</v>
          </cell>
          <cell r="F191">
            <v>6088400</v>
          </cell>
          <cell r="G191">
            <v>5617500</v>
          </cell>
          <cell r="H191">
            <v>5205600</v>
          </cell>
          <cell r="I191">
            <v>4702500</v>
          </cell>
          <cell r="J191">
            <v>4721800</v>
          </cell>
          <cell r="K191">
            <v>4229800</v>
          </cell>
          <cell r="L191">
            <v>339113</v>
          </cell>
          <cell r="M191">
            <v>482017</v>
          </cell>
          <cell r="N191">
            <v>375464</v>
          </cell>
          <cell r="O191">
            <v>464051</v>
          </cell>
          <cell r="P191">
            <v>354954</v>
          </cell>
          <cell r="Q191">
            <v>341611</v>
          </cell>
          <cell r="R191">
            <v>481117</v>
          </cell>
          <cell r="S191">
            <v>529125</v>
          </cell>
          <cell r="T191">
            <v>389414</v>
          </cell>
          <cell r="U191">
            <v>402929</v>
          </cell>
          <cell r="V191">
            <v>360368</v>
          </cell>
          <cell r="W191">
            <v>434456</v>
          </cell>
          <cell r="X191">
            <v>505175</v>
          </cell>
          <cell r="Y191">
            <v>372196</v>
          </cell>
          <cell r="Z191">
            <v>445676</v>
          </cell>
          <cell r="AA191">
            <v>498960</v>
          </cell>
          <cell r="AB191">
            <v>383708</v>
          </cell>
          <cell r="AC191">
            <v>401072</v>
          </cell>
          <cell r="AD191">
            <v>448923</v>
          </cell>
          <cell r="AE191">
            <v>540748</v>
          </cell>
          <cell r="AF191">
            <v>379999</v>
          </cell>
          <cell r="AG191">
            <v>403318</v>
          </cell>
          <cell r="AH191">
            <v>376506</v>
          </cell>
          <cell r="AI191">
            <v>439855</v>
          </cell>
          <cell r="AJ191">
            <v>361257</v>
          </cell>
          <cell r="AK191">
            <v>481911</v>
          </cell>
          <cell r="AL191">
            <v>464155</v>
          </cell>
          <cell r="AM191">
            <v>440408</v>
          </cell>
          <cell r="AN191">
            <v>397240</v>
          </cell>
          <cell r="AO191">
            <v>402443</v>
          </cell>
          <cell r="AP191">
            <v>473078</v>
          </cell>
          <cell r="AQ191">
            <v>526261</v>
          </cell>
          <cell r="AR191">
            <v>372163</v>
          </cell>
          <cell r="AS191">
            <v>391256</v>
          </cell>
          <cell r="AT191">
            <v>373620</v>
          </cell>
          <cell r="AU191">
            <v>417645</v>
          </cell>
          <cell r="AV191">
            <v>369983</v>
          </cell>
          <cell r="AW191">
            <v>472308</v>
          </cell>
          <cell r="AX191">
            <v>355685</v>
          </cell>
          <cell r="AY191">
            <v>295254</v>
          </cell>
          <cell r="AZ191">
            <v>291091</v>
          </cell>
          <cell r="BA191">
            <v>394655</v>
          </cell>
          <cell r="BB191">
            <v>463015</v>
          </cell>
          <cell r="BC191">
            <v>528537</v>
          </cell>
          <cell r="BD191">
            <v>349184</v>
          </cell>
          <cell r="BE191">
            <v>366500</v>
          </cell>
          <cell r="BF191">
            <v>341904</v>
          </cell>
          <cell r="BG191">
            <v>395046</v>
          </cell>
          <cell r="BH191">
            <v>457714</v>
          </cell>
          <cell r="BI191">
            <v>333103</v>
          </cell>
          <cell r="BJ191">
            <v>366897</v>
          </cell>
          <cell r="BK191">
            <v>454662</v>
          </cell>
          <cell r="BL191">
            <v>372091</v>
          </cell>
          <cell r="BM191">
            <v>400702</v>
          </cell>
          <cell r="BN191">
            <v>479466</v>
          </cell>
          <cell r="BO191">
            <v>528488</v>
          </cell>
          <cell r="BP191">
            <v>391054</v>
          </cell>
          <cell r="BQ191">
            <v>422998</v>
          </cell>
          <cell r="BR191">
            <v>386908</v>
          </cell>
          <cell r="BS191">
            <v>456976</v>
          </cell>
          <cell r="BT191">
            <v>376955</v>
          </cell>
          <cell r="BU191">
            <v>495438</v>
          </cell>
          <cell r="BV191">
            <v>485727</v>
          </cell>
          <cell r="BW191">
            <v>439652</v>
          </cell>
          <cell r="BX191">
            <v>442133</v>
          </cell>
          <cell r="BY191">
            <v>413838</v>
          </cell>
          <cell r="BZ191">
            <v>520624</v>
          </cell>
          <cell r="CA191">
            <v>562162</v>
          </cell>
          <cell r="CB191">
            <v>447538</v>
          </cell>
          <cell r="CC191">
            <v>469259</v>
          </cell>
          <cell r="CD191">
            <v>445182</v>
          </cell>
          <cell r="CE191">
            <v>516384</v>
          </cell>
          <cell r="CF191">
            <v>528975</v>
          </cell>
          <cell r="CG191">
            <v>546770</v>
          </cell>
          <cell r="CH191">
            <v>520177</v>
          </cell>
          <cell r="CI191">
            <v>623193</v>
          </cell>
          <cell r="CJ191">
            <v>486552</v>
          </cell>
          <cell r="CK191">
            <v>485800</v>
          </cell>
          <cell r="CL191">
            <v>590609</v>
          </cell>
          <cell r="CM191">
            <v>635769</v>
          </cell>
          <cell r="CN191">
            <v>578931</v>
          </cell>
          <cell r="CO191">
            <v>641486</v>
          </cell>
          <cell r="CP191">
            <v>596085</v>
          </cell>
          <cell r="CQ191">
            <v>706309</v>
          </cell>
          <cell r="CR191">
            <v>604303</v>
          </cell>
          <cell r="CS191">
            <v>678807</v>
          </cell>
          <cell r="CW191">
            <v>0.36779799529032653</v>
          </cell>
          <cell r="CX191">
            <v>0.30967184801381692</v>
          </cell>
          <cell r="CY191">
            <v>0.11389668489733255</v>
          </cell>
          <cell r="CZ191">
            <v>0.38337939067051285</v>
          </cell>
        </row>
        <row r="192">
          <cell r="B192" t="str">
            <v>Taiwan</v>
          </cell>
          <cell r="C192">
            <v>161900</v>
          </cell>
          <cell r="D192">
            <v>236500</v>
          </cell>
          <cell r="E192">
            <v>272300</v>
          </cell>
          <cell r="F192">
            <v>244300</v>
          </cell>
          <cell r="G192">
            <v>280100</v>
          </cell>
          <cell r="H192">
            <v>758800</v>
          </cell>
          <cell r="I192">
            <v>908900</v>
          </cell>
          <cell r="J192">
            <v>816600</v>
          </cell>
          <cell r="K192">
            <v>984800</v>
          </cell>
          <cell r="L192">
            <v>73126</v>
          </cell>
          <cell r="M192">
            <v>91788</v>
          </cell>
          <cell r="N192">
            <v>91370</v>
          </cell>
          <cell r="O192">
            <v>108905</v>
          </cell>
          <cell r="P192">
            <v>110809</v>
          </cell>
          <cell r="Q192">
            <v>107213</v>
          </cell>
          <cell r="R192">
            <v>129022</v>
          </cell>
          <cell r="S192">
            <v>124100</v>
          </cell>
          <cell r="T192">
            <v>119717</v>
          </cell>
          <cell r="U192">
            <v>127422</v>
          </cell>
          <cell r="V192">
            <v>117695</v>
          </cell>
          <cell r="W192">
            <v>109868</v>
          </cell>
          <cell r="X192">
            <v>98405</v>
          </cell>
          <cell r="Y192">
            <v>100867</v>
          </cell>
          <cell r="Z192">
            <v>123738</v>
          </cell>
          <cell r="AA192">
            <v>138147</v>
          </cell>
          <cell r="AB192">
            <v>135248</v>
          </cell>
          <cell r="AC192">
            <v>133391</v>
          </cell>
          <cell r="AD192">
            <v>130060</v>
          </cell>
          <cell r="AE192">
            <v>132809</v>
          </cell>
          <cell r="AF192">
            <v>111193</v>
          </cell>
          <cell r="AG192">
            <v>121583</v>
          </cell>
          <cell r="AH192">
            <v>112185</v>
          </cell>
          <cell r="AI192">
            <v>114200</v>
          </cell>
          <cell r="AJ192">
            <v>97392</v>
          </cell>
          <cell r="AK192">
            <v>105777</v>
          </cell>
          <cell r="AL192">
            <v>135883</v>
          </cell>
          <cell r="AM192">
            <v>147181</v>
          </cell>
          <cell r="AN192">
            <v>135796</v>
          </cell>
          <cell r="AO192">
            <v>127147</v>
          </cell>
          <cell r="AP192">
            <v>142311</v>
          </cell>
          <cell r="AQ192">
            <v>141267</v>
          </cell>
          <cell r="AR192">
            <v>125243</v>
          </cell>
          <cell r="AS192">
            <v>140361</v>
          </cell>
          <cell r="AT192">
            <v>121524</v>
          </cell>
          <cell r="AU192">
            <v>113047</v>
          </cell>
          <cell r="AV192">
            <v>94753</v>
          </cell>
          <cell r="AW192">
            <v>107583</v>
          </cell>
          <cell r="AX192">
            <v>105408</v>
          </cell>
          <cell r="AY192">
            <v>48361</v>
          </cell>
          <cell r="AZ192">
            <v>17427</v>
          </cell>
          <cell r="BA192">
            <v>31266</v>
          </cell>
          <cell r="BB192">
            <v>99667</v>
          </cell>
          <cell r="BC192">
            <v>112606</v>
          </cell>
          <cell r="BD192">
            <v>108704</v>
          </cell>
          <cell r="BE192">
            <v>108066</v>
          </cell>
          <cell r="BF192">
            <v>97818</v>
          </cell>
          <cell r="BG192">
            <v>91171</v>
          </cell>
          <cell r="BH192">
            <v>86715</v>
          </cell>
          <cell r="BI192">
            <v>74072</v>
          </cell>
          <cell r="BJ192">
            <v>96686</v>
          </cell>
          <cell r="BK192">
            <v>110708</v>
          </cell>
          <cell r="BL192">
            <v>86782</v>
          </cell>
          <cell r="BM192">
            <v>107939</v>
          </cell>
          <cell r="BN192">
            <v>114510</v>
          </cell>
          <cell r="BO192">
            <v>121062</v>
          </cell>
          <cell r="BP192">
            <v>117460</v>
          </cell>
          <cell r="BQ192">
            <v>125957</v>
          </cell>
          <cell r="BR192">
            <v>122138</v>
          </cell>
          <cell r="BS192">
            <v>122920</v>
          </cell>
          <cell r="BT192">
            <v>104506</v>
          </cell>
          <cell r="BU192">
            <v>121826</v>
          </cell>
          <cell r="BV192">
            <v>128586</v>
          </cell>
          <cell r="BW192">
            <v>131840</v>
          </cell>
          <cell r="BX192">
            <v>128237</v>
          </cell>
          <cell r="BY192">
            <v>129840</v>
          </cell>
          <cell r="BZ192">
            <v>138761</v>
          </cell>
          <cell r="CA192">
            <v>138181</v>
          </cell>
          <cell r="CB192">
            <v>120265</v>
          </cell>
          <cell r="CC192">
            <v>129603</v>
          </cell>
          <cell r="CD192">
            <v>108291</v>
          </cell>
          <cell r="CE192">
            <v>102547</v>
          </cell>
          <cell r="CF192">
            <v>93254</v>
          </cell>
          <cell r="CG192">
            <v>111968</v>
          </cell>
          <cell r="CH192">
            <v>123817</v>
          </cell>
          <cell r="CI192">
            <v>126528</v>
          </cell>
          <cell r="CJ192">
            <v>112296</v>
          </cell>
          <cell r="CK192">
            <v>116410</v>
          </cell>
          <cell r="CL192">
            <v>133479</v>
          </cell>
          <cell r="CM192">
            <v>133595</v>
          </cell>
          <cell r="CN192">
            <v>121916</v>
          </cell>
          <cell r="CO192">
            <v>128214</v>
          </cell>
          <cell r="CP192">
            <v>118113</v>
          </cell>
          <cell r="CQ192">
            <v>118234</v>
          </cell>
          <cell r="CR192">
            <v>104751</v>
          </cell>
          <cell r="CS192">
            <v>109970</v>
          </cell>
          <cell r="CW192">
            <v>0.15297375837420879</v>
          </cell>
          <cell r="CX192">
            <v>6.149671368259451E-2</v>
          </cell>
          <cell r="CY192">
            <v>9.4073834196891117E-3</v>
          </cell>
          <cell r="CZ192">
            <v>3.1665512710008323E-2</v>
          </cell>
        </row>
        <row r="193">
          <cell r="B193" t="str">
            <v>Japan</v>
          </cell>
          <cell r="L193">
            <v>11543</v>
          </cell>
          <cell r="M193">
            <v>11713</v>
          </cell>
          <cell r="N193">
            <v>12574</v>
          </cell>
          <cell r="O193">
            <v>9369</v>
          </cell>
          <cell r="P193">
            <v>12630</v>
          </cell>
          <cell r="Q193">
            <v>11991</v>
          </cell>
          <cell r="R193">
            <v>10705</v>
          </cell>
          <cell r="S193">
            <v>12370</v>
          </cell>
          <cell r="T193">
            <v>14466</v>
          </cell>
          <cell r="U193">
            <v>11380</v>
          </cell>
          <cell r="V193">
            <v>13278</v>
          </cell>
          <cell r="W193">
            <v>12869</v>
          </cell>
          <cell r="X193">
            <v>12426</v>
          </cell>
          <cell r="Y193">
            <v>12958</v>
          </cell>
          <cell r="Z193">
            <v>13211</v>
          </cell>
          <cell r="AA193">
            <v>10910</v>
          </cell>
          <cell r="AB193">
            <v>12192</v>
          </cell>
          <cell r="AC193">
            <v>12623</v>
          </cell>
          <cell r="AD193">
            <v>10626</v>
          </cell>
          <cell r="AE193">
            <v>13393</v>
          </cell>
          <cell r="AF193">
            <v>11912</v>
          </cell>
          <cell r="AG193">
            <v>8936</v>
          </cell>
          <cell r="AH193">
            <v>10280</v>
          </cell>
          <cell r="AI193">
            <v>11470</v>
          </cell>
          <cell r="AJ193">
            <v>11116</v>
          </cell>
          <cell r="AK193">
            <v>10075</v>
          </cell>
          <cell r="AL193">
            <v>12602</v>
          </cell>
          <cell r="AM193">
            <v>10843</v>
          </cell>
          <cell r="AN193">
            <v>13169</v>
          </cell>
          <cell r="AO193">
            <v>11337</v>
          </cell>
          <cell r="AP193">
            <v>10738</v>
          </cell>
          <cell r="AQ193">
            <v>12698</v>
          </cell>
          <cell r="AR193">
            <v>13082</v>
          </cell>
          <cell r="AS193">
            <v>11152</v>
          </cell>
          <cell r="AT193">
            <v>13522</v>
          </cell>
          <cell r="AU193">
            <v>12254</v>
          </cell>
          <cell r="AV193">
            <v>13285</v>
          </cell>
          <cell r="AW193">
            <v>10124</v>
          </cell>
          <cell r="AX193">
            <v>10235</v>
          </cell>
          <cell r="AY193">
            <v>2515</v>
          </cell>
          <cell r="AZ193">
            <v>2306</v>
          </cell>
          <cell r="BA193">
            <v>2556</v>
          </cell>
          <cell r="BB193">
            <v>4525</v>
          </cell>
          <cell r="BC193">
            <v>7383</v>
          </cell>
          <cell r="BD193">
            <v>7970</v>
          </cell>
          <cell r="BE193">
            <v>6756</v>
          </cell>
          <cell r="BF193">
            <v>8824</v>
          </cell>
          <cell r="BG193">
            <v>9134</v>
          </cell>
          <cell r="BH193">
            <v>8158</v>
          </cell>
          <cell r="BI193">
            <v>6751</v>
          </cell>
          <cell r="BJ193">
            <v>7289</v>
          </cell>
          <cell r="BK193">
            <v>7343</v>
          </cell>
          <cell r="BL193">
            <v>9028</v>
          </cell>
          <cell r="BM193">
            <v>7819</v>
          </cell>
          <cell r="BN193">
            <v>9207</v>
          </cell>
          <cell r="BO193">
            <v>11568</v>
          </cell>
          <cell r="BP193">
            <v>14206</v>
          </cell>
          <cell r="BQ193">
            <v>11900</v>
          </cell>
          <cell r="BR193">
            <v>13974</v>
          </cell>
          <cell r="BS193">
            <v>14941</v>
          </cell>
          <cell r="BT193">
            <v>16031</v>
          </cell>
          <cell r="BU193">
            <v>12207</v>
          </cell>
          <cell r="BV193">
            <v>14527</v>
          </cell>
          <cell r="BW193">
            <v>10214</v>
          </cell>
          <cell r="BX193">
            <v>15228</v>
          </cell>
          <cell r="BY193">
            <v>11832</v>
          </cell>
          <cell r="BZ193">
            <v>12066</v>
          </cell>
          <cell r="CA193">
            <v>13701</v>
          </cell>
          <cell r="CB193">
            <v>16774</v>
          </cell>
          <cell r="CC193">
            <v>12991</v>
          </cell>
          <cell r="CD193">
            <v>17202</v>
          </cell>
          <cell r="CE193">
            <v>16342</v>
          </cell>
          <cell r="CF193">
            <v>16696</v>
          </cell>
          <cell r="CG193">
            <v>14856</v>
          </cell>
          <cell r="CH193">
            <v>18563</v>
          </cell>
          <cell r="CI193">
            <v>12718</v>
          </cell>
          <cell r="CJ193">
            <v>18618</v>
          </cell>
          <cell r="CK193">
            <v>16000</v>
          </cell>
          <cell r="CL193">
            <v>15522</v>
          </cell>
          <cell r="CM193">
            <v>21669</v>
          </cell>
          <cell r="CN193">
            <v>20151</v>
          </cell>
          <cell r="CO193">
            <v>18184</v>
          </cell>
          <cell r="CP193">
            <v>25187</v>
          </cell>
          <cell r="CQ193">
            <v>22026</v>
          </cell>
          <cell r="CR193">
            <v>24074</v>
          </cell>
          <cell r="CS193">
            <v>19258</v>
          </cell>
          <cell r="CW193">
            <v>0.34781544486598936</v>
          </cell>
          <cell r="CX193">
            <v>9.8001823066589909E-3</v>
          </cell>
          <cell r="CY193">
            <v>3.4086547687583947E-3</v>
          </cell>
          <cell r="CZ193">
            <v>1.1473626202823191E-2</v>
          </cell>
        </row>
        <row r="194">
          <cell r="B194" t="str">
            <v>Other East Asia</v>
          </cell>
          <cell r="L194">
            <v>156</v>
          </cell>
          <cell r="M194">
            <v>171</v>
          </cell>
          <cell r="N194">
            <v>189</v>
          </cell>
          <cell r="O194">
            <v>191</v>
          </cell>
          <cell r="P194">
            <v>175</v>
          </cell>
          <cell r="Q194">
            <v>173</v>
          </cell>
          <cell r="R194">
            <v>181</v>
          </cell>
          <cell r="S194">
            <v>233</v>
          </cell>
          <cell r="T194">
            <v>135</v>
          </cell>
          <cell r="U194">
            <v>112</v>
          </cell>
          <cell r="V194">
            <v>141</v>
          </cell>
          <cell r="W194">
            <v>135</v>
          </cell>
          <cell r="X194">
            <v>130</v>
          </cell>
          <cell r="Y194">
            <v>123</v>
          </cell>
          <cell r="Z194">
            <v>177</v>
          </cell>
          <cell r="AA194">
            <v>132</v>
          </cell>
          <cell r="AB194">
            <v>151</v>
          </cell>
          <cell r="AC194">
            <v>166</v>
          </cell>
          <cell r="AD194">
            <v>223</v>
          </cell>
          <cell r="AE194">
            <v>101</v>
          </cell>
          <cell r="AF194">
            <v>119</v>
          </cell>
          <cell r="AG194">
            <v>152</v>
          </cell>
          <cell r="AH194">
            <v>242</v>
          </cell>
          <cell r="AI194">
            <v>175</v>
          </cell>
          <cell r="AJ194">
            <v>204</v>
          </cell>
          <cell r="AK194">
            <v>190</v>
          </cell>
          <cell r="AL194">
            <v>248</v>
          </cell>
          <cell r="AM194">
            <v>221</v>
          </cell>
          <cell r="AN194">
            <v>192</v>
          </cell>
          <cell r="AO194">
            <v>204</v>
          </cell>
          <cell r="AP194">
            <v>166</v>
          </cell>
          <cell r="AQ194">
            <v>307</v>
          </cell>
          <cell r="AR194">
            <v>239</v>
          </cell>
          <cell r="AS194">
            <v>220</v>
          </cell>
          <cell r="AT194">
            <v>218</v>
          </cell>
          <cell r="AU194">
            <v>296</v>
          </cell>
          <cell r="AV194">
            <v>281</v>
          </cell>
          <cell r="AW194">
            <v>167</v>
          </cell>
          <cell r="AX194">
            <v>243</v>
          </cell>
          <cell r="AY194">
            <v>188</v>
          </cell>
          <cell r="AZ194">
            <v>197</v>
          </cell>
          <cell r="BA194">
            <v>158</v>
          </cell>
          <cell r="BB194">
            <v>210</v>
          </cell>
          <cell r="BC194">
            <v>294</v>
          </cell>
          <cell r="BD194">
            <v>266</v>
          </cell>
          <cell r="BE194">
            <v>217</v>
          </cell>
          <cell r="BF194">
            <v>204</v>
          </cell>
          <cell r="BG194">
            <v>242</v>
          </cell>
          <cell r="BH194">
            <v>240</v>
          </cell>
          <cell r="BI194">
            <v>216</v>
          </cell>
          <cell r="BJ194">
            <v>204</v>
          </cell>
          <cell r="BK194">
            <v>253</v>
          </cell>
          <cell r="BL194">
            <v>288</v>
          </cell>
          <cell r="BM194">
            <v>270</v>
          </cell>
          <cell r="BN194">
            <v>407</v>
          </cell>
          <cell r="BO194">
            <v>265</v>
          </cell>
          <cell r="BP194">
            <v>254</v>
          </cell>
          <cell r="BQ194">
            <v>390</v>
          </cell>
          <cell r="BR194">
            <v>371</v>
          </cell>
          <cell r="BS194">
            <v>397</v>
          </cell>
          <cell r="BT194">
            <v>370</v>
          </cell>
          <cell r="BU194">
            <v>309</v>
          </cell>
          <cell r="BV194">
            <v>440</v>
          </cell>
          <cell r="BW194">
            <v>400</v>
          </cell>
          <cell r="BX194">
            <v>387</v>
          </cell>
          <cell r="BY194">
            <v>327</v>
          </cell>
          <cell r="BZ194">
            <v>436</v>
          </cell>
          <cell r="CA194">
            <v>441</v>
          </cell>
          <cell r="CB194">
            <v>390</v>
          </cell>
          <cell r="CC194">
            <v>896</v>
          </cell>
          <cell r="CD194">
            <v>512</v>
          </cell>
          <cell r="CE194">
            <v>393</v>
          </cell>
          <cell r="CF194">
            <v>407</v>
          </cell>
          <cell r="CG194">
            <v>313</v>
          </cell>
          <cell r="CH194">
            <v>409</v>
          </cell>
          <cell r="CI194">
            <v>353</v>
          </cell>
          <cell r="CJ194">
            <v>352</v>
          </cell>
          <cell r="CK194">
            <v>286</v>
          </cell>
          <cell r="CL194">
            <v>214</v>
          </cell>
          <cell r="CM194">
            <v>300</v>
          </cell>
          <cell r="CN194">
            <v>282</v>
          </cell>
          <cell r="CO194">
            <v>293</v>
          </cell>
          <cell r="CP194">
            <v>343</v>
          </cell>
          <cell r="CQ194">
            <v>382</v>
          </cell>
          <cell r="CR194">
            <v>385</v>
          </cell>
          <cell r="CS194">
            <v>290</v>
          </cell>
          <cell r="CW194">
            <v>-2.7989821882951627E-2</v>
          </cell>
          <cell r="CX194">
            <v>2.3567933218192284E-4</v>
          </cell>
          <cell r="CY194">
            <v>-6.5966225292650099E-6</v>
          </cell>
          <cell r="CZ194">
            <v>-2.220441383375352E-5</v>
          </cell>
        </row>
        <row r="195">
          <cell r="CX195">
            <v>0.23518016230877592</v>
          </cell>
          <cell r="CY195">
            <v>0.24580830352032446</v>
          </cell>
          <cell r="CZ195">
            <v>0.8273975463844383</v>
          </cell>
        </row>
        <row r="196">
          <cell r="B196" t="str">
            <v>India</v>
          </cell>
          <cell r="L196">
            <v>408</v>
          </cell>
          <cell r="M196">
            <v>534</v>
          </cell>
          <cell r="N196">
            <v>386</v>
          </cell>
          <cell r="O196">
            <v>836</v>
          </cell>
          <cell r="P196">
            <v>735</v>
          </cell>
          <cell r="Q196">
            <v>726</v>
          </cell>
          <cell r="R196">
            <v>558</v>
          </cell>
          <cell r="S196">
            <v>624</v>
          </cell>
          <cell r="T196">
            <v>634</v>
          </cell>
          <cell r="U196">
            <v>688</v>
          </cell>
          <cell r="V196">
            <v>593</v>
          </cell>
          <cell r="W196">
            <v>808</v>
          </cell>
          <cell r="X196">
            <v>478</v>
          </cell>
          <cell r="Y196">
            <v>410</v>
          </cell>
          <cell r="Z196">
            <v>632</v>
          </cell>
          <cell r="AA196">
            <v>910</v>
          </cell>
          <cell r="AB196">
            <v>731</v>
          </cell>
          <cell r="AC196">
            <v>874</v>
          </cell>
          <cell r="AD196">
            <v>942</v>
          </cell>
          <cell r="AE196">
            <v>875</v>
          </cell>
          <cell r="AF196">
            <v>779</v>
          </cell>
          <cell r="AG196">
            <v>798</v>
          </cell>
          <cell r="AH196">
            <v>521</v>
          </cell>
          <cell r="AI196">
            <v>709</v>
          </cell>
          <cell r="AJ196">
            <v>655</v>
          </cell>
          <cell r="AK196">
            <v>1225</v>
          </cell>
          <cell r="AL196">
            <v>750</v>
          </cell>
          <cell r="AM196">
            <v>786</v>
          </cell>
          <cell r="AN196">
            <v>813</v>
          </cell>
          <cell r="AO196">
            <v>869</v>
          </cell>
          <cell r="AP196">
            <v>1150</v>
          </cell>
          <cell r="AQ196">
            <v>706</v>
          </cell>
          <cell r="AR196">
            <v>735</v>
          </cell>
          <cell r="AS196">
            <v>1004</v>
          </cell>
          <cell r="AT196">
            <v>976</v>
          </cell>
          <cell r="AU196">
            <v>905</v>
          </cell>
          <cell r="AV196">
            <v>707</v>
          </cell>
          <cell r="AW196">
            <v>1149</v>
          </cell>
          <cell r="AX196">
            <v>728</v>
          </cell>
          <cell r="AY196">
            <v>361</v>
          </cell>
          <cell r="AZ196">
            <v>297</v>
          </cell>
          <cell r="BA196">
            <v>488</v>
          </cell>
          <cell r="BB196">
            <v>903</v>
          </cell>
          <cell r="BC196">
            <v>972</v>
          </cell>
          <cell r="BD196">
            <v>1035</v>
          </cell>
          <cell r="BE196">
            <v>962</v>
          </cell>
          <cell r="BF196">
            <v>1145</v>
          </cell>
          <cell r="BG196">
            <v>1073</v>
          </cell>
          <cell r="BH196">
            <v>1028</v>
          </cell>
          <cell r="BI196">
            <v>1051</v>
          </cell>
          <cell r="BJ196">
            <v>962</v>
          </cell>
          <cell r="BK196">
            <v>1393</v>
          </cell>
          <cell r="BL196">
            <v>1364</v>
          </cell>
          <cell r="BM196">
            <v>1725</v>
          </cell>
          <cell r="BN196">
            <v>1329</v>
          </cell>
          <cell r="BO196">
            <v>1222</v>
          </cell>
          <cell r="BP196">
            <v>1245</v>
          </cell>
          <cell r="BQ196">
            <v>1440</v>
          </cell>
          <cell r="BR196">
            <v>1004</v>
          </cell>
          <cell r="BS196">
            <v>1515</v>
          </cell>
          <cell r="BT196">
            <v>1421</v>
          </cell>
          <cell r="BU196">
            <v>970</v>
          </cell>
          <cell r="BV196">
            <v>1512</v>
          </cell>
          <cell r="BW196">
            <v>1525</v>
          </cell>
          <cell r="BX196">
            <v>1862</v>
          </cell>
          <cell r="BY196">
            <v>2505</v>
          </cell>
          <cell r="BZ196">
            <v>1844</v>
          </cell>
          <cell r="CA196">
            <v>1703</v>
          </cell>
          <cell r="CB196">
            <v>1802</v>
          </cell>
          <cell r="CC196">
            <v>1839</v>
          </cell>
          <cell r="CD196">
            <v>1498</v>
          </cell>
          <cell r="CE196">
            <v>2365</v>
          </cell>
          <cell r="CF196">
            <v>1673</v>
          </cell>
          <cell r="CG196">
            <v>1497</v>
          </cell>
          <cell r="CH196">
            <v>1685</v>
          </cell>
          <cell r="CI196">
            <v>2559</v>
          </cell>
          <cell r="CJ196">
            <v>3108</v>
          </cell>
          <cell r="CK196">
            <v>2745</v>
          </cell>
          <cell r="CL196">
            <v>2318</v>
          </cell>
          <cell r="CM196">
            <v>2263</v>
          </cell>
          <cell r="CN196">
            <v>2721</v>
          </cell>
          <cell r="CO196">
            <v>2913</v>
          </cell>
          <cell r="CP196">
            <v>2151</v>
          </cell>
          <cell r="CQ196">
            <v>3270</v>
          </cell>
          <cell r="CR196">
            <v>2693</v>
          </cell>
          <cell r="CS196">
            <v>2445</v>
          </cell>
          <cell r="CW196">
            <v>0.38266384778012674</v>
          </cell>
          <cell r="CX196">
            <v>1.4182738437919784E-3</v>
          </cell>
          <cell r="CY196">
            <v>5.4272212627134889E-4</v>
          </cell>
          <cell r="CZ196">
            <v>1.8268176835951771E-3</v>
          </cell>
        </row>
        <row r="197">
          <cell r="B197" t="str">
            <v>Other South Asia</v>
          </cell>
          <cell r="L197">
            <v>535</v>
          </cell>
          <cell r="M197">
            <v>706</v>
          </cell>
          <cell r="N197">
            <v>573</v>
          </cell>
          <cell r="O197">
            <v>630</v>
          </cell>
          <cell r="P197">
            <v>739</v>
          </cell>
          <cell r="Q197">
            <v>790</v>
          </cell>
          <cell r="R197">
            <v>893</v>
          </cell>
          <cell r="S197">
            <v>774</v>
          </cell>
          <cell r="T197">
            <v>752</v>
          </cell>
          <cell r="U197">
            <v>891</v>
          </cell>
          <cell r="V197">
            <v>1038</v>
          </cell>
          <cell r="W197">
            <v>785</v>
          </cell>
          <cell r="X197">
            <v>919</v>
          </cell>
          <cell r="Y197">
            <v>887</v>
          </cell>
          <cell r="Z197">
            <v>686</v>
          </cell>
          <cell r="AA197">
            <v>906</v>
          </cell>
          <cell r="AB197">
            <v>888</v>
          </cell>
          <cell r="AC197">
            <v>763</v>
          </cell>
          <cell r="AD197">
            <v>753</v>
          </cell>
          <cell r="AE197">
            <v>690</v>
          </cell>
          <cell r="AF197">
            <v>979</v>
          </cell>
          <cell r="AG197">
            <v>738</v>
          </cell>
          <cell r="AH197">
            <v>395</v>
          </cell>
          <cell r="AI197">
            <v>575</v>
          </cell>
          <cell r="AJ197">
            <v>457</v>
          </cell>
          <cell r="AK197">
            <v>425</v>
          </cell>
          <cell r="AL197">
            <v>591</v>
          </cell>
          <cell r="AM197">
            <v>651</v>
          </cell>
          <cell r="AN197">
            <v>588</v>
          </cell>
          <cell r="AO197">
            <v>774</v>
          </cell>
          <cell r="AP197">
            <v>591</v>
          </cell>
          <cell r="AQ197">
            <v>865</v>
          </cell>
          <cell r="AR197">
            <v>578</v>
          </cell>
          <cell r="AS197">
            <v>724</v>
          </cell>
          <cell r="AT197">
            <v>451</v>
          </cell>
          <cell r="AU197">
            <v>840</v>
          </cell>
          <cell r="AV197">
            <v>573</v>
          </cell>
          <cell r="AW197">
            <v>549</v>
          </cell>
          <cell r="AX197">
            <v>589</v>
          </cell>
          <cell r="AY197">
            <v>390</v>
          </cell>
          <cell r="AZ197">
            <v>534</v>
          </cell>
          <cell r="BA197">
            <v>672</v>
          </cell>
          <cell r="BB197">
            <v>902</v>
          </cell>
          <cell r="BC197">
            <v>866</v>
          </cell>
          <cell r="BD197">
            <v>789</v>
          </cell>
          <cell r="BE197">
            <v>763</v>
          </cell>
          <cell r="BF197">
            <v>986</v>
          </cell>
          <cell r="BG197">
            <v>617</v>
          </cell>
          <cell r="BH197">
            <v>950</v>
          </cell>
          <cell r="BI197">
            <v>649</v>
          </cell>
          <cell r="BJ197">
            <v>956</v>
          </cell>
          <cell r="BK197">
            <v>1857</v>
          </cell>
          <cell r="BL197">
            <v>780</v>
          </cell>
          <cell r="BM197">
            <v>841</v>
          </cell>
          <cell r="BN197">
            <v>870</v>
          </cell>
          <cell r="BO197">
            <v>896</v>
          </cell>
          <cell r="BP197">
            <v>787</v>
          </cell>
          <cell r="BQ197">
            <v>849</v>
          </cell>
          <cell r="BR197">
            <v>914</v>
          </cell>
          <cell r="BS197">
            <v>796</v>
          </cell>
          <cell r="BT197">
            <v>711</v>
          </cell>
          <cell r="BU197">
            <v>659</v>
          </cell>
          <cell r="BV197">
            <v>894</v>
          </cell>
          <cell r="BW197">
            <v>1137</v>
          </cell>
          <cell r="BX197">
            <v>1082</v>
          </cell>
          <cell r="BY197">
            <v>1023</v>
          </cell>
          <cell r="BZ197">
            <v>912</v>
          </cell>
          <cell r="CA197">
            <v>848</v>
          </cell>
          <cell r="CB197">
            <v>926</v>
          </cell>
          <cell r="CC197">
            <v>1026</v>
          </cell>
          <cell r="CD197">
            <v>917</v>
          </cell>
          <cell r="CE197">
            <v>873</v>
          </cell>
          <cell r="CF197">
            <v>871</v>
          </cell>
          <cell r="CG197">
            <v>621</v>
          </cell>
          <cell r="CH197">
            <v>1053</v>
          </cell>
          <cell r="CI197">
            <v>1039</v>
          </cell>
          <cell r="CJ197">
            <v>1157</v>
          </cell>
          <cell r="CK197">
            <v>1103</v>
          </cell>
          <cell r="CL197">
            <v>1432</v>
          </cell>
          <cell r="CM197">
            <v>1200</v>
          </cell>
          <cell r="CN197">
            <v>978</v>
          </cell>
          <cell r="CO197">
            <v>1114</v>
          </cell>
          <cell r="CP197">
            <v>1164</v>
          </cell>
          <cell r="CQ197">
            <v>1079</v>
          </cell>
          <cell r="CR197">
            <v>1103</v>
          </cell>
          <cell r="CS197">
            <v>1130</v>
          </cell>
          <cell r="CW197">
            <v>0.23596792668957622</v>
          </cell>
          <cell r="CX197">
            <v>5.2353195164075994E-4</v>
          </cell>
          <cell r="CY197">
            <v>1.2353674918441762E-4</v>
          </cell>
          <cell r="CZ197">
            <v>4.1582811361393014E-4</v>
          </cell>
        </row>
        <row r="199">
          <cell r="B199" t="str">
            <v>Philippines</v>
          </cell>
          <cell r="L199">
            <v>2907</v>
          </cell>
          <cell r="M199">
            <v>3423</v>
          </cell>
          <cell r="N199">
            <v>2825</v>
          </cell>
          <cell r="O199">
            <v>4048</v>
          </cell>
          <cell r="P199">
            <v>3802</v>
          </cell>
          <cell r="Q199">
            <v>3531</v>
          </cell>
          <cell r="R199">
            <v>3469</v>
          </cell>
          <cell r="S199">
            <v>3575</v>
          </cell>
          <cell r="T199">
            <v>3300</v>
          </cell>
          <cell r="U199">
            <v>4328</v>
          </cell>
          <cell r="V199">
            <v>3171</v>
          </cell>
          <cell r="W199">
            <v>3732</v>
          </cell>
          <cell r="X199">
            <v>3845</v>
          </cell>
          <cell r="Y199">
            <v>3365</v>
          </cell>
          <cell r="Z199">
            <v>4105</v>
          </cell>
          <cell r="AA199">
            <v>5467</v>
          </cell>
          <cell r="AB199">
            <v>4839</v>
          </cell>
          <cell r="AC199">
            <v>3994</v>
          </cell>
          <cell r="AD199">
            <v>4019</v>
          </cell>
          <cell r="AE199">
            <v>4301</v>
          </cell>
          <cell r="AF199">
            <v>4406</v>
          </cell>
          <cell r="AG199">
            <v>4276</v>
          </cell>
          <cell r="AH199">
            <v>3496</v>
          </cell>
          <cell r="AI199">
            <v>4592</v>
          </cell>
          <cell r="AJ199">
            <v>3310</v>
          </cell>
          <cell r="AK199">
            <v>4610</v>
          </cell>
          <cell r="AL199">
            <v>4458</v>
          </cell>
          <cell r="AM199">
            <v>4809</v>
          </cell>
          <cell r="AN199">
            <v>4911</v>
          </cell>
          <cell r="AO199">
            <v>4907</v>
          </cell>
          <cell r="AP199">
            <v>4695</v>
          </cell>
          <cell r="AQ199">
            <v>4959</v>
          </cell>
          <cell r="AR199">
            <v>4102</v>
          </cell>
          <cell r="AS199">
            <v>4631</v>
          </cell>
          <cell r="AT199">
            <v>4286</v>
          </cell>
          <cell r="AU199">
            <v>5061</v>
          </cell>
          <cell r="AV199">
            <v>4056</v>
          </cell>
          <cell r="AW199">
            <v>4484</v>
          </cell>
          <cell r="AX199">
            <v>4148</v>
          </cell>
          <cell r="AY199">
            <v>2829</v>
          </cell>
          <cell r="AZ199">
            <v>2727</v>
          </cell>
          <cell r="BA199">
            <v>3118</v>
          </cell>
          <cell r="BB199">
            <v>4430</v>
          </cell>
          <cell r="BC199">
            <v>5215</v>
          </cell>
          <cell r="BD199">
            <v>4868</v>
          </cell>
          <cell r="BE199">
            <v>5097</v>
          </cell>
          <cell r="BF199">
            <v>5742</v>
          </cell>
          <cell r="BG199">
            <v>5448</v>
          </cell>
          <cell r="BH199">
            <v>4973</v>
          </cell>
          <cell r="BI199">
            <v>4462</v>
          </cell>
          <cell r="BJ199">
            <v>5697</v>
          </cell>
          <cell r="BK199">
            <v>6853</v>
          </cell>
          <cell r="BL199">
            <v>6572</v>
          </cell>
          <cell r="BM199">
            <v>5901</v>
          </cell>
          <cell r="BN199">
            <v>7361</v>
          </cell>
          <cell r="BO199">
            <v>8361</v>
          </cell>
          <cell r="BP199">
            <v>5536</v>
          </cell>
          <cell r="BQ199">
            <v>6862</v>
          </cell>
          <cell r="BR199">
            <v>6581</v>
          </cell>
          <cell r="BS199">
            <v>7719</v>
          </cell>
          <cell r="BT199">
            <v>6263</v>
          </cell>
          <cell r="BU199">
            <v>6505</v>
          </cell>
          <cell r="BV199">
            <v>7302</v>
          </cell>
          <cell r="BW199">
            <v>7349</v>
          </cell>
          <cell r="BX199">
            <v>7894</v>
          </cell>
          <cell r="BY199">
            <v>7008</v>
          </cell>
          <cell r="BZ199">
            <v>7337</v>
          </cell>
          <cell r="CA199">
            <v>7398</v>
          </cell>
          <cell r="CB199">
            <v>7450</v>
          </cell>
          <cell r="CC199">
            <v>8583</v>
          </cell>
          <cell r="CD199">
            <v>9549</v>
          </cell>
          <cell r="CE199">
            <v>11240</v>
          </cell>
          <cell r="CF199">
            <v>10672</v>
          </cell>
          <cell r="CG199">
            <v>11065</v>
          </cell>
          <cell r="CH199">
            <v>12283</v>
          </cell>
          <cell r="CI199">
            <v>16668</v>
          </cell>
          <cell r="CJ199">
            <v>16348</v>
          </cell>
          <cell r="CK199">
            <v>13002</v>
          </cell>
          <cell r="CL199">
            <v>13565</v>
          </cell>
          <cell r="CM199">
            <v>14102</v>
          </cell>
          <cell r="CN199">
            <v>14225</v>
          </cell>
          <cell r="CO199">
            <v>17464</v>
          </cell>
          <cell r="CP199">
            <v>16340</v>
          </cell>
          <cell r="CQ199">
            <v>20512</v>
          </cell>
          <cell r="CR199">
            <v>16889</v>
          </cell>
          <cell r="CS199">
            <v>16803</v>
          </cell>
          <cell r="CW199">
            <v>0.82491103202846983</v>
          </cell>
          <cell r="CX199">
            <v>6.7405488389944345E-3</v>
          </cell>
          <cell r="CY199">
            <v>5.5603530992132033E-3</v>
          </cell>
          <cell r="CZ199">
            <v>1.8716302278778442E-2</v>
          </cell>
        </row>
        <row r="200">
          <cell r="B200" t="str">
            <v>Indonesia</v>
          </cell>
          <cell r="L200">
            <v>2719</v>
          </cell>
          <cell r="M200">
            <v>838</v>
          </cell>
          <cell r="N200">
            <v>774</v>
          </cell>
          <cell r="O200">
            <v>1774</v>
          </cell>
          <cell r="P200">
            <v>970</v>
          </cell>
          <cell r="Q200">
            <v>954</v>
          </cell>
          <cell r="R200">
            <v>1437</v>
          </cell>
          <cell r="S200">
            <v>1056</v>
          </cell>
          <cell r="T200">
            <v>1019</v>
          </cell>
          <cell r="U200">
            <v>1486</v>
          </cell>
          <cell r="V200">
            <v>953</v>
          </cell>
          <cell r="W200">
            <v>2940</v>
          </cell>
          <cell r="X200">
            <v>1838</v>
          </cell>
          <cell r="Y200">
            <v>850</v>
          </cell>
          <cell r="Z200">
            <v>890</v>
          </cell>
          <cell r="AA200">
            <v>1219</v>
          </cell>
          <cell r="AB200">
            <v>935</v>
          </cell>
          <cell r="AC200">
            <v>847</v>
          </cell>
          <cell r="AD200">
            <v>1177</v>
          </cell>
          <cell r="AE200">
            <v>1085</v>
          </cell>
          <cell r="AF200">
            <v>1114</v>
          </cell>
          <cell r="AG200">
            <v>1389</v>
          </cell>
          <cell r="AH200">
            <v>1185</v>
          </cell>
          <cell r="AI200">
            <v>4242</v>
          </cell>
          <cell r="AJ200">
            <v>1093</v>
          </cell>
          <cell r="AK200">
            <v>995</v>
          </cell>
          <cell r="AL200">
            <v>1087</v>
          </cell>
          <cell r="AM200">
            <v>1480</v>
          </cell>
          <cell r="AN200">
            <v>1197</v>
          </cell>
          <cell r="AO200">
            <v>1378</v>
          </cell>
          <cell r="AP200">
            <v>1779</v>
          </cell>
          <cell r="AQ200">
            <v>1359</v>
          </cell>
          <cell r="AR200">
            <v>1415</v>
          </cell>
          <cell r="AS200">
            <v>1610</v>
          </cell>
          <cell r="AT200">
            <v>1115</v>
          </cell>
          <cell r="AU200">
            <v>4915</v>
          </cell>
          <cell r="AV200">
            <v>1615</v>
          </cell>
          <cell r="AW200">
            <v>1139</v>
          </cell>
          <cell r="AX200">
            <v>700</v>
          </cell>
          <cell r="AY200">
            <v>354</v>
          </cell>
          <cell r="AZ200">
            <v>312</v>
          </cell>
          <cell r="BA200">
            <v>604</v>
          </cell>
          <cell r="BB200">
            <v>947</v>
          </cell>
          <cell r="BC200">
            <v>1650</v>
          </cell>
          <cell r="BD200">
            <v>1434</v>
          </cell>
          <cell r="BE200">
            <v>1699</v>
          </cell>
          <cell r="BF200">
            <v>3794</v>
          </cell>
          <cell r="BG200">
            <v>3457</v>
          </cell>
          <cell r="BH200">
            <v>2156</v>
          </cell>
          <cell r="BI200">
            <v>1478</v>
          </cell>
          <cell r="BJ200">
            <v>1518</v>
          </cell>
          <cell r="BK200">
            <v>2138</v>
          </cell>
          <cell r="BL200">
            <v>2142</v>
          </cell>
          <cell r="BM200">
            <v>2527</v>
          </cell>
          <cell r="BN200">
            <v>3175</v>
          </cell>
          <cell r="BO200">
            <v>3218</v>
          </cell>
          <cell r="BP200">
            <v>2155</v>
          </cell>
          <cell r="BQ200">
            <v>2485</v>
          </cell>
          <cell r="BR200">
            <v>5818</v>
          </cell>
          <cell r="BS200">
            <v>4129</v>
          </cell>
          <cell r="BT200">
            <v>2712</v>
          </cell>
          <cell r="BU200">
            <v>2583</v>
          </cell>
          <cell r="BV200">
            <v>3029</v>
          </cell>
          <cell r="BW200">
            <v>3266</v>
          </cell>
          <cell r="BX200">
            <v>2967</v>
          </cell>
          <cell r="BY200">
            <v>2922</v>
          </cell>
          <cell r="BZ200">
            <v>3999</v>
          </cell>
          <cell r="CA200">
            <v>3237</v>
          </cell>
          <cell r="CB200">
            <v>3474</v>
          </cell>
          <cell r="CC200">
            <v>3860</v>
          </cell>
          <cell r="CD200">
            <v>8297</v>
          </cell>
          <cell r="CE200">
            <v>5808</v>
          </cell>
          <cell r="CF200">
            <v>4154</v>
          </cell>
          <cell r="CG200">
            <v>3614</v>
          </cell>
          <cell r="CH200">
            <v>3715</v>
          </cell>
          <cell r="CI200">
            <v>5431</v>
          </cell>
          <cell r="CJ200">
            <v>4637</v>
          </cell>
          <cell r="CK200">
            <v>4950</v>
          </cell>
          <cell r="CL200">
            <v>6195</v>
          </cell>
          <cell r="CM200">
            <v>5472</v>
          </cell>
          <cell r="CN200">
            <v>4351</v>
          </cell>
          <cell r="CO200">
            <v>10591</v>
          </cell>
          <cell r="CP200">
            <v>5188</v>
          </cell>
          <cell r="CQ200">
            <v>9816</v>
          </cell>
          <cell r="CR200">
            <v>6961</v>
          </cell>
          <cell r="CS200">
            <v>4992</v>
          </cell>
          <cell r="CW200">
            <v>0.69008264462809921</v>
          </cell>
          <cell r="CX200">
            <v>3.4830166954519285E-3</v>
          </cell>
          <cell r="CY200">
            <v>2.4035693724812897E-3</v>
          </cell>
          <cell r="CZ200">
            <v>8.0904809677894724E-3</v>
          </cell>
        </row>
        <row r="201">
          <cell r="B201" t="str">
            <v>Malaysia</v>
          </cell>
          <cell r="L201">
            <v>1619</v>
          </cell>
          <cell r="M201">
            <v>1715</v>
          </cell>
          <cell r="N201">
            <v>1942</v>
          </cell>
          <cell r="O201">
            <v>2259</v>
          </cell>
          <cell r="P201">
            <v>2410</v>
          </cell>
          <cell r="Q201">
            <v>1752</v>
          </cell>
          <cell r="R201">
            <v>1575</v>
          </cell>
          <cell r="S201">
            <v>1841</v>
          </cell>
          <cell r="T201">
            <v>2533</v>
          </cell>
          <cell r="U201">
            <v>2046</v>
          </cell>
          <cell r="V201">
            <v>2702</v>
          </cell>
          <cell r="W201">
            <v>3359</v>
          </cell>
          <cell r="X201">
            <v>2197</v>
          </cell>
          <cell r="Y201">
            <v>1572</v>
          </cell>
          <cell r="Z201">
            <v>2385</v>
          </cell>
          <cell r="AA201">
            <v>2006</v>
          </cell>
          <cell r="AB201">
            <v>2813</v>
          </cell>
          <cell r="AC201">
            <v>1985</v>
          </cell>
          <cell r="AD201">
            <v>1584</v>
          </cell>
          <cell r="AE201">
            <v>1966</v>
          </cell>
          <cell r="AF201">
            <v>2624</v>
          </cell>
          <cell r="AG201">
            <v>2039</v>
          </cell>
          <cell r="AH201">
            <v>2141</v>
          </cell>
          <cell r="AI201">
            <v>3942</v>
          </cell>
          <cell r="AJ201">
            <v>1647</v>
          </cell>
          <cell r="AK201">
            <v>3089</v>
          </cell>
          <cell r="AL201">
            <v>2650</v>
          </cell>
          <cell r="AM201">
            <v>2321</v>
          </cell>
          <cell r="AN201">
            <v>2419</v>
          </cell>
          <cell r="AO201">
            <v>2000</v>
          </cell>
          <cell r="AP201">
            <v>1978</v>
          </cell>
          <cell r="AQ201">
            <v>2358</v>
          </cell>
          <cell r="AR201">
            <v>2538</v>
          </cell>
          <cell r="AS201">
            <v>2301</v>
          </cell>
          <cell r="AT201">
            <v>3364</v>
          </cell>
          <cell r="AU201">
            <v>4658</v>
          </cell>
          <cell r="AV201">
            <v>1748</v>
          </cell>
          <cell r="AW201">
            <v>2467</v>
          </cell>
          <cell r="AX201">
            <v>2174</v>
          </cell>
          <cell r="AY201">
            <v>627</v>
          </cell>
          <cell r="AZ201">
            <v>624</v>
          </cell>
          <cell r="BA201">
            <v>1027</v>
          </cell>
          <cell r="BB201">
            <v>1455</v>
          </cell>
          <cell r="BC201">
            <v>1947</v>
          </cell>
          <cell r="BD201">
            <v>2571</v>
          </cell>
          <cell r="BE201">
            <v>2658</v>
          </cell>
          <cell r="BF201">
            <v>4025</v>
          </cell>
          <cell r="BG201">
            <v>3232</v>
          </cell>
          <cell r="BH201">
            <v>1959</v>
          </cell>
          <cell r="BI201">
            <v>1732</v>
          </cell>
          <cell r="BJ201">
            <v>2722</v>
          </cell>
          <cell r="BK201">
            <v>3150</v>
          </cell>
          <cell r="BL201">
            <v>3342</v>
          </cell>
          <cell r="BM201">
            <v>3275</v>
          </cell>
          <cell r="BN201">
            <v>3128</v>
          </cell>
          <cell r="BO201">
            <v>4363</v>
          </cell>
          <cell r="BP201">
            <v>3711</v>
          </cell>
          <cell r="BQ201">
            <v>4498</v>
          </cell>
          <cell r="BR201">
            <v>6718</v>
          </cell>
          <cell r="BS201">
            <v>9793</v>
          </cell>
          <cell r="BT201">
            <v>8567</v>
          </cell>
          <cell r="BU201">
            <v>5591</v>
          </cell>
          <cell r="BV201">
            <v>8329</v>
          </cell>
          <cell r="BW201">
            <v>7886</v>
          </cell>
          <cell r="BX201">
            <v>8676</v>
          </cell>
          <cell r="BY201">
            <v>7280</v>
          </cell>
          <cell r="BZ201">
            <v>6510</v>
          </cell>
          <cell r="CA201">
            <v>5656</v>
          </cell>
          <cell r="CB201">
            <v>7299</v>
          </cell>
          <cell r="CC201">
            <v>8111</v>
          </cell>
          <cell r="CD201">
            <v>11474</v>
          </cell>
          <cell r="CE201">
            <v>13071</v>
          </cell>
          <cell r="CF201">
            <v>9529</v>
          </cell>
          <cell r="CG201">
            <v>11641</v>
          </cell>
          <cell r="CH201">
            <v>16959</v>
          </cell>
          <cell r="CI201">
            <v>15864</v>
          </cell>
          <cell r="CJ201">
            <v>15912</v>
          </cell>
          <cell r="CK201">
            <v>14921</v>
          </cell>
          <cell r="CL201">
            <v>13736</v>
          </cell>
          <cell r="CM201">
            <v>12965</v>
          </cell>
          <cell r="CN201">
            <v>18213</v>
          </cell>
          <cell r="CO201">
            <v>19745</v>
          </cell>
          <cell r="CP201">
            <v>23215</v>
          </cell>
          <cell r="CQ201">
            <v>30121</v>
          </cell>
          <cell r="CR201">
            <v>22358</v>
          </cell>
          <cell r="CS201">
            <v>18592</v>
          </cell>
          <cell r="CW201">
            <v>1.3044143523831382</v>
          </cell>
          <cell r="CX201">
            <v>7.8385866436384566E-3</v>
          </cell>
          <cell r="CY201">
            <v>1.0224764920360774E-2</v>
          </cell>
          <cell r="CZ201">
            <v>3.4416841442317991E-2</v>
          </cell>
        </row>
        <row r="202">
          <cell r="B202" t="str">
            <v>Singapore</v>
          </cell>
          <cell r="L202">
            <v>1493</v>
          </cell>
          <cell r="M202">
            <v>1787</v>
          </cell>
          <cell r="N202">
            <v>1993</v>
          </cell>
          <cell r="O202">
            <v>2139</v>
          </cell>
          <cell r="P202">
            <v>1983</v>
          </cell>
          <cell r="Q202">
            <v>2494</v>
          </cell>
          <cell r="R202">
            <v>1804</v>
          </cell>
          <cell r="S202">
            <v>1729</v>
          </cell>
          <cell r="T202">
            <v>2039</v>
          </cell>
          <cell r="U202">
            <v>1935</v>
          </cell>
          <cell r="V202">
            <v>2396</v>
          </cell>
          <cell r="W202">
            <v>4234</v>
          </cell>
          <cell r="X202">
            <v>1787</v>
          </cell>
          <cell r="Y202">
            <v>1448</v>
          </cell>
          <cell r="Z202">
            <v>2836</v>
          </cell>
          <cell r="AA202">
            <v>1942</v>
          </cell>
          <cell r="AB202">
            <v>2336</v>
          </cell>
          <cell r="AC202">
            <v>2693</v>
          </cell>
          <cell r="AD202">
            <v>1900</v>
          </cell>
          <cell r="AE202">
            <v>2136</v>
          </cell>
          <cell r="AF202">
            <v>1686</v>
          </cell>
          <cell r="AG202">
            <v>1543</v>
          </cell>
          <cell r="AH202">
            <v>1920</v>
          </cell>
          <cell r="AI202">
            <v>3475</v>
          </cell>
          <cell r="AJ202">
            <v>1527</v>
          </cell>
          <cell r="AK202">
            <v>1707</v>
          </cell>
          <cell r="AL202">
            <v>2478</v>
          </cell>
          <cell r="AM202">
            <v>1895</v>
          </cell>
          <cell r="AN202">
            <v>2257</v>
          </cell>
          <cell r="AO202">
            <v>2431</v>
          </cell>
          <cell r="AP202">
            <v>2223</v>
          </cell>
          <cell r="AQ202">
            <v>2401</v>
          </cell>
          <cell r="AR202">
            <v>1951</v>
          </cell>
          <cell r="AS202">
            <v>2418</v>
          </cell>
          <cell r="AT202">
            <v>3893</v>
          </cell>
          <cell r="AU202">
            <v>5759</v>
          </cell>
          <cell r="AV202">
            <v>2025</v>
          </cell>
          <cell r="AW202">
            <v>2225</v>
          </cell>
          <cell r="AX202">
            <v>2480</v>
          </cell>
          <cell r="AY202">
            <v>674</v>
          </cell>
          <cell r="AZ202">
            <v>806</v>
          </cell>
          <cell r="BA202">
            <v>1343</v>
          </cell>
          <cell r="BB202">
            <v>2013</v>
          </cell>
          <cell r="BC202">
            <v>2520</v>
          </cell>
          <cell r="BD202">
            <v>2181</v>
          </cell>
          <cell r="BE202">
            <v>2792</v>
          </cell>
          <cell r="BF202">
            <v>3004</v>
          </cell>
          <cell r="BG202">
            <v>3704</v>
          </cell>
          <cell r="BH202">
            <v>2109</v>
          </cell>
          <cell r="BI202">
            <v>2117</v>
          </cell>
          <cell r="BJ202">
            <v>2788</v>
          </cell>
          <cell r="BK202">
            <v>2796</v>
          </cell>
          <cell r="BL202">
            <v>3036</v>
          </cell>
          <cell r="BM202">
            <v>4783</v>
          </cell>
          <cell r="BN202">
            <v>3267</v>
          </cell>
          <cell r="BO202">
            <v>3730</v>
          </cell>
          <cell r="BP202">
            <v>3505</v>
          </cell>
          <cell r="BQ202">
            <v>3811</v>
          </cell>
          <cell r="BR202">
            <v>5791</v>
          </cell>
          <cell r="BS202">
            <v>8027</v>
          </cell>
          <cell r="BT202">
            <v>4934</v>
          </cell>
          <cell r="BU202">
            <v>3261</v>
          </cell>
          <cell r="BV202">
            <v>5666</v>
          </cell>
          <cell r="BW202">
            <v>6233</v>
          </cell>
          <cell r="BX202">
            <v>8526</v>
          </cell>
          <cell r="BY202">
            <v>7221</v>
          </cell>
          <cell r="BZ202">
            <v>5767</v>
          </cell>
          <cell r="CA202">
            <v>5633</v>
          </cell>
          <cell r="CB202">
            <v>5884</v>
          </cell>
          <cell r="CC202">
            <v>6851</v>
          </cell>
          <cell r="CD202">
            <v>10418</v>
          </cell>
          <cell r="CE202">
            <v>11904</v>
          </cell>
          <cell r="CF202">
            <v>6050</v>
          </cell>
          <cell r="CG202">
            <v>7572</v>
          </cell>
          <cell r="CH202">
            <v>10268</v>
          </cell>
          <cell r="CI202">
            <v>8614</v>
          </cell>
          <cell r="CJ202">
            <v>9656</v>
          </cell>
          <cell r="CK202">
            <v>10703</v>
          </cell>
          <cell r="CL202">
            <v>8909</v>
          </cell>
          <cell r="CM202">
            <v>9053</v>
          </cell>
          <cell r="CN202">
            <v>10005</v>
          </cell>
          <cell r="CO202">
            <v>10538</v>
          </cell>
          <cell r="CP202">
            <v>14573</v>
          </cell>
          <cell r="CQ202">
            <v>20350</v>
          </cell>
          <cell r="CR202">
            <v>11364</v>
          </cell>
          <cell r="CS202">
            <v>8413</v>
          </cell>
          <cell r="CW202">
            <v>0.7095094086021505</v>
          </cell>
          <cell r="CX202">
            <v>7.1387449625791594E-3</v>
          </cell>
          <cell r="CY202">
            <v>5.0650067165611207E-3</v>
          </cell>
          <cell r="CZ202">
            <v>1.7048952658171128E-2</v>
          </cell>
        </row>
        <row r="203">
          <cell r="B203" t="str">
            <v>Thailand</v>
          </cell>
          <cell r="L203">
            <v>1898</v>
          </cell>
          <cell r="M203">
            <v>1768</v>
          </cell>
          <cell r="N203">
            <v>1708</v>
          </cell>
          <cell r="O203">
            <v>2915</v>
          </cell>
          <cell r="P203">
            <v>2507</v>
          </cell>
          <cell r="Q203">
            <v>1523</v>
          </cell>
          <cell r="R203">
            <v>1836</v>
          </cell>
          <cell r="S203">
            <v>1726</v>
          </cell>
          <cell r="T203">
            <v>1756</v>
          </cell>
          <cell r="U203">
            <v>2415</v>
          </cell>
          <cell r="V203">
            <v>2060</v>
          </cell>
          <cell r="W203">
            <v>2284</v>
          </cell>
          <cell r="X203">
            <v>1691</v>
          </cell>
          <cell r="Y203">
            <v>1631</v>
          </cell>
          <cell r="Z203">
            <v>2099</v>
          </cell>
          <cell r="AA203">
            <v>2237</v>
          </cell>
          <cell r="AB203">
            <v>1854</v>
          </cell>
          <cell r="AC203">
            <v>1903</v>
          </cell>
          <cell r="AD203">
            <v>1621</v>
          </cell>
          <cell r="AE203">
            <v>1631</v>
          </cell>
          <cell r="AF203">
            <v>1530</v>
          </cell>
          <cell r="AG203">
            <v>1604</v>
          </cell>
          <cell r="AH203">
            <v>1579</v>
          </cell>
          <cell r="AI203">
            <v>2192</v>
          </cell>
          <cell r="AJ203">
            <v>1493</v>
          </cell>
          <cell r="AK203">
            <v>1447</v>
          </cell>
          <cell r="AL203">
            <v>1973</v>
          </cell>
          <cell r="AM203">
            <v>3161</v>
          </cell>
          <cell r="AN203">
            <v>1891</v>
          </cell>
          <cell r="AO203">
            <v>1478</v>
          </cell>
          <cell r="AP203">
            <v>1872</v>
          </cell>
          <cell r="AQ203">
            <v>2168</v>
          </cell>
          <cell r="AR203">
            <v>1846</v>
          </cell>
          <cell r="AS203">
            <v>2621</v>
          </cell>
          <cell r="AT203">
            <v>1956</v>
          </cell>
          <cell r="AU203">
            <v>2719</v>
          </cell>
          <cell r="AV203">
            <v>1876</v>
          </cell>
          <cell r="AW203">
            <v>1891</v>
          </cell>
          <cell r="AX203">
            <v>1628</v>
          </cell>
          <cell r="AY203">
            <v>874</v>
          </cell>
          <cell r="AZ203">
            <v>563</v>
          </cell>
          <cell r="BA203">
            <v>690</v>
          </cell>
          <cell r="BB203">
            <v>1129</v>
          </cell>
          <cell r="BC203">
            <v>1463</v>
          </cell>
          <cell r="BD203">
            <v>1547</v>
          </cell>
          <cell r="BE203">
            <v>1932</v>
          </cell>
          <cell r="BF203">
            <v>2003</v>
          </cell>
          <cell r="BG203">
            <v>2500</v>
          </cell>
          <cell r="BH203">
            <v>2388</v>
          </cell>
          <cell r="BI203">
            <v>1471</v>
          </cell>
          <cell r="BJ203">
            <v>2251</v>
          </cell>
          <cell r="BK203">
            <v>3160</v>
          </cell>
          <cell r="BL203">
            <v>2118</v>
          </cell>
          <cell r="BM203">
            <v>1948</v>
          </cell>
          <cell r="BN203">
            <v>3630</v>
          </cell>
          <cell r="BO203">
            <v>2805</v>
          </cell>
          <cell r="BP203">
            <v>3537</v>
          </cell>
          <cell r="BQ203">
            <v>6601</v>
          </cell>
          <cell r="BR203">
            <v>4773</v>
          </cell>
          <cell r="BS203">
            <v>7159</v>
          </cell>
          <cell r="BT203">
            <v>6923</v>
          </cell>
          <cell r="BU203">
            <v>3129</v>
          </cell>
          <cell r="BV203">
            <v>5395</v>
          </cell>
          <cell r="BW203">
            <v>8349</v>
          </cell>
          <cell r="BX203">
            <v>5525</v>
          </cell>
          <cell r="BY203">
            <v>3785</v>
          </cell>
          <cell r="BZ203">
            <v>4768</v>
          </cell>
          <cell r="CA203">
            <v>3298</v>
          </cell>
          <cell r="CB203">
            <v>2823</v>
          </cell>
          <cell r="CC203">
            <v>4954</v>
          </cell>
          <cell r="CD203">
            <v>3398</v>
          </cell>
          <cell r="CE203">
            <v>5529</v>
          </cell>
          <cell r="CF203">
            <v>3808</v>
          </cell>
          <cell r="CG203">
            <v>5191</v>
          </cell>
          <cell r="CH203">
            <v>7243</v>
          </cell>
          <cell r="CI203">
            <v>9519</v>
          </cell>
          <cell r="CJ203">
            <v>8064</v>
          </cell>
          <cell r="CK203">
            <v>6228</v>
          </cell>
          <cell r="CL203">
            <v>7252</v>
          </cell>
          <cell r="CM203">
            <v>6508</v>
          </cell>
          <cell r="CN203">
            <v>6211</v>
          </cell>
          <cell r="CO203">
            <v>9403</v>
          </cell>
          <cell r="CP203">
            <v>7771</v>
          </cell>
          <cell r="CQ203">
            <v>12250</v>
          </cell>
          <cell r="CR203">
            <v>9370</v>
          </cell>
          <cell r="CS203">
            <v>5469</v>
          </cell>
          <cell r="CW203">
            <v>1.2155905226984989</v>
          </cell>
          <cell r="CX203">
            <v>3.3157023603914795E-3</v>
          </cell>
          <cell r="CY203">
            <v>4.0305363653809247E-3</v>
          </cell>
          <cell r="CZ203">
            <v>1.3566896852423413E-2</v>
          </cell>
        </row>
        <row r="204">
          <cell r="B204" t="str">
            <v>Other Southeast Asia</v>
          </cell>
          <cell r="L204">
            <v>329</v>
          </cell>
          <cell r="M204">
            <v>712</v>
          </cell>
          <cell r="N204">
            <v>479</v>
          </cell>
          <cell r="O204">
            <v>796</v>
          </cell>
          <cell r="P204">
            <v>589</v>
          </cell>
          <cell r="Q204">
            <v>562</v>
          </cell>
          <cell r="R204">
            <v>637</v>
          </cell>
          <cell r="S204">
            <v>653</v>
          </cell>
          <cell r="T204">
            <v>406</v>
          </cell>
          <cell r="U204">
            <v>495</v>
          </cell>
          <cell r="V204">
            <v>538</v>
          </cell>
          <cell r="W204">
            <v>444</v>
          </cell>
          <cell r="X204">
            <v>529</v>
          </cell>
          <cell r="Y204">
            <v>623</v>
          </cell>
          <cell r="Z204">
            <v>668</v>
          </cell>
          <cell r="AA204">
            <v>960</v>
          </cell>
          <cell r="AB204">
            <v>685</v>
          </cell>
          <cell r="AC204">
            <v>886</v>
          </cell>
          <cell r="AD204">
            <v>1000</v>
          </cell>
          <cell r="AE204">
            <v>877</v>
          </cell>
          <cell r="AF204">
            <v>551</v>
          </cell>
          <cell r="AG204">
            <v>450</v>
          </cell>
          <cell r="AH204">
            <v>415</v>
          </cell>
          <cell r="AI204">
            <v>377</v>
          </cell>
          <cell r="AJ204">
            <v>408</v>
          </cell>
          <cell r="AK204">
            <v>393</v>
          </cell>
          <cell r="AL204">
            <v>493</v>
          </cell>
          <cell r="AM204">
            <v>1098</v>
          </cell>
          <cell r="AN204">
            <v>576</v>
          </cell>
          <cell r="AO204">
            <v>836</v>
          </cell>
          <cell r="AP204">
            <v>896</v>
          </cell>
          <cell r="AQ204">
            <v>1053</v>
          </cell>
          <cell r="AR204">
            <v>814</v>
          </cell>
          <cell r="AS204">
            <v>841</v>
          </cell>
          <cell r="AT204">
            <v>701</v>
          </cell>
          <cell r="AU204">
            <v>739</v>
          </cell>
          <cell r="AV204">
            <v>631</v>
          </cell>
          <cell r="AW204">
            <v>1215</v>
          </cell>
          <cell r="AX204">
            <v>857</v>
          </cell>
          <cell r="AY204">
            <v>262</v>
          </cell>
          <cell r="AZ204">
            <v>193</v>
          </cell>
          <cell r="BA204">
            <v>323</v>
          </cell>
          <cell r="BB204">
            <v>413</v>
          </cell>
          <cell r="BC204">
            <v>785</v>
          </cell>
          <cell r="BD204">
            <v>1050</v>
          </cell>
          <cell r="BE204">
            <v>728</v>
          </cell>
          <cell r="BF204">
            <v>1047</v>
          </cell>
          <cell r="BG204">
            <v>753</v>
          </cell>
          <cell r="BH204">
            <v>865</v>
          </cell>
          <cell r="BI204">
            <v>549</v>
          </cell>
          <cell r="BJ204">
            <v>920</v>
          </cell>
          <cell r="BK204">
            <v>1522</v>
          </cell>
          <cell r="BL204">
            <v>1074</v>
          </cell>
          <cell r="BM204">
            <v>1410</v>
          </cell>
          <cell r="BN204">
            <v>1747</v>
          </cell>
          <cell r="BO204">
            <v>1436</v>
          </cell>
          <cell r="BP204">
            <v>1186</v>
          </cell>
          <cell r="BQ204">
            <v>1312</v>
          </cell>
          <cell r="BR204">
            <v>1359</v>
          </cell>
          <cell r="BS204">
            <v>1334</v>
          </cell>
          <cell r="BT204">
            <v>1028</v>
          </cell>
          <cell r="BU204">
            <v>1124</v>
          </cell>
          <cell r="BV204">
            <v>937</v>
          </cell>
          <cell r="BW204">
            <v>1764</v>
          </cell>
          <cell r="BX204">
            <v>1343</v>
          </cell>
          <cell r="BY204">
            <v>1541</v>
          </cell>
          <cell r="BZ204">
            <v>1884</v>
          </cell>
          <cell r="CA204">
            <v>1799</v>
          </cell>
          <cell r="CB204">
            <v>1279</v>
          </cell>
          <cell r="CC204">
            <v>1410</v>
          </cell>
          <cell r="CD204">
            <v>1567</v>
          </cell>
          <cell r="CE204">
            <v>1768</v>
          </cell>
          <cell r="CF204">
            <v>1383</v>
          </cell>
          <cell r="CG204">
            <v>2090</v>
          </cell>
          <cell r="CH204">
            <v>1692</v>
          </cell>
          <cell r="CI204">
            <v>2514</v>
          </cell>
          <cell r="CJ204">
            <v>2103</v>
          </cell>
          <cell r="CK204">
            <v>2608</v>
          </cell>
          <cell r="CL204">
            <v>3292</v>
          </cell>
          <cell r="CM204">
            <v>3694</v>
          </cell>
          <cell r="CN204">
            <v>2571</v>
          </cell>
          <cell r="CO204">
            <v>2626</v>
          </cell>
          <cell r="CP204">
            <v>2769</v>
          </cell>
          <cell r="CQ204">
            <v>3112</v>
          </cell>
          <cell r="CR204">
            <v>2411</v>
          </cell>
          <cell r="CS204">
            <v>3237</v>
          </cell>
          <cell r="CW204">
            <v>0.76018099547511309</v>
          </cell>
          <cell r="CX204">
            <v>1.0602571483400499E-3</v>
          </cell>
          <cell r="CY204">
            <v>8.0598733448474381E-4</v>
          </cell>
          <cell r="CZ204">
            <v>2.7129756538695239E-3</v>
          </cell>
        </row>
        <row r="206">
          <cell r="B206" t="str">
            <v>Canada</v>
          </cell>
          <cell r="L206">
            <v>1827</v>
          </cell>
          <cell r="M206">
            <v>2067</v>
          </cell>
          <cell r="N206">
            <v>2184</v>
          </cell>
          <cell r="O206">
            <v>2350</v>
          </cell>
          <cell r="P206">
            <v>1812</v>
          </cell>
          <cell r="Q206">
            <v>1595</v>
          </cell>
          <cell r="R206">
            <v>2550</v>
          </cell>
          <cell r="S206">
            <v>2444</v>
          </cell>
          <cell r="T206">
            <v>1616</v>
          </cell>
          <cell r="U206">
            <v>2318</v>
          </cell>
          <cell r="V206">
            <v>2328</v>
          </cell>
          <cell r="W206">
            <v>2391</v>
          </cell>
          <cell r="X206">
            <v>2490</v>
          </cell>
          <cell r="Y206">
            <v>1998</v>
          </cell>
          <cell r="Z206">
            <v>2562</v>
          </cell>
          <cell r="AA206">
            <v>2391</v>
          </cell>
          <cell r="AB206">
            <v>2021</v>
          </cell>
          <cell r="AC206">
            <v>1886</v>
          </cell>
          <cell r="AD206">
            <v>2395</v>
          </cell>
          <cell r="AE206">
            <v>2471</v>
          </cell>
          <cell r="AF206">
            <v>1694</v>
          </cell>
          <cell r="AG206">
            <v>2042</v>
          </cell>
          <cell r="AH206">
            <v>2092</v>
          </cell>
          <cell r="AI206">
            <v>2406</v>
          </cell>
          <cell r="AJ206">
            <v>2116</v>
          </cell>
          <cell r="AK206">
            <v>1937</v>
          </cell>
          <cell r="AL206">
            <v>2640</v>
          </cell>
          <cell r="AM206">
            <v>2484</v>
          </cell>
          <cell r="AN206">
            <v>2345</v>
          </cell>
          <cell r="AO206">
            <v>1900</v>
          </cell>
          <cell r="AP206">
            <v>2610</v>
          </cell>
          <cell r="AQ206">
            <v>2785</v>
          </cell>
          <cell r="AR206">
            <v>1695</v>
          </cell>
          <cell r="AS206">
            <v>2540</v>
          </cell>
          <cell r="AT206">
            <v>2705</v>
          </cell>
          <cell r="AU206">
            <v>2795</v>
          </cell>
          <cell r="AV206">
            <v>2432</v>
          </cell>
          <cell r="AW206">
            <v>2273</v>
          </cell>
          <cell r="AX206">
            <v>2149</v>
          </cell>
          <cell r="AY206">
            <v>1046</v>
          </cell>
          <cell r="AZ206">
            <v>992</v>
          </cell>
          <cell r="BA206">
            <v>1200</v>
          </cell>
          <cell r="BB206">
            <v>1853</v>
          </cell>
          <cell r="BC206">
            <v>2103</v>
          </cell>
          <cell r="BD206">
            <v>1639</v>
          </cell>
          <cell r="BE206">
            <v>2273</v>
          </cell>
          <cell r="BF206">
            <v>2464</v>
          </cell>
          <cell r="BG206">
            <v>2778</v>
          </cell>
          <cell r="BH206">
            <v>2914</v>
          </cell>
          <cell r="BI206">
            <v>2016</v>
          </cell>
          <cell r="BJ206">
            <v>2633</v>
          </cell>
          <cell r="BK206">
            <v>2780</v>
          </cell>
          <cell r="BL206">
            <v>2659</v>
          </cell>
          <cell r="BM206">
            <v>2612</v>
          </cell>
          <cell r="BN206">
            <v>3502</v>
          </cell>
          <cell r="BO206">
            <v>3885</v>
          </cell>
          <cell r="BP206">
            <v>2488</v>
          </cell>
          <cell r="BQ206">
            <v>3819</v>
          </cell>
          <cell r="BR206">
            <v>4027</v>
          </cell>
          <cell r="BS206">
            <v>4447</v>
          </cell>
          <cell r="BT206">
            <v>3799</v>
          </cell>
          <cell r="BU206">
            <v>3317</v>
          </cell>
          <cell r="BV206">
            <v>4244</v>
          </cell>
          <cell r="BW206">
            <v>3695</v>
          </cell>
          <cell r="BX206">
            <v>3808</v>
          </cell>
          <cell r="BY206">
            <v>2906</v>
          </cell>
          <cell r="BZ206">
            <v>3889</v>
          </cell>
          <cell r="CA206">
            <v>4075</v>
          </cell>
          <cell r="CB206">
            <v>2807</v>
          </cell>
          <cell r="CC206">
            <v>4305</v>
          </cell>
          <cell r="CD206">
            <v>4823</v>
          </cell>
          <cell r="CE206">
            <v>4779</v>
          </cell>
          <cell r="CF206">
            <v>4406</v>
          </cell>
          <cell r="CG206">
            <v>3685</v>
          </cell>
          <cell r="CH206">
            <v>4457</v>
          </cell>
          <cell r="CI206">
            <v>4711</v>
          </cell>
          <cell r="CJ206">
            <v>4097</v>
          </cell>
          <cell r="CK206">
            <v>3276</v>
          </cell>
          <cell r="CL206">
            <v>4737</v>
          </cell>
          <cell r="CM206">
            <v>4363</v>
          </cell>
          <cell r="CN206">
            <v>3339</v>
          </cell>
          <cell r="CO206">
            <v>5108</v>
          </cell>
          <cell r="CP206">
            <v>6364</v>
          </cell>
          <cell r="CQ206">
            <v>6699</v>
          </cell>
          <cell r="CR206">
            <v>5818</v>
          </cell>
          <cell r="CS206">
            <v>5322</v>
          </cell>
          <cell r="CW206">
            <v>0.40175768989328309</v>
          </cell>
          <cell r="CX206">
            <v>2.8659326424870465E-3</v>
          </cell>
          <cell r="CY206">
            <v>1.1514104778353482E-3</v>
          </cell>
          <cell r="CZ206">
            <v>3.8756795055278907E-3</v>
          </cell>
        </row>
        <row r="207">
          <cell r="B207" t="str">
            <v>United States of America</v>
          </cell>
          <cell r="L207">
            <v>5258</v>
          </cell>
          <cell r="M207">
            <v>5209</v>
          </cell>
          <cell r="N207">
            <v>5973</v>
          </cell>
          <cell r="O207">
            <v>6795</v>
          </cell>
          <cell r="P207">
            <v>6171</v>
          </cell>
          <cell r="Q207">
            <v>6412</v>
          </cell>
          <cell r="R207">
            <v>6832</v>
          </cell>
          <cell r="S207">
            <v>5566</v>
          </cell>
          <cell r="T207">
            <v>4960</v>
          </cell>
          <cell r="U207">
            <v>7200</v>
          </cell>
          <cell r="V207">
            <v>7164</v>
          </cell>
          <cell r="W207">
            <v>6813</v>
          </cell>
          <cell r="X207">
            <v>5417</v>
          </cell>
          <cell r="Y207">
            <v>4908</v>
          </cell>
          <cell r="Z207">
            <v>7418</v>
          </cell>
          <cell r="AA207">
            <v>7222</v>
          </cell>
          <cell r="AB207">
            <v>6554</v>
          </cell>
          <cell r="AC207">
            <v>5910</v>
          </cell>
          <cell r="AD207">
            <v>6458</v>
          </cell>
          <cell r="AE207">
            <v>6106</v>
          </cell>
          <cell r="AF207">
            <v>4618</v>
          </cell>
          <cell r="AG207">
            <v>6172</v>
          </cell>
          <cell r="AH207">
            <v>6133</v>
          </cell>
          <cell r="AI207">
            <v>6691</v>
          </cell>
          <cell r="AJ207">
            <v>6174</v>
          </cell>
          <cell r="AK207">
            <v>4925</v>
          </cell>
          <cell r="AL207">
            <v>6957</v>
          </cell>
          <cell r="AM207">
            <v>6642</v>
          </cell>
          <cell r="AN207">
            <v>6160</v>
          </cell>
          <cell r="AO207">
            <v>6685</v>
          </cell>
          <cell r="AP207">
            <v>6612</v>
          </cell>
          <cell r="AQ207">
            <v>6329</v>
          </cell>
          <cell r="AR207">
            <v>4965</v>
          </cell>
          <cell r="AS207">
            <v>7144</v>
          </cell>
          <cell r="AT207">
            <v>7649</v>
          </cell>
          <cell r="AU207">
            <v>6662</v>
          </cell>
          <cell r="AV207">
            <v>6418</v>
          </cell>
          <cell r="AW207">
            <v>5563</v>
          </cell>
          <cell r="AX207">
            <v>5217</v>
          </cell>
          <cell r="AY207">
            <v>1896</v>
          </cell>
          <cell r="AZ207">
            <v>1569</v>
          </cell>
          <cell r="BA207">
            <v>2228</v>
          </cell>
          <cell r="BB207">
            <v>4231</v>
          </cell>
          <cell r="BC207">
            <v>5841</v>
          </cell>
          <cell r="BD207">
            <v>5112</v>
          </cell>
          <cell r="BE207">
            <v>6256</v>
          </cell>
          <cell r="BF207">
            <v>6451</v>
          </cell>
          <cell r="BG207">
            <v>5860</v>
          </cell>
          <cell r="BH207">
            <v>5713</v>
          </cell>
          <cell r="BI207">
            <v>5334</v>
          </cell>
          <cell r="BJ207">
            <v>6487</v>
          </cell>
          <cell r="BK207">
            <v>6768</v>
          </cell>
          <cell r="BL207">
            <v>6570</v>
          </cell>
          <cell r="BM207">
            <v>8683</v>
          </cell>
          <cell r="BN207">
            <v>8537</v>
          </cell>
          <cell r="BO207">
            <v>7664</v>
          </cell>
          <cell r="BP207">
            <v>7550</v>
          </cell>
          <cell r="BQ207">
            <v>10763</v>
          </cell>
          <cell r="BR207">
            <v>10613</v>
          </cell>
          <cell r="BS207">
            <v>10408</v>
          </cell>
          <cell r="BT207">
            <v>8964</v>
          </cell>
          <cell r="BU207">
            <v>7533</v>
          </cell>
          <cell r="BV207">
            <v>10241</v>
          </cell>
          <cell r="BW207">
            <v>9688</v>
          </cell>
          <cell r="BX207">
            <v>9629</v>
          </cell>
          <cell r="BY207">
            <v>9969</v>
          </cell>
          <cell r="BZ207">
            <v>11526</v>
          </cell>
          <cell r="CA207">
            <v>9785</v>
          </cell>
          <cell r="CB207">
            <v>8768</v>
          </cell>
          <cell r="CC207">
            <v>11704</v>
          </cell>
          <cell r="CD207">
            <v>12618</v>
          </cell>
          <cell r="CE207">
            <v>11464</v>
          </cell>
          <cell r="CF207">
            <v>10206</v>
          </cell>
          <cell r="CG207">
            <v>8933</v>
          </cell>
          <cell r="CH207">
            <v>11421</v>
          </cell>
          <cell r="CI207">
            <v>12027</v>
          </cell>
          <cell r="CJ207">
            <v>10928</v>
          </cell>
          <cell r="CK207">
            <v>11243</v>
          </cell>
          <cell r="CL207">
            <v>13488</v>
          </cell>
          <cell r="CM207">
            <v>10919</v>
          </cell>
          <cell r="CN207">
            <v>11818</v>
          </cell>
          <cell r="CO207">
            <v>15154</v>
          </cell>
          <cell r="CP207">
            <v>15807</v>
          </cell>
          <cell r="CQ207">
            <v>14524</v>
          </cell>
          <cell r="CR207">
            <v>13753</v>
          </cell>
          <cell r="CS207">
            <v>11966</v>
          </cell>
          <cell r="CW207">
            <v>0.26692254012561056</v>
          </cell>
          <cell r="CX207">
            <v>6.8748800614085587E-3</v>
          </cell>
          <cell r="CY207">
            <v>1.8350604490500861E-3</v>
          </cell>
          <cell r="CZ207">
            <v>6.1768642119350752E-3</v>
          </cell>
        </row>
        <row r="208">
          <cell r="B208" t="str">
            <v>Other Americas</v>
          </cell>
          <cell r="L208">
            <v>681</v>
          </cell>
          <cell r="M208">
            <v>704</v>
          </cell>
          <cell r="N208">
            <v>657</v>
          </cell>
          <cell r="O208">
            <v>894</v>
          </cell>
          <cell r="P208">
            <v>681</v>
          </cell>
          <cell r="Q208">
            <v>652</v>
          </cell>
          <cell r="R208">
            <v>765</v>
          </cell>
          <cell r="S208">
            <v>841</v>
          </cell>
          <cell r="T208">
            <v>738</v>
          </cell>
          <cell r="U208">
            <v>950</v>
          </cell>
          <cell r="V208">
            <v>661</v>
          </cell>
          <cell r="W208">
            <v>567</v>
          </cell>
          <cell r="X208">
            <v>778</v>
          </cell>
          <cell r="Y208">
            <v>657</v>
          </cell>
          <cell r="Z208">
            <v>759</v>
          </cell>
          <cell r="AA208">
            <v>1033</v>
          </cell>
          <cell r="AB208">
            <v>797</v>
          </cell>
          <cell r="AC208">
            <v>724</v>
          </cell>
          <cell r="AD208">
            <v>789</v>
          </cell>
          <cell r="AE208">
            <v>726</v>
          </cell>
          <cell r="AF208">
            <v>728</v>
          </cell>
          <cell r="AG208">
            <v>725</v>
          </cell>
          <cell r="AH208">
            <v>685</v>
          </cell>
          <cell r="AI208">
            <v>588</v>
          </cell>
          <cell r="AJ208">
            <v>772</v>
          </cell>
          <cell r="AK208">
            <v>686</v>
          </cell>
          <cell r="AL208">
            <v>982</v>
          </cell>
          <cell r="AM208">
            <v>1019</v>
          </cell>
          <cell r="AN208">
            <v>825</v>
          </cell>
          <cell r="AO208">
            <v>824</v>
          </cell>
          <cell r="AP208">
            <v>884</v>
          </cell>
          <cell r="AQ208">
            <v>814</v>
          </cell>
          <cell r="AR208">
            <v>807</v>
          </cell>
          <cell r="AS208">
            <v>999</v>
          </cell>
          <cell r="AT208">
            <v>764</v>
          </cell>
          <cell r="AU208">
            <v>553</v>
          </cell>
          <cell r="AV208">
            <v>765</v>
          </cell>
          <cell r="AW208">
            <v>698</v>
          </cell>
          <cell r="AX208">
            <v>627</v>
          </cell>
          <cell r="AY208">
            <v>387</v>
          </cell>
          <cell r="AZ208">
            <v>255</v>
          </cell>
          <cell r="BA208">
            <v>316</v>
          </cell>
          <cell r="BB208">
            <v>451</v>
          </cell>
          <cell r="BC208">
            <v>528</v>
          </cell>
          <cell r="BD208">
            <v>656</v>
          </cell>
          <cell r="BE208">
            <v>851</v>
          </cell>
          <cell r="BF208">
            <v>706</v>
          </cell>
          <cell r="BG208">
            <v>590</v>
          </cell>
          <cell r="BH208">
            <v>664</v>
          </cell>
          <cell r="BI208">
            <v>710</v>
          </cell>
          <cell r="BJ208">
            <v>620</v>
          </cell>
          <cell r="BK208">
            <v>1063</v>
          </cell>
          <cell r="BL208">
            <v>915</v>
          </cell>
          <cell r="BM208">
            <v>763</v>
          </cell>
          <cell r="BN208">
            <v>929</v>
          </cell>
          <cell r="BO208">
            <v>893</v>
          </cell>
          <cell r="BP208">
            <v>831</v>
          </cell>
          <cell r="BQ208">
            <v>1425</v>
          </cell>
          <cell r="BR208">
            <v>999</v>
          </cell>
          <cell r="BS208">
            <v>868</v>
          </cell>
          <cell r="BT208">
            <v>951</v>
          </cell>
          <cell r="BU208">
            <v>863</v>
          </cell>
          <cell r="BV208">
            <v>1127</v>
          </cell>
          <cell r="BW208">
            <v>1385</v>
          </cell>
          <cell r="BX208">
            <v>1154</v>
          </cell>
          <cell r="BY208">
            <v>1010</v>
          </cell>
          <cell r="BZ208">
            <v>1406</v>
          </cell>
          <cell r="CA208">
            <v>993</v>
          </cell>
          <cell r="CB208">
            <v>1355</v>
          </cell>
          <cell r="CC208">
            <v>1706</v>
          </cell>
          <cell r="CD208">
            <v>1327</v>
          </cell>
          <cell r="CE208">
            <v>1156</v>
          </cell>
          <cell r="CF208">
            <v>1280</v>
          </cell>
          <cell r="CG208">
            <v>1132</v>
          </cell>
          <cell r="CH208">
            <v>1214</v>
          </cell>
          <cell r="CI208">
            <v>1797</v>
          </cell>
          <cell r="CJ208">
            <v>1382</v>
          </cell>
          <cell r="CK208">
            <v>1246</v>
          </cell>
          <cell r="CL208">
            <v>1518</v>
          </cell>
          <cell r="CM208">
            <v>1374</v>
          </cell>
          <cell r="CN208">
            <v>1623</v>
          </cell>
          <cell r="CO208">
            <v>2461</v>
          </cell>
          <cell r="CP208">
            <v>1480</v>
          </cell>
          <cell r="CQ208">
            <v>1393</v>
          </cell>
          <cell r="CR208">
            <v>1705</v>
          </cell>
          <cell r="CS208">
            <v>1490</v>
          </cell>
          <cell r="CW208">
            <v>0.20501730103806226</v>
          </cell>
          <cell r="CX208">
            <v>6.9324505853003259E-4</v>
          </cell>
          <cell r="CY208">
            <v>1.4212723085780079E-4</v>
          </cell>
          <cell r="CZ208">
            <v>4.7840418896359898E-4</v>
          </cell>
        </row>
        <row r="210">
          <cell r="B210" t="str">
            <v>Germany</v>
          </cell>
          <cell r="L210">
            <v>1399</v>
          </cell>
          <cell r="M210">
            <v>1236</v>
          </cell>
          <cell r="N210">
            <v>1493</v>
          </cell>
          <cell r="O210">
            <v>1369</v>
          </cell>
          <cell r="P210">
            <v>1025</v>
          </cell>
          <cell r="Q210">
            <v>959</v>
          </cell>
          <cell r="R210">
            <v>878</v>
          </cell>
          <cell r="S210">
            <v>904</v>
          </cell>
          <cell r="T210">
            <v>969</v>
          </cell>
          <cell r="U210">
            <v>1417</v>
          </cell>
          <cell r="V210">
            <v>1765</v>
          </cell>
          <cell r="W210">
            <v>982</v>
          </cell>
          <cell r="X210">
            <v>964</v>
          </cell>
          <cell r="Y210">
            <v>1082</v>
          </cell>
          <cell r="Z210">
            <v>1321</v>
          </cell>
          <cell r="AA210">
            <v>1166</v>
          </cell>
          <cell r="AB210">
            <v>935</v>
          </cell>
          <cell r="AC210">
            <v>868</v>
          </cell>
          <cell r="AD210">
            <v>738</v>
          </cell>
          <cell r="AE210">
            <v>819</v>
          </cell>
          <cell r="AF210">
            <v>775</v>
          </cell>
          <cell r="AG210">
            <v>1064</v>
          </cell>
          <cell r="AH210">
            <v>1250</v>
          </cell>
          <cell r="AI210">
            <v>1194</v>
          </cell>
          <cell r="AJ210">
            <v>739</v>
          </cell>
          <cell r="AK210">
            <v>798</v>
          </cell>
          <cell r="AL210">
            <v>1005</v>
          </cell>
          <cell r="AM210">
            <v>1004</v>
          </cell>
          <cell r="AN210">
            <v>863</v>
          </cell>
          <cell r="AO210">
            <v>642</v>
          </cell>
          <cell r="AP210">
            <v>716</v>
          </cell>
          <cell r="AQ210">
            <v>777</v>
          </cell>
          <cell r="AR210">
            <v>898</v>
          </cell>
          <cell r="AS210">
            <v>1120</v>
          </cell>
          <cell r="AT210">
            <v>1255</v>
          </cell>
          <cell r="AU210">
            <v>904</v>
          </cell>
          <cell r="AV210">
            <v>815</v>
          </cell>
          <cell r="AW210">
            <v>833</v>
          </cell>
          <cell r="AX210">
            <v>902</v>
          </cell>
          <cell r="AY210">
            <v>245</v>
          </cell>
          <cell r="AZ210">
            <v>240</v>
          </cell>
          <cell r="BA210">
            <v>196</v>
          </cell>
          <cell r="BB210">
            <v>375</v>
          </cell>
          <cell r="BC210">
            <v>488</v>
          </cell>
          <cell r="BD210">
            <v>756</v>
          </cell>
          <cell r="BE210">
            <v>1001</v>
          </cell>
          <cell r="BF210">
            <v>1034</v>
          </cell>
          <cell r="BG210">
            <v>758</v>
          </cell>
          <cell r="BH210">
            <v>652</v>
          </cell>
          <cell r="BI210">
            <v>752</v>
          </cell>
          <cell r="BJ210">
            <v>762</v>
          </cell>
          <cell r="BK210">
            <v>810</v>
          </cell>
          <cell r="BL210">
            <v>776</v>
          </cell>
          <cell r="BM210">
            <v>605</v>
          </cell>
          <cell r="BN210">
            <v>753</v>
          </cell>
          <cell r="BO210">
            <v>892</v>
          </cell>
          <cell r="BP210">
            <v>1277</v>
          </cell>
          <cell r="BQ210">
            <v>1620</v>
          </cell>
          <cell r="BR210">
            <v>1761</v>
          </cell>
          <cell r="BS210">
            <v>1221</v>
          </cell>
          <cell r="BT210">
            <v>1356</v>
          </cell>
          <cell r="BU210">
            <v>1140</v>
          </cell>
          <cell r="BV210">
            <v>1739</v>
          </cell>
          <cell r="BW210">
            <v>1360</v>
          </cell>
          <cell r="BX210">
            <v>1622</v>
          </cell>
          <cell r="BY210">
            <v>1226</v>
          </cell>
          <cell r="BZ210">
            <v>1243</v>
          </cell>
          <cell r="CA210">
            <v>1247</v>
          </cell>
          <cell r="CB210">
            <v>1418</v>
          </cell>
          <cell r="CC210">
            <v>2138</v>
          </cell>
          <cell r="CD210">
            <v>2106</v>
          </cell>
          <cell r="CE210">
            <v>1487</v>
          </cell>
          <cell r="CF210">
            <v>1557</v>
          </cell>
          <cell r="CG210">
            <v>1391</v>
          </cell>
          <cell r="CH210">
            <v>1666</v>
          </cell>
          <cell r="CI210">
            <v>1782</v>
          </cell>
          <cell r="CJ210">
            <v>1677</v>
          </cell>
          <cell r="CK210">
            <v>1235</v>
          </cell>
          <cell r="CL210">
            <v>1291</v>
          </cell>
          <cell r="CM210">
            <v>1516</v>
          </cell>
          <cell r="CN210">
            <v>1630</v>
          </cell>
          <cell r="CO210">
            <v>2544</v>
          </cell>
          <cell r="CP210">
            <v>2418</v>
          </cell>
          <cell r="CQ210">
            <v>2062</v>
          </cell>
          <cell r="CR210">
            <v>1818</v>
          </cell>
          <cell r="CS210">
            <v>1751</v>
          </cell>
          <cell r="CW210">
            <v>0.38668459986550108</v>
          </cell>
          <cell r="CX210">
            <v>8.9174342736518899E-4</v>
          </cell>
          <cell r="CY210">
            <v>3.4482345039339864E-4</v>
          </cell>
          <cell r="CZ210">
            <v>1.1606852685825718E-3</v>
          </cell>
        </row>
        <row r="211">
          <cell r="B211" t="str">
            <v>France</v>
          </cell>
          <cell r="L211">
            <v>1169</v>
          </cell>
          <cell r="M211">
            <v>1287</v>
          </cell>
          <cell r="N211">
            <v>1233</v>
          </cell>
          <cell r="O211">
            <v>1525</v>
          </cell>
          <cell r="P211">
            <v>1356</v>
          </cell>
          <cell r="Q211">
            <v>1031</v>
          </cell>
          <cell r="R211">
            <v>1142</v>
          </cell>
          <cell r="S211">
            <v>1611</v>
          </cell>
          <cell r="T211">
            <v>1279</v>
          </cell>
          <cell r="U211">
            <v>1459</v>
          </cell>
          <cell r="V211">
            <v>1698</v>
          </cell>
          <cell r="W211">
            <v>1396</v>
          </cell>
          <cell r="X211">
            <v>984</v>
          </cell>
          <cell r="Y211">
            <v>1132</v>
          </cell>
          <cell r="Z211">
            <v>1104</v>
          </cell>
          <cell r="AA211">
            <v>1735</v>
          </cell>
          <cell r="AB211">
            <v>1435</v>
          </cell>
          <cell r="AC211">
            <v>1028</v>
          </cell>
          <cell r="AD211">
            <v>1297</v>
          </cell>
          <cell r="AE211">
            <v>1560</v>
          </cell>
          <cell r="AF211">
            <v>1154</v>
          </cell>
          <cell r="AG211">
            <v>1565</v>
          </cell>
          <cell r="AH211">
            <v>1593</v>
          </cell>
          <cell r="AI211">
            <v>1399</v>
          </cell>
          <cell r="AJ211">
            <v>1191</v>
          </cell>
          <cell r="AK211">
            <v>1270</v>
          </cell>
          <cell r="AL211">
            <v>1322</v>
          </cell>
          <cell r="AM211">
            <v>1539</v>
          </cell>
          <cell r="AN211">
            <v>1455</v>
          </cell>
          <cell r="AO211">
            <v>1024</v>
          </cell>
          <cell r="AP211">
            <v>1275</v>
          </cell>
          <cell r="AQ211">
            <v>1698</v>
          </cell>
          <cell r="AR211">
            <v>992</v>
          </cell>
          <cell r="AS211">
            <v>1677</v>
          </cell>
          <cell r="AT211">
            <v>1698</v>
          </cell>
          <cell r="AU211">
            <v>1163</v>
          </cell>
          <cell r="AV211">
            <v>1027</v>
          </cell>
          <cell r="AW211">
            <v>1295</v>
          </cell>
          <cell r="AX211">
            <v>1069</v>
          </cell>
          <cell r="AY211">
            <v>335</v>
          </cell>
          <cell r="AZ211">
            <v>443</v>
          </cell>
          <cell r="BA211">
            <v>657</v>
          </cell>
          <cell r="BB211">
            <v>676</v>
          </cell>
          <cell r="BC211">
            <v>930</v>
          </cell>
          <cell r="BD211">
            <v>953</v>
          </cell>
          <cell r="BE211">
            <v>1401</v>
          </cell>
          <cell r="BF211">
            <v>1493</v>
          </cell>
          <cell r="BG211">
            <v>1397</v>
          </cell>
          <cell r="BH211">
            <v>1123</v>
          </cell>
          <cell r="BI211">
            <v>1389</v>
          </cell>
          <cell r="BJ211">
            <v>1742</v>
          </cell>
          <cell r="BK211">
            <v>1556</v>
          </cell>
          <cell r="BL211">
            <v>1524</v>
          </cell>
          <cell r="BM211">
            <v>1469</v>
          </cell>
          <cell r="BN211">
            <v>1747</v>
          </cell>
          <cell r="BO211">
            <v>2071</v>
          </cell>
          <cell r="BP211">
            <v>1341</v>
          </cell>
          <cell r="BQ211">
            <v>2230</v>
          </cell>
          <cell r="BR211">
            <v>2124</v>
          </cell>
          <cell r="BS211">
            <v>1992</v>
          </cell>
          <cell r="BT211">
            <v>1586</v>
          </cell>
          <cell r="BU211">
            <v>1488</v>
          </cell>
          <cell r="BV211">
            <v>1811</v>
          </cell>
          <cell r="BW211">
            <v>2390</v>
          </cell>
          <cell r="BX211">
            <v>2484</v>
          </cell>
          <cell r="BY211">
            <v>1878</v>
          </cell>
          <cell r="BZ211">
            <v>2135</v>
          </cell>
          <cell r="CA211">
            <v>2824</v>
          </cell>
          <cell r="CB211">
            <v>2202</v>
          </cell>
          <cell r="CC211">
            <v>2322</v>
          </cell>
          <cell r="CD211">
            <v>2595</v>
          </cell>
          <cell r="CE211">
            <v>2271</v>
          </cell>
          <cell r="CF211">
            <v>1867</v>
          </cell>
          <cell r="CG211">
            <v>1946</v>
          </cell>
          <cell r="CH211">
            <v>2365</v>
          </cell>
          <cell r="CI211">
            <v>2788</v>
          </cell>
          <cell r="CJ211">
            <v>2222</v>
          </cell>
          <cell r="CK211">
            <v>1759</v>
          </cell>
          <cell r="CL211">
            <v>2249</v>
          </cell>
          <cell r="CM211">
            <v>3066</v>
          </cell>
          <cell r="CN211">
            <v>2218</v>
          </cell>
          <cell r="CO211">
            <v>2822</v>
          </cell>
          <cell r="CP211">
            <v>2926</v>
          </cell>
          <cell r="CQ211">
            <v>2644</v>
          </cell>
          <cell r="CR211">
            <v>2069</v>
          </cell>
          <cell r="CS211">
            <v>2479</v>
          </cell>
          <cell r="CW211">
            <v>0.16424482606781154</v>
          </cell>
          <cell r="CX211">
            <v>1.361902705814623E-3</v>
          </cell>
          <cell r="CY211">
            <v>2.2368547303780467E-4</v>
          </cell>
          <cell r="CZ211">
            <v>7.5293148727182476E-4</v>
          </cell>
        </row>
        <row r="212">
          <cell r="B212" t="str">
            <v>Italy</v>
          </cell>
          <cell r="L212">
            <v>487</v>
          </cell>
          <cell r="M212">
            <v>392</v>
          </cell>
          <cell r="N212">
            <v>507</v>
          </cell>
          <cell r="O212">
            <v>403</v>
          </cell>
          <cell r="P212">
            <v>295</v>
          </cell>
          <cell r="Q212">
            <v>278</v>
          </cell>
          <cell r="R212">
            <v>240</v>
          </cell>
          <cell r="S212">
            <v>531</v>
          </cell>
          <cell r="T212">
            <v>279</v>
          </cell>
          <cell r="U212">
            <v>377</v>
          </cell>
          <cell r="V212">
            <v>380</v>
          </cell>
          <cell r="W212">
            <v>344</v>
          </cell>
          <cell r="X212">
            <v>367</v>
          </cell>
          <cell r="Y212">
            <v>254</v>
          </cell>
          <cell r="Z212">
            <v>366</v>
          </cell>
          <cell r="AA212">
            <v>368</v>
          </cell>
          <cell r="AB212">
            <v>322</v>
          </cell>
          <cell r="AC212">
            <v>295</v>
          </cell>
          <cell r="AD212">
            <v>301</v>
          </cell>
          <cell r="AE212">
            <v>553</v>
          </cell>
          <cell r="AF212">
            <v>441</v>
          </cell>
          <cell r="AG212">
            <v>364</v>
          </cell>
          <cell r="AH212">
            <v>320</v>
          </cell>
          <cell r="AI212">
            <v>364</v>
          </cell>
          <cell r="AJ212">
            <v>268</v>
          </cell>
          <cell r="AK212">
            <v>273</v>
          </cell>
          <cell r="AL212">
            <v>324</v>
          </cell>
          <cell r="AM212">
            <v>429</v>
          </cell>
          <cell r="AN212">
            <v>247</v>
          </cell>
          <cell r="AO212">
            <v>306</v>
          </cell>
          <cell r="AP212">
            <v>362</v>
          </cell>
          <cell r="AQ212">
            <v>598</v>
          </cell>
          <cell r="AR212">
            <v>337</v>
          </cell>
          <cell r="AS212">
            <v>364</v>
          </cell>
          <cell r="AT212">
            <v>427</v>
          </cell>
          <cell r="AU212">
            <v>392</v>
          </cell>
          <cell r="AV212">
            <v>333</v>
          </cell>
          <cell r="AW212">
            <v>777</v>
          </cell>
          <cell r="AX212">
            <v>252</v>
          </cell>
          <cell r="AY212">
            <v>86</v>
          </cell>
          <cell r="AZ212">
            <v>55</v>
          </cell>
          <cell r="BA212">
            <v>92</v>
          </cell>
          <cell r="BB212">
            <v>323</v>
          </cell>
          <cell r="BC212">
            <v>263</v>
          </cell>
          <cell r="BD212">
            <v>173</v>
          </cell>
          <cell r="BE212">
            <v>309</v>
          </cell>
          <cell r="BF212">
            <v>359</v>
          </cell>
          <cell r="BG212">
            <v>218</v>
          </cell>
          <cell r="BH212">
            <v>163</v>
          </cell>
          <cell r="BI212">
            <v>255</v>
          </cell>
          <cell r="BJ212">
            <v>411</v>
          </cell>
          <cell r="BK212">
            <v>341</v>
          </cell>
          <cell r="BL212">
            <v>283</v>
          </cell>
          <cell r="BM212">
            <v>275</v>
          </cell>
          <cell r="BN212">
            <v>297</v>
          </cell>
          <cell r="BO212">
            <v>702</v>
          </cell>
          <cell r="BP212">
            <v>336</v>
          </cell>
          <cell r="BQ212">
            <v>528</v>
          </cell>
          <cell r="BR212">
            <v>528</v>
          </cell>
          <cell r="BS212">
            <v>417</v>
          </cell>
          <cell r="BT212">
            <v>477</v>
          </cell>
          <cell r="BU212">
            <v>433</v>
          </cell>
          <cell r="BV212">
            <v>535</v>
          </cell>
          <cell r="BW212">
            <v>476</v>
          </cell>
          <cell r="BX212">
            <v>503</v>
          </cell>
          <cell r="BY212">
            <v>465</v>
          </cell>
          <cell r="BZ212">
            <v>521</v>
          </cell>
          <cell r="CA212">
            <v>927</v>
          </cell>
          <cell r="CB212">
            <v>428</v>
          </cell>
          <cell r="CC212">
            <v>657</v>
          </cell>
          <cell r="CD212">
            <v>810</v>
          </cell>
          <cell r="CE212">
            <v>539</v>
          </cell>
          <cell r="CF212">
            <v>561</v>
          </cell>
          <cell r="CG212">
            <v>421</v>
          </cell>
          <cell r="CH212">
            <v>585</v>
          </cell>
          <cell r="CI212">
            <v>636</v>
          </cell>
          <cell r="CJ212">
            <v>561</v>
          </cell>
          <cell r="CK212">
            <v>423</v>
          </cell>
          <cell r="CL212">
            <v>600</v>
          </cell>
          <cell r="CM212">
            <v>1279</v>
          </cell>
          <cell r="CN212">
            <v>744</v>
          </cell>
          <cell r="CO212">
            <v>870</v>
          </cell>
          <cell r="CP212">
            <v>1049</v>
          </cell>
          <cell r="CQ212">
            <v>963</v>
          </cell>
          <cell r="CR212">
            <v>826</v>
          </cell>
          <cell r="CS212">
            <v>741</v>
          </cell>
          <cell r="CW212">
            <v>0.7866419294990723</v>
          </cell>
          <cell r="CX212">
            <v>3.2323450393398578E-4</v>
          </cell>
          <cell r="CY212">
            <v>2.5426981385530607E-4</v>
          </cell>
          <cell r="CZ212">
            <v>8.5587922413740919E-4</v>
          </cell>
        </row>
        <row r="213">
          <cell r="B213" t="str">
            <v>Portugal</v>
          </cell>
          <cell r="L213">
            <v>1054</v>
          </cell>
          <cell r="M213">
            <v>1129</v>
          </cell>
          <cell r="N213">
            <v>1069</v>
          </cell>
          <cell r="O213">
            <v>1349</v>
          </cell>
          <cell r="P213">
            <v>1054</v>
          </cell>
          <cell r="Q213">
            <v>901</v>
          </cell>
          <cell r="R213">
            <v>1076</v>
          </cell>
          <cell r="S213">
            <v>1094</v>
          </cell>
          <cell r="T213">
            <v>808</v>
          </cell>
          <cell r="U213">
            <v>854</v>
          </cell>
          <cell r="V213">
            <v>947</v>
          </cell>
          <cell r="W213">
            <v>1029</v>
          </cell>
          <cell r="X213">
            <v>919</v>
          </cell>
          <cell r="Y213">
            <v>701</v>
          </cell>
          <cell r="Z213">
            <v>625</v>
          </cell>
          <cell r="AA213">
            <v>1088</v>
          </cell>
          <cell r="AB213">
            <v>619</v>
          </cell>
          <cell r="AC213">
            <v>661</v>
          </cell>
          <cell r="AD213">
            <v>825</v>
          </cell>
          <cell r="AE213">
            <v>1035</v>
          </cell>
          <cell r="AF213">
            <v>783</v>
          </cell>
          <cell r="AG213">
            <v>749</v>
          </cell>
          <cell r="AH213">
            <v>761</v>
          </cell>
          <cell r="AI213">
            <v>1058</v>
          </cell>
          <cell r="AJ213">
            <v>628</v>
          </cell>
          <cell r="AK213">
            <v>755</v>
          </cell>
          <cell r="AL213">
            <v>993</v>
          </cell>
          <cell r="AM213">
            <v>822</v>
          </cell>
          <cell r="AN213">
            <v>827</v>
          </cell>
          <cell r="AO213">
            <v>726</v>
          </cell>
          <cell r="AP213">
            <v>801</v>
          </cell>
          <cell r="AQ213">
            <v>935</v>
          </cell>
          <cell r="AR213">
            <v>678</v>
          </cell>
          <cell r="AS213">
            <v>783</v>
          </cell>
          <cell r="AT213">
            <v>1119</v>
          </cell>
          <cell r="AU213">
            <v>990</v>
          </cell>
          <cell r="AV213">
            <v>661</v>
          </cell>
          <cell r="AW213">
            <v>590</v>
          </cell>
          <cell r="AX213">
            <v>521</v>
          </cell>
          <cell r="AY213">
            <v>208</v>
          </cell>
          <cell r="AZ213">
            <v>197</v>
          </cell>
          <cell r="BA213">
            <v>345</v>
          </cell>
          <cell r="BB213">
            <v>452</v>
          </cell>
          <cell r="BC213">
            <v>633</v>
          </cell>
          <cell r="BD213">
            <v>457</v>
          </cell>
          <cell r="BE213">
            <v>897</v>
          </cell>
          <cell r="BF213">
            <v>820</v>
          </cell>
          <cell r="BG213">
            <v>795</v>
          </cell>
          <cell r="BH213">
            <v>581</v>
          </cell>
          <cell r="BI213">
            <v>425</v>
          </cell>
          <cell r="BJ213">
            <v>539</v>
          </cell>
          <cell r="BK213">
            <v>800</v>
          </cell>
          <cell r="BL213">
            <v>584</v>
          </cell>
          <cell r="BM213">
            <v>475</v>
          </cell>
          <cell r="BN213">
            <v>646</v>
          </cell>
          <cell r="BO213">
            <v>980</v>
          </cell>
          <cell r="BP213">
            <v>822</v>
          </cell>
          <cell r="BQ213">
            <v>1152</v>
          </cell>
          <cell r="BR213">
            <v>1099</v>
          </cell>
          <cell r="BS213">
            <v>1457</v>
          </cell>
          <cell r="BT213">
            <v>876</v>
          </cell>
          <cell r="BU213">
            <v>612</v>
          </cell>
          <cell r="BV213">
            <v>1204</v>
          </cell>
          <cell r="BW213">
            <v>900</v>
          </cell>
          <cell r="BX213">
            <v>802</v>
          </cell>
          <cell r="BY213">
            <v>757</v>
          </cell>
          <cell r="BZ213">
            <v>850</v>
          </cell>
          <cell r="CA213">
            <v>1447</v>
          </cell>
          <cell r="CB213">
            <v>922</v>
          </cell>
          <cell r="CC213">
            <v>1195</v>
          </cell>
          <cell r="CD213">
            <v>941</v>
          </cell>
          <cell r="CE213">
            <v>1337</v>
          </cell>
          <cell r="CF213">
            <v>760</v>
          </cell>
          <cell r="CG213">
            <v>775</v>
          </cell>
          <cell r="CH213">
            <v>856</v>
          </cell>
          <cell r="CI213">
            <v>1293</v>
          </cell>
          <cell r="CJ213">
            <v>716</v>
          </cell>
          <cell r="CK213">
            <v>783</v>
          </cell>
          <cell r="CL213">
            <v>884</v>
          </cell>
          <cell r="CM213">
            <v>1345</v>
          </cell>
          <cell r="CN213">
            <v>1230</v>
          </cell>
          <cell r="CO213">
            <v>1917</v>
          </cell>
          <cell r="CP213">
            <v>1246</v>
          </cell>
          <cell r="CQ213">
            <v>1320</v>
          </cell>
          <cell r="CR213">
            <v>745</v>
          </cell>
          <cell r="CS213">
            <v>973</v>
          </cell>
          <cell r="CW213">
            <v>-1.2715033657442087E-2</v>
          </cell>
          <cell r="CX213">
            <v>8.0178948378430246E-4</v>
          </cell>
          <cell r="CY213">
            <v>-1.0194780272500523E-5</v>
          </cell>
          <cell r="CZ213">
            <v>-3.4315912288528344E-5</v>
          </cell>
        </row>
        <row r="214">
          <cell r="B214" t="str">
            <v>United Kingdom</v>
          </cell>
          <cell r="L214">
            <v>2975</v>
          </cell>
          <cell r="M214">
            <v>3561</v>
          </cell>
          <cell r="N214">
            <v>3813</v>
          </cell>
          <cell r="O214">
            <v>4999</v>
          </cell>
          <cell r="P214">
            <v>3846</v>
          </cell>
          <cell r="Q214">
            <v>3232</v>
          </cell>
          <cell r="R214">
            <v>3457</v>
          </cell>
          <cell r="S214">
            <v>4015</v>
          </cell>
          <cell r="T214">
            <v>3493</v>
          </cell>
          <cell r="U214">
            <v>4270</v>
          </cell>
          <cell r="V214">
            <v>4103</v>
          </cell>
          <cell r="W214">
            <v>3794</v>
          </cell>
          <cell r="X214">
            <v>3570</v>
          </cell>
          <cell r="Y214">
            <v>2976</v>
          </cell>
          <cell r="Z214">
            <v>4385</v>
          </cell>
          <cell r="AA214">
            <v>5016</v>
          </cell>
          <cell r="AB214">
            <v>3155</v>
          </cell>
          <cell r="AC214">
            <v>3363</v>
          </cell>
          <cell r="AD214">
            <v>3033</v>
          </cell>
          <cell r="AE214">
            <v>4095</v>
          </cell>
          <cell r="AF214">
            <v>2989</v>
          </cell>
          <cell r="AG214">
            <v>4317</v>
          </cell>
          <cell r="AH214">
            <v>4060</v>
          </cell>
          <cell r="AI214">
            <v>3707</v>
          </cell>
          <cell r="AJ214">
            <v>3054</v>
          </cell>
          <cell r="AK214">
            <v>3154</v>
          </cell>
          <cell r="AL214">
            <v>3742</v>
          </cell>
          <cell r="AM214">
            <v>3361</v>
          </cell>
          <cell r="AN214">
            <v>3073</v>
          </cell>
          <cell r="AO214">
            <v>2865</v>
          </cell>
          <cell r="AP214">
            <v>3059</v>
          </cell>
          <cell r="AQ214">
            <v>3371</v>
          </cell>
          <cell r="AR214">
            <v>2773</v>
          </cell>
          <cell r="AS214">
            <v>4070</v>
          </cell>
          <cell r="AT214">
            <v>4509</v>
          </cell>
          <cell r="AU214">
            <v>3486</v>
          </cell>
          <cell r="AV214">
            <v>2814</v>
          </cell>
          <cell r="AW214">
            <v>3133</v>
          </cell>
          <cell r="AX214">
            <v>2521</v>
          </cell>
          <cell r="AY214">
            <v>1764</v>
          </cell>
          <cell r="AZ214">
            <v>1982</v>
          </cell>
          <cell r="BA214">
            <v>2044</v>
          </cell>
          <cell r="BB214">
            <v>2847</v>
          </cell>
          <cell r="BC214">
            <v>2893</v>
          </cell>
          <cell r="BD214">
            <v>2580</v>
          </cell>
          <cell r="BE214">
            <v>3152</v>
          </cell>
          <cell r="BF214">
            <v>4491</v>
          </cell>
          <cell r="BG214">
            <v>3607</v>
          </cell>
          <cell r="BH214">
            <v>3000</v>
          </cell>
          <cell r="BI214">
            <v>3204</v>
          </cell>
          <cell r="BJ214">
            <v>3443</v>
          </cell>
          <cell r="BK214">
            <v>3904</v>
          </cell>
          <cell r="BL214">
            <v>2959</v>
          </cell>
          <cell r="BM214">
            <v>3067</v>
          </cell>
          <cell r="BN214">
            <v>3380</v>
          </cell>
          <cell r="BO214">
            <v>4195</v>
          </cell>
          <cell r="BP214">
            <v>3291</v>
          </cell>
          <cell r="BQ214">
            <v>4700</v>
          </cell>
          <cell r="BR214">
            <v>4953</v>
          </cell>
          <cell r="BS214">
            <v>3913</v>
          </cell>
          <cell r="BT214">
            <v>3537</v>
          </cell>
          <cell r="BU214">
            <v>3341</v>
          </cell>
          <cell r="BV214">
            <v>4641</v>
          </cell>
          <cell r="BW214">
            <v>4439</v>
          </cell>
          <cell r="BX214">
            <v>3804</v>
          </cell>
          <cell r="BY214">
            <v>3435</v>
          </cell>
          <cell r="BZ214">
            <v>4182</v>
          </cell>
          <cell r="CA214">
            <v>4195</v>
          </cell>
          <cell r="CB214">
            <v>3622</v>
          </cell>
          <cell r="CC214">
            <v>4925</v>
          </cell>
          <cell r="CD214">
            <v>5089</v>
          </cell>
          <cell r="CE214">
            <v>4153</v>
          </cell>
          <cell r="CF214">
            <v>4127</v>
          </cell>
          <cell r="CG214">
            <v>3819</v>
          </cell>
          <cell r="CH214">
            <v>4557</v>
          </cell>
          <cell r="CI214">
            <v>5414</v>
          </cell>
          <cell r="CJ214">
            <v>3863</v>
          </cell>
          <cell r="CK214">
            <v>3602</v>
          </cell>
          <cell r="CL214">
            <v>4545</v>
          </cell>
          <cell r="CM214">
            <v>4682</v>
          </cell>
          <cell r="CN214">
            <v>4469</v>
          </cell>
          <cell r="CO214">
            <v>5716</v>
          </cell>
          <cell r="CP214">
            <v>6623</v>
          </cell>
          <cell r="CQ214">
            <v>5689</v>
          </cell>
          <cell r="CR214">
            <v>5207</v>
          </cell>
          <cell r="CS214">
            <v>5284</v>
          </cell>
          <cell r="CW214">
            <v>0.3698531182277871</v>
          </cell>
          <cell r="CX214">
            <v>2.4905248512761464E-3</v>
          </cell>
          <cell r="CY214">
            <v>9.2112838226827845E-4</v>
          </cell>
          <cell r="CZ214">
            <v>3.1005436044223124E-3</v>
          </cell>
        </row>
        <row r="215">
          <cell r="B215" t="str">
            <v>Other Europe</v>
          </cell>
          <cell r="L215">
            <v>2179</v>
          </cell>
          <cell r="M215">
            <v>1697</v>
          </cell>
          <cell r="N215">
            <v>2268</v>
          </cell>
          <cell r="O215">
            <v>2556</v>
          </cell>
          <cell r="P215">
            <v>2139</v>
          </cell>
          <cell r="Q215">
            <v>1792</v>
          </cell>
          <cell r="R215">
            <v>2078</v>
          </cell>
          <cell r="S215">
            <v>1962</v>
          </cell>
          <cell r="T215">
            <v>2026</v>
          </cell>
          <cell r="U215">
            <v>2816</v>
          </cell>
          <cell r="V215">
            <v>4157</v>
          </cell>
          <cell r="W215">
            <v>2220</v>
          </cell>
          <cell r="X215">
            <v>2153</v>
          </cell>
          <cell r="Y215">
            <v>1892</v>
          </cell>
          <cell r="Z215">
            <v>2455</v>
          </cell>
          <cell r="AA215">
            <v>2479</v>
          </cell>
          <cell r="AB215">
            <v>2156</v>
          </cell>
          <cell r="AC215">
            <v>1968</v>
          </cell>
          <cell r="AD215">
            <v>2363</v>
          </cell>
          <cell r="AE215">
            <v>2178</v>
          </cell>
          <cell r="AF215">
            <v>2280</v>
          </cell>
          <cell r="AG215">
            <v>2724</v>
          </cell>
          <cell r="AH215">
            <v>2518</v>
          </cell>
          <cell r="AI215">
            <v>2462</v>
          </cell>
          <cell r="AJ215">
            <v>2103</v>
          </cell>
          <cell r="AK215">
            <v>2011</v>
          </cell>
          <cell r="AL215">
            <v>3161</v>
          </cell>
          <cell r="AM215">
            <v>2643</v>
          </cell>
          <cell r="AN215">
            <v>2511</v>
          </cell>
          <cell r="AO215">
            <v>2253</v>
          </cell>
          <cell r="AP215">
            <v>2254</v>
          </cell>
          <cell r="AQ215">
            <v>2399</v>
          </cell>
          <cell r="AR215">
            <v>2311</v>
          </cell>
          <cell r="AS215">
            <v>3475</v>
          </cell>
          <cell r="AT215">
            <v>3301</v>
          </cell>
          <cell r="AU215">
            <v>2808</v>
          </cell>
          <cell r="AV215">
            <v>2359</v>
          </cell>
          <cell r="AW215">
            <v>2463</v>
          </cell>
          <cell r="AX215">
            <v>2221</v>
          </cell>
          <cell r="AY215">
            <v>1109</v>
          </cell>
          <cell r="AZ215">
            <v>814</v>
          </cell>
          <cell r="BA215">
            <v>858</v>
          </cell>
          <cell r="BB215">
            <v>1380</v>
          </cell>
          <cell r="BC215">
            <v>1489</v>
          </cell>
          <cell r="BD215">
            <v>1942</v>
          </cell>
          <cell r="BE215">
            <v>2681</v>
          </cell>
          <cell r="BF215">
            <v>2734</v>
          </cell>
          <cell r="BG215">
            <v>2198</v>
          </cell>
          <cell r="BH215">
            <v>2037</v>
          </cell>
          <cell r="BI215">
            <v>1954</v>
          </cell>
          <cell r="BJ215">
            <v>2492</v>
          </cell>
          <cell r="BK215">
            <v>2488</v>
          </cell>
          <cell r="BL215">
            <v>2537</v>
          </cell>
          <cell r="BM215">
            <v>2234</v>
          </cell>
          <cell r="BN215">
            <v>2777</v>
          </cell>
          <cell r="BO215">
            <v>2850</v>
          </cell>
          <cell r="BP215">
            <v>3318</v>
          </cell>
          <cell r="BQ215">
            <v>4486</v>
          </cell>
          <cell r="BR215">
            <v>4314</v>
          </cell>
          <cell r="BS215">
            <v>3499</v>
          </cell>
          <cell r="BT215">
            <v>3719</v>
          </cell>
          <cell r="BU215">
            <v>3066</v>
          </cell>
          <cell r="BV215">
            <v>4006</v>
          </cell>
          <cell r="BW215">
            <v>4071</v>
          </cell>
          <cell r="BX215">
            <v>4296</v>
          </cell>
          <cell r="BY215">
            <v>3350</v>
          </cell>
          <cell r="BZ215">
            <v>4506</v>
          </cell>
          <cell r="CA215">
            <v>4227</v>
          </cell>
          <cell r="CB215">
            <v>4002</v>
          </cell>
          <cell r="CC215">
            <v>5824</v>
          </cell>
          <cell r="CD215">
            <v>5186</v>
          </cell>
          <cell r="CE215">
            <v>4266</v>
          </cell>
          <cell r="CF215">
            <v>4274</v>
          </cell>
          <cell r="CG215">
            <v>3831</v>
          </cell>
          <cell r="CH215">
            <v>4684</v>
          </cell>
          <cell r="CI215">
            <v>5105</v>
          </cell>
          <cell r="CJ215">
            <v>4891</v>
          </cell>
          <cell r="CK215">
            <v>3709</v>
          </cell>
          <cell r="CL215">
            <v>5104</v>
          </cell>
          <cell r="CM215">
            <v>5328</v>
          </cell>
          <cell r="CN215">
            <v>5415</v>
          </cell>
          <cell r="CO215">
            <v>7089</v>
          </cell>
          <cell r="CP215">
            <v>6606</v>
          </cell>
          <cell r="CQ215">
            <v>6402</v>
          </cell>
          <cell r="CR215">
            <v>6072</v>
          </cell>
          <cell r="CS215">
            <v>5938</v>
          </cell>
          <cell r="CW215">
            <v>0.5007032348804501</v>
          </cell>
          <cell r="CX215">
            <v>2.5582901554404144E-3</v>
          </cell>
          <cell r="CY215">
            <v>1.280944156591825E-3</v>
          </cell>
          <cell r="CZ215">
            <v>4.311693449899779E-3</v>
          </cell>
        </row>
        <row r="217">
          <cell r="B217" t="str">
            <v>Australia</v>
          </cell>
          <cell r="L217">
            <v>2739</v>
          </cell>
          <cell r="M217">
            <v>1885</v>
          </cell>
          <cell r="N217">
            <v>2487</v>
          </cell>
          <cell r="O217">
            <v>2624</v>
          </cell>
          <cell r="P217">
            <v>2311</v>
          </cell>
          <cell r="Q217">
            <v>2146</v>
          </cell>
          <cell r="R217">
            <v>2181</v>
          </cell>
          <cell r="S217">
            <v>1920</v>
          </cell>
          <cell r="T217">
            <v>2450</v>
          </cell>
          <cell r="U217">
            <v>2359</v>
          </cell>
          <cell r="V217">
            <v>2671</v>
          </cell>
          <cell r="W217">
            <v>3036</v>
          </cell>
          <cell r="X217">
            <v>2915</v>
          </cell>
          <cell r="Y217">
            <v>2215</v>
          </cell>
          <cell r="Z217">
            <v>2604</v>
          </cell>
          <cell r="AA217">
            <v>2884</v>
          </cell>
          <cell r="AB217">
            <v>2144</v>
          </cell>
          <cell r="AC217">
            <v>2126</v>
          </cell>
          <cell r="AD217">
            <v>2121</v>
          </cell>
          <cell r="AE217">
            <v>2114</v>
          </cell>
          <cell r="AF217">
            <v>2520</v>
          </cell>
          <cell r="AG217">
            <v>2528</v>
          </cell>
          <cell r="AH217">
            <v>2372</v>
          </cell>
          <cell r="AI217">
            <v>2791</v>
          </cell>
          <cell r="AJ217">
            <v>2963</v>
          </cell>
          <cell r="AK217">
            <v>2004</v>
          </cell>
          <cell r="AL217">
            <v>2791</v>
          </cell>
          <cell r="AM217">
            <v>2540</v>
          </cell>
          <cell r="AN217">
            <v>2768</v>
          </cell>
          <cell r="AO217">
            <v>2126</v>
          </cell>
          <cell r="AP217">
            <v>2410</v>
          </cell>
          <cell r="AQ217">
            <v>2196</v>
          </cell>
          <cell r="AR217">
            <v>2525</v>
          </cell>
          <cell r="AS217">
            <v>2867</v>
          </cell>
          <cell r="AT217">
            <v>2957</v>
          </cell>
          <cell r="AU217">
            <v>2881</v>
          </cell>
          <cell r="AV217">
            <v>3588</v>
          </cell>
          <cell r="AW217">
            <v>2378</v>
          </cell>
          <cell r="AX217">
            <v>2277</v>
          </cell>
          <cell r="AY217">
            <v>1024</v>
          </cell>
          <cell r="AZ217">
            <v>1079</v>
          </cell>
          <cell r="BA217">
            <v>1153</v>
          </cell>
          <cell r="BB217">
            <v>2030</v>
          </cell>
          <cell r="BC217">
            <v>1652</v>
          </cell>
          <cell r="BD217">
            <v>2245</v>
          </cell>
          <cell r="BE217">
            <v>2433</v>
          </cell>
          <cell r="BF217">
            <v>2677</v>
          </cell>
          <cell r="BG217">
            <v>2849</v>
          </cell>
          <cell r="BH217">
            <v>3143</v>
          </cell>
          <cell r="BI217">
            <v>2462</v>
          </cell>
          <cell r="BJ217">
            <v>2866</v>
          </cell>
          <cell r="BK217">
            <v>3316</v>
          </cell>
          <cell r="BL217">
            <v>2586</v>
          </cell>
          <cell r="BM217">
            <v>2455</v>
          </cell>
          <cell r="BN217">
            <v>3108</v>
          </cell>
          <cell r="BO217">
            <v>3157</v>
          </cell>
          <cell r="BP217">
            <v>4089</v>
          </cell>
          <cell r="BQ217">
            <v>4297</v>
          </cell>
          <cell r="BR217">
            <v>4777</v>
          </cell>
          <cell r="BS217">
            <v>5803</v>
          </cell>
          <cell r="BT217">
            <v>5702</v>
          </cell>
          <cell r="BU217">
            <v>3991</v>
          </cell>
          <cell r="BV217">
            <v>5129</v>
          </cell>
          <cell r="BW217">
            <v>4974</v>
          </cell>
          <cell r="BX217">
            <v>4746</v>
          </cell>
          <cell r="BY217">
            <v>5164</v>
          </cell>
          <cell r="BZ217">
            <v>5220</v>
          </cell>
          <cell r="CA217">
            <v>4582</v>
          </cell>
          <cell r="CB217">
            <v>5402</v>
          </cell>
          <cell r="CC217">
            <v>5185</v>
          </cell>
          <cell r="CD217">
            <v>5142</v>
          </cell>
          <cell r="CE217">
            <v>6409</v>
          </cell>
          <cell r="CF217">
            <v>6819</v>
          </cell>
          <cell r="CG217">
            <v>4857</v>
          </cell>
          <cell r="CH217">
            <v>5356</v>
          </cell>
          <cell r="CI217">
            <v>6868</v>
          </cell>
          <cell r="CJ217">
            <v>4680</v>
          </cell>
          <cell r="CK217">
            <v>5610</v>
          </cell>
          <cell r="CL217">
            <v>5451</v>
          </cell>
          <cell r="CM217">
            <v>4744</v>
          </cell>
          <cell r="CN217">
            <v>6260</v>
          </cell>
          <cell r="CO217">
            <v>6945</v>
          </cell>
          <cell r="CP217">
            <v>6644</v>
          </cell>
          <cell r="CQ217">
            <v>8576</v>
          </cell>
          <cell r="CR217">
            <v>9116</v>
          </cell>
          <cell r="CS217">
            <v>6023</v>
          </cell>
          <cell r="CW217">
            <v>0.33811827118115145</v>
          </cell>
          <cell r="CX217">
            <v>3.843432162732681E-3</v>
          </cell>
          <cell r="CY217">
            <v>1.299534638265208E-3</v>
          </cell>
          <cell r="CZ217">
            <v>4.3742695252494473E-3</v>
          </cell>
        </row>
        <row r="218">
          <cell r="B218" t="str">
            <v>New Zealand</v>
          </cell>
          <cell r="L218">
            <v>311</v>
          </cell>
          <cell r="M218">
            <v>271</v>
          </cell>
          <cell r="N218">
            <v>467</v>
          </cell>
          <cell r="O218">
            <v>515</v>
          </cell>
          <cell r="P218">
            <v>410</v>
          </cell>
          <cell r="Q218">
            <v>442</v>
          </cell>
          <cell r="R218">
            <v>451</v>
          </cell>
          <cell r="S218">
            <v>357</v>
          </cell>
          <cell r="T218">
            <v>406</v>
          </cell>
          <cell r="U218">
            <v>486</v>
          </cell>
          <cell r="V218">
            <v>503</v>
          </cell>
          <cell r="W218">
            <v>503</v>
          </cell>
          <cell r="X218">
            <v>437</v>
          </cell>
          <cell r="Y218">
            <v>305</v>
          </cell>
          <cell r="Z218">
            <v>524</v>
          </cell>
          <cell r="AA218">
            <v>713</v>
          </cell>
          <cell r="AB218">
            <v>404</v>
          </cell>
          <cell r="AC218">
            <v>527</v>
          </cell>
          <cell r="AD218">
            <v>506</v>
          </cell>
          <cell r="AE218">
            <v>570</v>
          </cell>
          <cell r="AF218">
            <v>483</v>
          </cell>
          <cell r="AG218">
            <v>551</v>
          </cell>
          <cell r="AH218">
            <v>555</v>
          </cell>
          <cell r="AI218">
            <v>486</v>
          </cell>
          <cell r="AJ218">
            <v>418</v>
          </cell>
          <cell r="AK218">
            <v>311</v>
          </cell>
          <cell r="AL218">
            <v>570</v>
          </cell>
          <cell r="AM218">
            <v>496</v>
          </cell>
          <cell r="AN218">
            <v>575</v>
          </cell>
          <cell r="AO218">
            <v>360</v>
          </cell>
          <cell r="AP218">
            <v>412</v>
          </cell>
          <cell r="AQ218">
            <v>498</v>
          </cell>
          <cell r="AR218">
            <v>420</v>
          </cell>
          <cell r="AS218">
            <v>511</v>
          </cell>
          <cell r="AT218">
            <v>444</v>
          </cell>
          <cell r="AU218">
            <v>474</v>
          </cell>
          <cell r="AV218">
            <v>403</v>
          </cell>
          <cell r="AW218">
            <v>337</v>
          </cell>
          <cell r="AX218">
            <v>389</v>
          </cell>
          <cell r="AY218">
            <v>215</v>
          </cell>
          <cell r="AZ218">
            <v>234</v>
          </cell>
          <cell r="BA218">
            <v>216</v>
          </cell>
          <cell r="BB218">
            <v>285</v>
          </cell>
          <cell r="BC218">
            <v>420</v>
          </cell>
          <cell r="BD218">
            <v>413</v>
          </cell>
          <cell r="BE218">
            <v>458</v>
          </cell>
          <cell r="BF218">
            <v>541</v>
          </cell>
          <cell r="BG218">
            <v>447</v>
          </cell>
          <cell r="BH218">
            <v>406</v>
          </cell>
          <cell r="BI218">
            <v>385</v>
          </cell>
          <cell r="BJ218">
            <v>581</v>
          </cell>
          <cell r="BK218">
            <v>477</v>
          </cell>
          <cell r="BL218">
            <v>430</v>
          </cell>
          <cell r="BM218">
            <v>448</v>
          </cell>
          <cell r="BN218">
            <v>405</v>
          </cell>
          <cell r="BO218">
            <v>520</v>
          </cell>
          <cell r="BP218">
            <v>702</v>
          </cell>
          <cell r="BQ218">
            <v>865</v>
          </cell>
          <cell r="BR218">
            <v>635</v>
          </cell>
          <cell r="BS218">
            <v>847</v>
          </cell>
          <cell r="BT218">
            <v>817</v>
          </cell>
          <cell r="BU218">
            <v>549</v>
          </cell>
          <cell r="BV218">
            <v>738</v>
          </cell>
          <cell r="BW218">
            <v>769</v>
          </cell>
          <cell r="BX218">
            <v>759</v>
          </cell>
          <cell r="BY218">
            <v>696</v>
          </cell>
          <cell r="BZ218">
            <v>803</v>
          </cell>
          <cell r="CA218">
            <v>750</v>
          </cell>
          <cell r="CB218">
            <v>762</v>
          </cell>
          <cell r="CC218">
            <v>828</v>
          </cell>
          <cell r="CD218">
            <v>776</v>
          </cell>
          <cell r="CE218">
            <v>847</v>
          </cell>
          <cell r="CF218">
            <v>909</v>
          </cell>
          <cell r="CG218">
            <v>636</v>
          </cell>
          <cell r="CH218">
            <v>649</v>
          </cell>
          <cell r="CI218">
            <v>981</v>
          </cell>
          <cell r="CJ218">
            <v>736</v>
          </cell>
          <cell r="CK218">
            <v>783</v>
          </cell>
          <cell r="CL218">
            <v>882</v>
          </cell>
          <cell r="CM218">
            <v>806</v>
          </cell>
          <cell r="CN218">
            <v>938</v>
          </cell>
          <cell r="CO218">
            <v>1135</v>
          </cell>
          <cell r="CP218">
            <v>1000</v>
          </cell>
          <cell r="CQ218">
            <v>1192</v>
          </cell>
          <cell r="CR218">
            <v>1457</v>
          </cell>
          <cell r="CS218">
            <v>896</v>
          </cell>
          <cell r="CW218">
            <v>0.40731995277449817</v>
          </cell>
          <cell r="CX218">
            <v>5.079399347534063E-4</v>
          </cell>
          <cell r="CY218">
            <v>2.0689407023603913E-4</v>
          </cell>
          <cell r="CZ218">
            <v>6.964111611495429E-4</v>
          </cell>
        </row>
        <row r="219">
          <cell r="B219" t="str">
            <v>Other Oceania</v>
          </cell>
          <cell r="L219">
            <v>223</v>
          </cell>
          <cell r="M219">
            <v>159</v>
          </cell>
          <cell r="N219">
            <v>161</v>
          </cell>
          <cell r="O219">
            <v>164</v>
          </cell>
          <cell r="P219">
            <v>173</v>
          </cell>
          <cell r="Q219">
            <v>192</v>
          </cell>
          <cell r="R219">
            <v>224</v>
          </cell>
          <cell r="S219">
            <v>256</v>
          </cell>
          <cell r="T219">
            <v>199</v>
          </cell>
          <cell r="U219">
            <v>206</v>
          </cell>
          <cell r="V219">
            <v>242</v>
          </cell>
          <cell r="W219">
            <v>217</v>
          </cell>
          <cell r="X219">
            <v>212</v>
          </cell>
          <cell r="Y219">
            <v>160</v>
          </cell>
          <cell r="Z219">
            <v>186</v>
          </cell>
          <cell r="AA219">
            <v>188</v>
          </cell>
          <cell r="AB219">
            <v>234</v>
          </cell>
          <cell r="AC219">
            <v>159</v>
          </cell>
          <cell r="AD219">
            <v>211</v>
          </cell>
          <cell r="AE219">
            <v>177</v>
          </cell>
          <cell r="AF219">
            <v>171</v>
          </cell>
          <cell r="AG219">
            <v>165</v>
          </cell>
          <cell r="AH219">
            <v>152</v>
          </cell>
          <cell r="AI219">
            <v>167</v>
          </cell>
          <cell r="AJ219">
            <v>163</v>
          </cell>
          <cell r="AK219">
            <v>134</v>
          </cell>
          <cell r="AL219">
            <v>150</v>
          </cell>
          <cell r="AM219">
            <v>137</v>
          </cell>
          <cell r="AN219">
            <v>181</v>
          </cell>
          <cell r="AO219">
            <v>208</v>
          </cell>
          <cell r="AP219">
            <v>143</v>
          </cell>
          <cell r="AQ219">
            <v>132</v>
          </cell>
          <cell r="AR219">
            <v>172</v>
          </cell>
          <cell r="AS219">
            <v>160</v>
          </cell>
          <cell r="AT219">
            <v>148</v>
          </cell>
          <cell r="AU219">
            <v>155</v>
          </cell>
          <cell r="AV219">
            <v>145</v>
          </cell>
          <cell r="AW219">
            <v>110</v>
          </cell>
          <cell r="AX219">
            <v>127</v>
          </cell>
          <cell r="AY219">
            <v>79</v>
          </cell>
          <cell r="AZ219">
            <v>89</v>
          </cell>
          <cell r="BA219">
            <v>97</v>
          </cell>
          <cell r="BB219">
            <v>145</v>
          </cell>
          <cell r="BC219">
            <v>133</v>
          </cell>
          <cell r="BD219">
            <v>123</v>
          </cell>
          <cell r="BE219">
            <v>88</v>
          </cell>
          <cell r="BF219">
            <v>93</v>
          </cell>
          <cell r="BG219">
            <v>95</v>
          </cell>
          <cell r="BH219">
            <v>129</v>
          </cell>
          <cell r="BI219">
            <v>77</v>
          </cell>
          <cell r="BJ219">
            <v>131</v>
          </cell>
          <cell r="BK219">
            <v>102</v>
          </cell>
          <cell r="BL219">
            <v>77</v>
          </cell>
          <cell r="BM219">
            <v>115</v>
          </cell>
          <cell r="BN219">
            <v>103</v>
          </cell>
          <cell r="BO219">
            <v>127</v>
          </cell>
          <cell r="BP219">
            <v>93</v>
          </cell>
          <cell r="BQ219">
            <v>103</v>
          </cell>
          <cell r="BR219">
            <v>88</v>
          </cell>
          <cell r="BS219">
            <v>91</v>
          </cell>
          <cell r="BT219">
            <v>79</v>
          </cell>
          <cell r="BU219">
            <v>84</v>
          </cell>
          <cell r="BV219">
            <v>81</v>
          </cell>
          <cell r="BW219">
            <v>112</v>
          </cell>
          <cell r="BX219">
            <v>86</v>
          </cell>
          <cell r="BY219">
            <v>78</v>
          </cell>
          <cell r="BZ219">
            <v>67</v>
          </cell>
          <cell r="CA219">
            <v>62</v>
          </cell>
          <cell r="CB219">
            <v>84</v>
          </cell>
          <cell r="CC219">
            <v>77</v>
          </cell>
          <cell r="CD219">
            <v>62</v>
          </cell>
          <cell r="CE219">
            <v>68</v>
          </cell>
          <cell r="CF219">
            <v>72</v>
          </cell>
          <cell r="CG219">
            <v>61</v>
          </cell>
          <cell r="CH219">
            <v>53</v>
          </cell>
          <cell r="CI219">
            <v>63</v>
          </cell>
          <cell r="CJ219">
            <v>65</v>
          </cell>
          <cell r="CK219">
            <v>71</v>
          </cell>
          <cell r="CL219">
            <v>51</v>
          </cell>
          <cell r="CM219">
            <v>59</v>
          </cell>
          <cell r="CN219">
            <v>55</v>
          </cell>
          <cell r="CO219">
            <v>52</v>
          </cell>
          <cell r="CP219">
            <v>74</v>
          </cell>
          <cell r="CQ219">
            <v>89</v>
          </cell>
          <cell r="CR219">
            <v>70</v>
          </cell>
          <cell r="CS219">
            <v>86</v>
          </cell>
          <cell r="CW219">
            <v>0.30882352941176472</v>
          </cell>
          <cell r="CX219">
            <v>4.0779121090001921E-5</v>
          </cell>
          <cell r="CY219">
            <v>1.2593552101324124E-5</v>
          </cell>
          <cell r="CZ219">
            <v>4.2390244591711311E-5</v>
          </cell>
        </row>
        <row r="221">
          <cell r="B221" t="str">
            <v>Africa</v>
          </cell>
          <cell r="L221">
            <v>344</v>
          </cell>
          <cell r="M221">
            <v>299</v>
          </cell>
          <cell r="N221">
            <v>372</v>
          </cell>
          <cell r="O221">
            <v>417</v>
          </cell>
          <cell r="P221">
            <v>386</v>
          </cell>
          <cell r="Q221">
            <v>309</v>
          </cell>
          <cell r="R221">
            <v>342</v>
          </cell>
          <cell r="S221">
            <v>283</v>
          </cell>
          <cell r="T221">
            <v>277</v>
          </cell>
          <cell r="U221">
            <v>395</v>
          </cell>
          <cell r="V221">
            <v>403</v>
          </cell>
          <cell r="W221">
            <v>355</v>
          </cell>
          <cell r="X221">
            <v>312</v>
          </cell>
          <cell r="Y221">
            <v>221</v>
          </cell>
          <cell r="Z221">
            <v>358</v>
          </cell>
          <cell r="AA221">
            <v>417</v>
          </cell>
          <cell r="AB221">
            <v>292</v>
          </cell>
          <cell r="AC221">
            <v>304</v>
          </cell>
          <cell r="AD221">
            <v>305</v>
          </cell>
          <cell r="AE221">
            <v>317</v>
          </cell>
          <cell r="AF221">
            <v>266</v>
          </cell>
          <cell r="AG221">
            <v>403</v>
          </cell>
          <cell r="AH221">
            <v>277</v>
          </cell>
          <cell r="AI221">
            <v>351</v>
          </cell>
          <cell r="AJ221">
            <v>356</v>
          </cell>
          <cell r="AK221">
            <v>274</v>
          </cell>
          <cell r="AL221">
            <v>274</v>
          </cell>
          <cell r="AM221">
            <v>325</v>
          </cell>
          <cell r="AN221">
            <v>321</v>
          </cell>
          <cell r="AO221">
            <v>269</v>
          </cell>
          <cell r="AP221">
            <v>322</v>
          </cell>
          <cell r="AQ221">
            <v>340</v>
          </cell>
          <cell r="AR221">
            <v>314</v>
          </cell>
          <cell r="AS221">
            <v>501</v>
          </cell>
          <cell r="AT221">
            <v>397</v>
          </cell>
          <cell r="AU221">
            <v>432</v>
          </cell>
          <cell r="AV221">
            <v>408</v>
          </cell>
          <cell r="AW221">
            <v>323</v>
          </cell>
          <cell r="AX221">
            <v>439</v>
          </cell>
          <cell r="AY221">
            <v>227</v>
          </cell>
          <cell r="AZ221">
            <v>199</v>
          </cell>
          <cell r="BA221">
            <v>237</v>
          </cell>
          <cell r="BB221">
            <v>356</v>
          </cell>
          <cell r="BC221">
            <v>344</v>
          </cell>
          <cell r="BD221">
            <v>374</v>
          </cell>
          <cell r="BE221">
            <v>699</v>
          </cell>
          <cell r="BF221">
            <v>371</v>
          </cell>
          <cell r="BG221">
            <v>331</v>
          </cell>
          <cell r="BH221">
            <v>377</v>
          </cell>
          <cell r="BI221">
            <v>318</v>
          </cell>
          <cell r="BJ221">
            <v>368</v>
          </cell>
          <cell r="BK221">
            <v>446</v>
          </cell>
          <cell r="BL221">
            <v>410</v>
          </cell>
          <cell r="BM221">
            <v>468</v>
          </cell>
          <cell r="BN221">
            <v>447</v>
          </cell>
          <cell r="BO221">
            <v>423</v>
          </cell>
          <cell r="BP221">
            <v>453</v>
          </cell>
          <cell r="BQ221">
            <v>705</v>
          </cell>
          <cell r="BR221">
            <v>510</v>
          </cell>
          <cell r="BS221">
            <v>624</v>
          </cell>
          <cell r="BT221">
            <v>591</v>
          </cell>
          <cell r="BU221">
            <v>436</v>
          </cell>
          <cell r="BV221">
            <v>655</v>
          </cell>
          <cell r="BW221">
            <v>631</v>
          </cell>
          <cell r="BX221">
            <v>663</v>
          </cell>
          <cell r="BY221">
            <v>530</v>
          </cell>
          <cell r="BZ221">
            <v>706</v>
          </cell>
          <cell r="CA221">
            <v>708</v>
          </cell>
          <cell r="CB221">
            <v>723</v>
          </cell>
          <cell r="CC221">
            <v>872</v>
          </cell>
          <cell r="CD221">
            <v>603</v>
          </cell>
          <cell r="CE221">
            <v>817</v>
          </cell>
          <cell r="CF221">
            <v>676</v>
          </cell>
          <cell r="CG221">
            <v>624</v>
          </cell>
          <cell r="CH221">
            <v>720</v>
          </cell>
          <cell r="CI221">
            <v>885</v>
          </cell>
          <cell r="CJ221">
            <v>787</v>
          </cell>
          <cell r="CK221">
            <v>755</v>
          </cell>
          <cell r="CL221">
            <v>897</v>
          </cell>
          <cell r="CM221">
            <v>1157</v>
          </cell>
          <cell r="CN221">
            <v>1553</v>
          </cell>
          <cell r="CO221">
            <v>1973</v>
          </cell>
          <cell r="CP221">
            <v>1474</v>
          </cell>
          <cell r="CQ221">
            <v>1968</v>
          </cell>
          <cell r="CR221">
            <v>1742</v>
          </cell>
          <cell r="CS221">
            <v>1696</v>
          </cell>
          <cell r="CW221">
            <v>1.4088127294981638</v>
          </cell>
          <cell r="CX221">
            <v>4.8994914603722891E-4</v>
          </cell>
          <cell r="CY221">
            <v>6.902465937440029E-4</v>
          </cell>
          <cell r="CZ221">
            <v>2.3233891202409382E-3</v>
          </cell>
        </row>
        <row r="222">
          <cell r="B222" t="str">
            <v>Middle East</v>
          </cell>
          <cell r="L222">
            <v>59</v>
          </cell>
          <cell r="M222">
            <v>49</v>
          </cell>
          <cell r="N222">
            <v>50</v>
          </cell>
          <cell r="O222">
            <v>111</v>
          </cell>
          <cell r="P222">
            <v>53</v>
          </cell>
          <cell r="Q222">
            <v>72</v>
          </cell>
          <cell r="R222">
            <v>60</v>
          </cell>
          <cell r="S222">
            <v>166</v>
          </cell>
          <cell r="T222">
            <v>47</v>
          </cell>
          <cell r="U222">
            <v>93</v>
          </cell>
          <cell r="V222">
            <v>61</v>
          </cell>
          <cell r="W222">
            <v>50</v>
          </cell>
          <cell r="X222">
            <v>38</v>
          </cell>
          <cell r="Y222">
            <v>58</v>
          </cell>
          <cell r="Z222">
            <v>85</v>
          </cell>
          <cell r="AA222">
            <v>306</v>
          </cell>
          <cell r="AB222">
            <v>77</v>
          </cell>
          <cell r="AC222">
            <v>68</v>
          </cell>
          <cell r="AD222">
            <v>121</v>
          </cell>
          <cell r="AE222">
            <v>120</v>
          </cell>
          <cell r="AF222">
            <v>39</v>
          </cell>
          <cell r="AG222">
            <v>84</v>
          </cell>
          <cell r="AH222">
            <v>23</v>
          </cell>
          <cell r="AI222">
            <v>40</v>
          </cell>
          <cell r="AJ222">
            <v>67</v>
          </cell>
          <cell r="AK222">
            <v>52</v>
          </cell>
          <cell r="AL222">
            <v>52</v>
          </cell>
          <cell r="AM222">
            <v>109</v>
          </cell>
          <cell r="AN222">
            <v>72</v>
          </cell>
          <cell r="AO222">
            <v>64</v>
          </cell>
          <cell r="AP222">
            <v>92</v>
          </cell>
          <cell r="AQ222">
            <v>105</v>
          </cell>
          <cell r="AR222">
            <v>90</v>
          </cell>
          <cell r="AS222">
            <v>92</v>
          </cell>
          <cell r="AT222">
            <v>200</v>
          </cell>
          <cell r="AU222">
            <v>110</v>
          </cell>
          <cell r="AV222">
            <v>101</v>
          </cell>
          <cell r="AW222">
            <v>77</v>
          </cell>
          <cell r="AX222">
            <v>71</v>
          </cell>
          <cell r="AY222">
            <v>70</v>
          </cell>
          <cell r="AZ222">
            <v>63</v>
          </cell>
          <cell r="BA222">
            <v>75</v>
          </cell>
          <cell r="BB222">
            <v>84</v>
          </cell>
          <cell r="BC222">
            <v>147</v>
          </cell>
          <cell r="BD222">
            <v>169</v>
          </cell>
          <cell r="BE222">
            <v>213</v>
          </cell>
          <cell r="BF222">
            <v>161</v>
          </cell>
          <cell r="BG222">
            <v>103</v>
          </cell>
          <cell r="BH222">
            <v>92</v>
          </cell>
          <cell r="BI222">
            <v>85</v>
          </cell>
          <cell r="BJ222">
            <v>133</v>
          </cell>
          <cell r="BK222">
            <v>267</v>
          </cell>
          <cell r="BL222">
            <v>190</v>
          </cell>
          <cell r="BM222">
            <v>140</v>
          </cell>
          <cell r="BN222">
            <v>117</v>
          </cell>
          <cell r="BO222">
            <v>336</v>
          </cell>
          <cell r="BP222">
            <v>182</v>
          </cell>
          <cell r="BQ222">
            <v>172</v>
          </cell>
          <cell r="BR222">
            <v>135</v>
          </cell>
          <cell r="BS222">
            <v>192</v>
          </cell>
          <cell r="BT222">
            <v>163</v>
          </cell>
          <cell r="BU222">
            <v>115</v>
          </cell>
          <cell r="BV222">
            <v>157</v>
          </cell>
          <cell r="BW222">
            <v>269</v>
          </cell>
          <cell r="BX222">
            <v>325</v>
          </cell>
          <cell r="BY222">
            <v>225</v>
          </cell>
          <cell r="BZ222">
            <v>239</v>
          </cell>
          <cell r="CA222">
            <v>349</v>
          </cell>
          <cell r="CB222">
            <v>239</v>
          </cell>
          <cell r="CC222">
            <v>191</v>
          </cell>
          <cell r="CD222">
            <v>203</v>
          </cell>
          <cell r="CE222">
            <v>191</v>
          </cell>
          <cell r="CF222">
            <v>223</v>
          </cell>
          <cell r="CG222">
            <v>138</v>
          </cell>
          <cell r="CH222">
            <v>209</v>
          </cell>
          <cell r="CI222">
            <v>370</v>
          </cell>
          <cell r="CJ222">
            <v>327</v>
          </cell>
          <cell r="CK222">
            <v>337</v>
          </cell>
          <cell r="CL222">
            <v>373</v>
          </cell>
          <cell r="CM222">
            <v>360</v>
          </cell>
          <cell r="CN222">
            <v>268</v>
          </cell>
          <cell r="CO222">
            <v>376</v>
          </cell>
          <cell r="CP222">
            <v>352</v>
          </cell>
          <cell r="CQ222">
            <v>402</v>
          </cell>
          <cell r="CR222">
            <v>311</v>
          </cell>
          <cell r="CS222">
            <v>316</v>
          </cell>
          <cell r="CW222">
            <v>1.1047120418848166</v>
          </cell>
          <cell r="CX222">
            <v>1.1454135482632892E-4</v>
          </cell>
          <cell r="CY222">
            <v>1.2653521397044712E-4</v>
          </cell>
          <cell r="CZ222">
            <v>4.2592102899290883E-4</v>
          </cell>
        </row>
        <row r="223">
          <cell r="B223" t="str">
            <v>Other</v>
          </cell>
          <cell r="L223">
            <v>8</v>
          </cell>
          <cell r="M223">
            <v>9</v>
          </cell>
          <cell r="N223">
            <v>11</v>
          </cell>
          <cell r="O223">
            <v>12</v>
          </cell>
          <cell r="P223">
            <v>14</v>
          </cell>
          <cell r="Q223">
            <v>6</v>
          </cell>
          <cell r="R223">
            <v>11</v>
          </cell>
          <cell r="S223">
            <v>33</v>
          </cell>
          <cell r="T223">
            <v>8</v>
          </cell>
          <cell r="U223">
            <v>34</v>
          </cell>
          <cell r="V223">
            <v>17</v>
          </cell>
          <cell r="W223">
            <v>22</v>
          </cell>
          <cell r="X223">
            <v>12</v>
          </cell>
          <cell r="Y223">
            <v>15</v>
          </cell>
          <cell r="Z223">
            <v>8</v>
          </cell>
          <cell r="AA223">
            <v>15</v>
          </cell>
          <cell r="AB223">
            <v>34</v>
          </cell>
          <cell r="AC223">
            <v>19</v>
          </cell>
          <cell r="AD223">
            <v>25</v>
          </cell>
          <cell r="AE223">
            <v>30</v>
          </cell>
          <cell r="AF223">
            <v>11</v>
          </cell>
          <cell r="AG223">
            <v>25</v>
          </cell>
          <cell r="AH223">
            <v>21</v>
          </cell>
          <cell r="AI223">
            <v>11</v>
          </cell>
          <cell r="AJ223">
            <v>2</v>
          </cell>
          <cell r="AK223">
            <v>10</v>
          </cell>
          <cell r="AL223">
            <v>9</v>
          </cell>
          <cell r="AM223">
            <v>13</v>
          </cell>
          <cell r="AN223">
            <v>22</v>
          </cell>
          <cell r="AO223">
            <v>5</v>
          </cell>
          <cell r="AP223">
            <v>8</v>
          </cell>
          <cell r="AQ223">
            <v>8</v>
          </cell>
          <cell r="AR223">
            <v>1</v>
          </cell>
          <cell r="AS223">
            <v>4</v>
          </cell>
          <cell r="AT223">
            <v>15</v>
          </cell>
          <cell r="AU223">
            <v>14</v>
          </cell>
          <cell r="AV223">
            <v>11</v>
          </cell>
          <cell r="AW223">
            <v>17</v>
          </cell>
          <cell r="AX223">
            <v>6</v>
          </cell>
          <cell r="AY223">
            <v>1</v>
          </cell>
          <cell r="AZ223">
            <v>5</v>
          </cell>
          <cell r="BA223">
            <v>4</v>
          </cell>
          <cell r="BB223">
            <v>7</v>
          </cell>
          <cell r="BC223">
            <v>8</v>
          </cell>
          <cell r="BD223">
            <v>4</v>
          </cell>
          <cell r="BE223">
            <v>5</v>
          </cell>
          <cell r="BF223">
            <v>8</v>
          </cell>
          <cell r="BG223">
            <v>25</v>
          </cell>
          <cell r="BH223">
            <v>7</v>
          </cell>
          <cell r="BI223">
            <v>8</v>
          </cell>
          <cell r="BJ223">
            <v>2</v>
          </cell>
          <cell r="BK223">
            <v>18</v>
          </cell>
          <cell r="BL223">
            <v>5</v>
          </cell>
          <cell r="BM223">
            <v>5</v>
          </cell>
          <cell r="BN223">
            <v>3</v>
          </cell>
          <cell r="BO223">
            <v>3</v>
          </cell>
          <cell r="BP223">
            <v>9</v>
          </cell>
          <cell r="BQ223">
            <v>5</v>
          </cell>
          <cell r="BR223">
            <v>2</v>
          </cell>
          <cell r="BS223">
            <v>8</v>
          </cell>
          <cell r="BT223">
            <v>2</v>
          </cell>
          <cell r="BU223">
            <v>1</v>
          </cell>
          <cell r="BV223">
            <v>7</v>
          </cell>
          <cell r="BW223">
            <v>21</v>
          </cell>
          <cell r="BX223">
            <v>12</v>
          </cell>
          <cell r="BY223">
            <v>12</v>
          </cell>
          <cell r="BZ223">
            <v>5</v>
          </cell>
          <cell r="CA223">
            <v>38</v>
          </cell>
          <cell r="CB223">
            <v>3</v>
          </cell>
          <cell r="CC223">
            <v>15</v>
          </cell>
          <cell r="CD223">
            <v>1</v>
          </cell>
          <cell r="CE223">
            <v>6</v>
          </cell>
          <cell r="CF223">
            <v>6</v>
          </cell>
          <cell r="CG223">
            <v>4</v>
          </cell>
          <cell r="CH223">
            <v>3</v>
          </cell>
          <cell r="CI223">
            <v>19</v>
          </cell>
          <cell r="CJ223">
            <v>5</v>
          </cell>
          <cell r="CK223">
            <v>7</v>
          </cell>
          <cell r="CL223">
            <v>3</v>
          </cell>
          <cell r="CM223">
            <v>3</v>
          </cell>
          <cell r="CN223">
            <v>4</v>
          </cell>
          <cell r="CO223">
            <v>4</v>
          </cell>
          <cell r="CP223">
            <v>1</v>
          </cell>
          <cell r="CQ223">
            <v>7</v>
          </cell>
          <cell r="CR223">
            <v>0</v>
          </cell>
          <cell r="CS223">
            <v>2</v>
          </cell>
          <cell r="CW223">
            <v>0.16666666666666674</v>
          </cell>
          <cell r="CX223">
            <v>3.5981577432354636E-6</v>
          </cell>
          <cell r="CY223">
            <v>5.9969295720591088E-7</v>
          </cell>
          <cell r="CZ223">
            <v>2.0185830757957774E-6</v>
          </cell>
        </row>
        <row r="225">
          <cell r="B225" t="str">
            <v>Visitor Arrivals by Method</v>
          </cell>
        </row>
        <row r="226">
          <cell r="B226" t="str">
            <v>Outer Harbour</v>
          </cell>
          <cell r="AV226">
            <v>418700</v>
          </cell>
          <cell r="AW226">
            <v>497704</v>
          </cell>
          <cell r="AX226">
            <v>422558</v>
          </cell>
          <cell r="AY226">
            <v>274974</v>
          </cell>
          <cell r="AZ226">
            <v>242932</v>
          </cell>
          <cell r="BA226">
            <v>352148</v>
          </cell>
          <cell r="BB226">
            <v>462398</v>
          </cell>
          <cell r="BC226">
            <v>610206</v>
          </cell>
          <cell r="BD226">
            <v>404074</v>
          </cell>
          <cell r="BE226">
            <v>431526</v>
          </cell>
          <cell r="BF226">
            <v>464783</v>
          </cell>
          <cell r="BG226">
            <v>504280</v>
          </cell>
          <cell r="BH226">
            <v>525727</v>
          </cell>
          <cell r="BI226">
            <v>393174</v>
          </cell>
          <cell r="BJ226">
            <v>495507</v>
          </cell>
          <cell r="BK226">
            <v>535072</v>
          </cell>
          <cell r="BL226">
            <v>466744</v>
          </cell>
          <cell r="BM226">
            <v>480947</v>
          </cell>
          <cell r="BN226">
            <v>599271</v>
          </cell>
          <cell r="BO226">
            <v>623527</v>
          </cell>
          <cell r="BP226">
            <v>457573</v>
          </cell>
          <cell r="BQ226">
            <v>506637</v>
          </cell>
          <cell r="BR226">
            <v>528097</v>
          </cell>
          <cell r="BS226">
            <v>555728</v>
          </cell>
          <cell r="BT226">
            <v>461140</v>
          </cell>
          <cell r="BU226">
            <v>556152</v>
          </cell>
          <cell r="BV226">
            <v>532147</v>
          </cell>
          <cell r="BW226">
            <v>523626</v>
          </cell>
          <cell r="BX226">
            <v>517613</v>
          </cell>
          <cell r="BY226">
            <v>487793</v>
          </cell>
          <cell r="BZ226">
            <v>597980</v>
          </cell>
          <cell r="CA226">
            <v>627549</v>
          </cell>
          <cell r="CB226">
            <v>491528</v>
          </cell>
          <cell r="CC226">
            <v>543620</v>
          </cell>
          <cell r="CD226">
            <v>567260</v>
          </cell>
          <cell r="CE226">
            <v>596787</v>
          </cell>
          <cell r="CF226">
            <v>576738</v>
          </cell>
          <cell r="CG226">
            <v>615970</v>
          </cell>
          <cell r="CH226">
            <v>596647</v>
          </cell>
          <cell r="CI226">
            <v>656641</v>
          </cell>
          <cell r="CJ226">
            <v>537279</v>
          </cell>
          <cell r="CK226">
            <v>518984</v>
          </cell>
          <cell r="CL226">
            <v>623401</v>
          </cell>
          <cell r="CM226">
            <v>646629</v>
          </cell>
          <cell r="CN226">
            <v>550668</v>
          </cell>
          <cell r="CO226">
            <v>623235</v>
          </cell>
          <cell r="CP226">
            <v>616083</v>
          </cell>
          <cell r="CQ226">
            <v>721827</v>
          </cell>
          <cell r="CR226">
            <v>615279</v>
          </cell>
          <cell r="CS226">
            <v>716057</v>
          </cell>
        </row>
        <row r="227">
          <cell r="B227" t="str">
            <v>Inner Harbour</v>
          </cell>
          <cell r="AV227">
            <v>12751</v>
          </cell>
          <cell r="AW227">
            <v>10373</v>
          </cell>
          <cell r="AX227">
            <v>13092</v>
          </cell>
          <cell r="AY227">
            <v>5235</v>
          </cell>
          <cell r="AZ227">
            <v>1778</v>
          </cell>
          <cell r="BA227">
            <v>4710</v>
          </cell>
          <cell r="BB227">
            <v>5558</v>
          </cell>
          <cell r="BC227">
            <v>5883</v>
          </cell>
          <cell r="BD227">
            <v>5445</v>
          </cell>
          <cell r="BE227">
            <v>7848</v>
          </cell>
          <cell r="BF227">
            <v>7922</v>
          </cell>
          <cell r="BG227">
            <v>7709</v>
          </cell>
          <cell r="BH227">
            <v>14264</v>
          </cell>
          <cell r="BI227">
            <v>9663</v>
          </cell>
          <cell r="BJ227">
            <v>10096</v>
          </cell>
          <cell r="BK227">
            <v>9975</v>
          </cell>
          <cell r="BL227">
            <v>11463</v>
          </cell>
          <cell r="BM227">
            <v>9014</v>
          </cell>
          <cell r="BN227">
            <v>9712</v>
          </cell>
          <cell r="BO227">
            <v>11515</v>
          </cell>
          <cell r="BP227">
            <v>11031</v>
          </cell>
          <cell r="BQ227">
            <v>15085</v>
          </cell>
          <cell r="BR227">
            <v>12623</v>
          </cell>
          <cell r="BS227">
            <v>12118</v>
          </cell>
          <cell r="BT227">
            <v>14149</v>
          </cell>
          <cell r="BU227">
            <v>16455</v>
          </cell>
          <cell r="BV227">
            <v>13108</v>
          </cell>
          <cell r="BW227">
            <v>12856</v>
          </cell>
          <cell r="BX227">
            <v>14510</v>
          </cell>
          <cell r="BY227">
            <v>11893</v>
          </cell>
          <cell r="BZ227">
            <v>13959</v>
          </cell>
          <cell r="CA227">
            <v>16046</v>
          </cell>
          <cell r="CB227">
            <v>16441</v>
          </cell>
          <cell r="CC227">
            <v>32097</v>
          </cell>
          <cell r="CD227">
            <v>27629</v>
          </cell>
          <cell r="CE227">
            <v>27557</v>
          </cell>
          <cell r="CF227">
            <v>34902</v>
          </cell>
          <cell r="CG227">
            <v>35573</v>
          </cell>
          <cell r="CH227">
            <v>30832</v>
          </cell>
          <cell r="CI227">
            <v>31179</v>
          </cell>
          <cell r="CJ227">
            <v>32615</v>
          </cell>
          <cell r="CK227">
            <v>25987</v>
          </cell>
          <cell r="CL227">
            <v>28481</v>
          </cell>
          <cell r="CM227">
            <v>28986</v>
          </cell>
          <cell r="CN227">
            <v>25508</v>
          </cell>
          <cell r="CO227">
            <v>33649</v>
          </cell>
          <cell r="CP227">
            <v>30244</v>
          </cell>
          <cell r="CQ227">
            <v>33797</v>
          </cell>
          <cell r="CR227">
            <v>40000</v>
          </cell>
          <cell r="CS227">
            <v>69087</v>
          </cell>
        </row>
        <row r="228">
          <cell r="B228" t="str">
            <v>Border Gate</v>
          </cell>
          <cell r="AV228">
            <v>481686</v>
          </cell>
          <cell r="AW228">
            <v>442682</v>
          </cell>
          <cell r="AX228">
            <v>441409</v>
          </cell>
          <cell r="AY228">
            <v>336629</v>
          </cell>
          <cell r="AZ228">
            <v>333555</v>
          </cell>
          <cell r="BA228">
            <v>425541</v>
          </cell>
          <cell r="BB228">
            <v>494710</v>
          </cell>
          <cell r="BC228">
            <v>557189</v>
          </cell>
          <cell r="BD228">
            <v>496125</v>
          </cell>
          <cell r="BE228">
            <v>574508</v>
          </cell>
          <cell r="BF228">
            <v>590685</v>
          </cell>
          <cell r="BG228">
            <v>615964</v>
          </cell>
          <cell r="BH228">
            <v>692180</v>
          </cell>
          <cell r="BI228">
            <v>626338</v>
          </cell>
          <cell r="BJ228">
            <v>687375</v>
          </cell>
          <cell r="BK228">
            <v>690010</v>
          </cell>
          <cell r="BL228">
            <v>742707</v>
          </cell>
          <cell r="BM228">
            <v>687420</v>
          </cell>
          <cell r="BN228">
            <v>770073</v>
          </cell>
          <cell r="BO228">
            <v>826519</v>
          </cell>
          <cell r="BP228">
            <v>706374</v>
          </cell>
          <cell r="BQ228">
            <v>821958</v>
          </cell>
          <cell r="BR228">
            <v>762312</v>
          </cell>
          <cell r="BS228">
            <v>797648</v>
          </cell>
          <cell r="BT228">
            <v>788281</v>
          </cell>
          <cell r="BU228">
            <v>799722</v>
          </cell>
          <cell r="BV228">
            <v>831479</v>
          </cell>
          <cell r="BW228">
            <v>801009</v>
          </cell>
          <cell r="BX228">
            <v>846354</v>
          </cell>
          <cell r="BY228">
            <v>779027</v>
          </cell>
          <cell r="BZ228">
            <v>881652</v>
          </cell>
          <cell r="CA228">
            <v>907290</v>
          </cell>
          <cell r="CB228">
            <v>823692</v>
          </cell>
          <cell r="CC228">
            <v>996220</v>
          </cell>
          <cell r="CD228">
            <v>929452</v>
          </cell>
          <cell r="CE228">
            <v>957636</v>
          </cell>
          <cell r="CF228">
            <v>971957</v>
          </cell>
          <cell r="CG228">
            <v>1020194</v>
          </cell>
          <cell r="CH228">
            <v>1080086</v>
          </cell>
          <cell r="CI228">
            <v>1074850</v>
          </cell>
          <cell r="CJ228">
            <v>1038715</v>
          </cell>
          <cell r="CK228">
            <v>954221</v>
          </cell>
          <cell r="CL228">
            <v>1046279</v>
          </cell>
          <cell r="CM228">
            <v>1138397</v>
          </cell>
          <cell r="CN228">
            <v>1074543</v>
          </cell>
          <cell r="CO228">
            <v>1221707</v>
          </cell>
          <cell r="CP228">
            <v>1195621</v>
          </cell>
          <cell r="CQ228">
            <v>1289519</v>
          </cell>
          <cell r="CR228">
            <v>1275615</v>
          </cell>
          <cell r="CS228">
            <v>1277422</v>
          </cell>
        </row>
        <row r="229">
          <cell r="B229" t="str">
            <v>Cotai Checkpoint</v>
          </cell>
          <cell r="AV229">
            <v>23104</v>
          </cell>
          <cell r="AW229">
            <v>19194</v>
          </cell>
          <cell r="AX229">
            <v>22595</v>
          </cell>
          <cell r="AY229">
            <v>13672</v>
          </cell>
          <cell r="AZ229">
            <v>6904</v>
          </cell>
          <cell r="BA229">
            <v>11730</v>
          </cell>
          <cell r="BB229">
            <v>20511</v>
          </cell>
          <cell r="BC229">
            <v>26423</v>
          </cell>
          <cell r="BD229">
            <v>26501</v>
          </cell>
          <cell r="BE229">
            <v>30446</v>
          </cell>
          <cell r="BF229">
            <v>31807</v>
          </cell>
          <cell r="BG229">
            <v>35116</v>
          </cell>
          <cell r="BH229">
            <v>44062</v>
          </cell>
          <cell r="BI229">
            <v>28988</v>
          </cell>
          <cell r="BJ229">
            <v>53268</v>
          </cell>
          <cell r="BK229">
            <v>48613</v>
          </cell>
          <cell r="BL229">
            <v>47569</v>
          </cell>
          <cell r="BM229">
            <v>51895</v>
          </cell>
          <cell r="BN229">
            <v>64435</v>
          </cell>
          <cell r="BO229">
            <v>75768</v>
          </cell>
          <cell r="BP229">
            <v>64390</v>
          </cell>
          <cell r="BQ229">
            <v>78685</v>
          </cell>
          <cell r="BR229">
            <v>70279</v>
          </cell>
          <cell r="BS229">
            <v>67344</v>
          </cell>
          <cell r="BT229">
            <v>64248</v>
          </cell>
          <cell r="BU229">
            <v>63305</v>
          </cell>
          <cell r="BV229">
            <v>72726</v>
          </cell>
          <cell r="BW229">
            <v>64896</v>
          </cell>
          <cell r="BX229">
            <v>70658</v>
          </cell>
          <cell r="BY229">
            <v>66765</v>
          </cell>
          <cell r="BZ229">
            <v>78911</v>
          </cell>
          <cell r="CA229">
            <v>89983</v>
          </cell>
          <cell r="CB229">
            <v>37885</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row>
        <row r="230">
          <cell r="B230" t="str">
            <v>Airport</v>
          </cell>
          <cell r="AV230">
            <v>49811</v>
          </cell>
          <cell r="AW230">
            <v>76713</v>
          </cell>
          <cell r="AX230">
            <v>60316</v>
          </cell>
          <cell r="AY230">
            <v>29502</v>
          </cell>
          <cell r="AZ230">
            <v>10677</v>
          </cell>
          <cell r="BA230">
            <v>20645</v>
          </cell>
          <cell r="BB230">
            <v>62214</v>
          </cell>
          <cell r="BC230">
            <v>72238</v>
          </cell>
          <cell r="BD230">
            <v>67665</v>
          </cell>
          <cell r="BE230">
            <v>69068</v>
          </cell>
          <cell r="BF230">
            <v>63212</v>
          </cell>
          <cell r="BG230">
            <v>58574</v>
          </cell>
          <cell r="BH230">
            <v>56360</v>
          </cell>
          <cell r="BI230">
            <v>51514</v>
          </cell>
          <cell r="BJ230">
            <v>59600</v>
          </cell>
          <cell r="BK230">
            <v>70135</v>
          </cell>
          <cell r="BL230">
            <v>57060</v>
          </cell>
          <cell r="BM230">
            <v>69898</v>
          </cell>
          <cell r="BN230">
            <v>79215</v>
          </cell>
          <cell r="BO230">
            <v>78848</v>
          </cell>
          <cell r="BP230">
            <v>72540</v>
          </cell>
          <cell r="BQ230">
            <v>85414</v>
          </cell>
          <cell r="BR230">
            <v>79480</v>
          </cell>
          <cell r="BS230">
            <v>84083</v>
          </cell>
          <cell r="BT230">
            <v>72658</v>
          </cell>
          <cell r="BU230">
            <v>86324</v>
          </cell>
          <cell r="BV230">
            <v>82463</v>
          </cell>
          <cell r="BW230">
            <v>90204</v>
          </cell>
          <cell r="BX230">
            <v>89374</v>
          </cell>
          <cell r="BY230">
            <v>86674</v>
          </cell>
          <cell r="BZ230">
            <v>91990</v>
          </cell>
          <cell r="CA230">
            <v>90482</v>
          </cell>
          <cell r="CB230">
            <v>83220</v>
          </cell>
          <cell r="CC230">
            <v>91064</v>
          </cell>
          <cell r="CD230">
            <v>80249</v>
          </cell>
          <cell r="CE230">
            <v>84838</v>
          </cell>
          <cell r="CF230">
            <v>76877</v>
          </cell>
          <cell r="CG230">
            <v>101133</v>
          </cell>
          <cell r="CH230">
            <v>104082</v>
          </cell>
          <cell r="CI230">
            <v>106776</v>
          </cell>
          <cell r="CJ230">
            <v>97630</v>
          </cell>
          <cell r="CK230">
            <v>97546</v>
          </cell>
          <cell r="CL230">
            <v>103416</v>
          </cell>
          <cell r="CM230">
            <v>107508</v>
          </cell>
          <cell r="CN230">
            <v>97500</v>
          </cell>
          <cell r="CO230">
            <v>111237</v>
          </cell>
          <cell r="CP230">
            <v>107635</v>
          </cell>
          <cell r="CQ230">
            <v>117774</v>
          </cell>
          <cell r="CR230">
            <v>106631</v>
          </cell>
          <cell r="CS230">
            <v>106686</v>
          </cell>
        </row>
        <row r="231">
          <cell r="B231" t="str">
            <v>Helicopter</v>
          </cell>
          <cell r="AV231">
            <v>1161</v>
          </cell>
          <cell r="AW231">
            <v>752</v>
          </cell>
          <cell r="AX231">
            <v>986</v>
          </cell>
          <cell r="AY231">
            <v>654</v>
          </cell>
          <cell r="AZ231">
            <v>782</v>
          </cell>
          <cell r="BA231">
            <v>1005</v>
          </cell>
          <cell r="BB231">
            <v>1417</v>
          </cell>
          <cell r="BC231">
            <v>1452</v>
          </cell>
          <cell r="BD231">
            <v>1238</v>
          </cell>
          <cell r="BE231">
            <v>1745</v>
          </cell>
          <cell r="BF231">
            <v>1217</v>
          </cell>
          <cell r="BG231">
            <v>1559</v>
          </cell>
          <cell r="BH231">
            <v>1298</v>
          </cell>
          <cell r="BI231">
            <v>892</v>
          </cell>
          <cell r="BJ231">
            <v>1141</v>
          </cell>
          <cell r="BK231">
            <v>1457</v>
          </cell>
          <cell r="BL231">
            <v>1869</v>
          </cell>
          <cell r="BM231">
            <v>1591</v>
          </cell>
          <cell r="BN231">
            <v>1267</v>
          </cell>
          <cell r="BO231">
            <v>1816</v>
          </cell>
          <cell r="BP231">
            <v>1353</v>
          </cell>
          <cell r="BQ231">
            <v>1624</v>
          </cell>
          <cell r="BR231">
            <v>1847</v>
          </cell>
          <cell r="BS231">
            <v>1481</v>
          </cell>
          <cell r="BT231">
            <v>963</v>
          </cell>
          <cell r="BU231">
            <v>632</v>
          </cell>
          <cell r="BV231">
            <v>1070</v>
          </cell>
          <cell r="BW231">
            <v>1101</v>
          </cell>
          <cell r="BX231">
            <v>1025</v>
          </cell>
          <cell r="BY231">
            <v>923</v>
          </cell>
          <cell r="BZ231">
            <v>1232</v>
          </cell>
          <cell r="CA231">
            <v>733</v>
          </cell>
          <cell r="CB231">
            <v>559</v>
          </cell>
          <cell r="CC231">
            <v>622</v>
          </cell>
          <cell r="CD231">
            <v>999</v>
          </cell>
          <cell r="CE231">
            <v>702</v>
          </cell>
          <cell r="CF231">
            <v>919</v>
          </cell>
          <cell r="CG231">
            <v>1056</v>
          </cell>
          <cell r="CH231">
            <v>1052</v>
          </cell>
          <cell r="CI231">
            <v>868</v>
          </cell>
          <cell r="CJ231">
            <v>916</v>
          </cell>
          <cell r="CK231">
            <v>255</v>
          </cell>
          <cell r="CL231">
            <v>671</v>
          </cell>
          <cell r="CM231">
            <v>723</v>
          </cell>
          <cell r="CN231">
            <v>604</v>
          </cell>
          <cell r="CO231">
            <v>1144</v>
          </cell>
          <cell r="CP231">
            <v>1049</v>
          </cell>
          <cell r="CQ231">
            <v>1281</v>
          </cell>
          <cell r="CR231">
            <v>1102</v>
          </cell>
          <cell r="CS231">
            <v>1212</v>
          </cell>
        </row>
        <row r="233">
          <cell r="B233" t="str">
            <v>Weather</v>
          </cell>
        </row>
        <row r="234">
          <cell r="B234" t="str">
            <v>Average Temperature</v>
          </cell>
          <cell r="AV234">
            <v>15.3</v>
          </cell>
          <cell r="AW234">
            <v>17.8</v>
          </cell>
          <cell r="AX234">
            <v>18.3</v>
          </cell>
          <cell r="AY234">
            <v>23.3</v>
          </cell>
          <cell r="AZ234">
            <v>26.4</v>
          </cell>
          <cell r="BA234">
            <v>27</v>
          </cell>
          <cell r="BB234">
            <v>29</v>
          </cell>
          <cell r="BC234">
            <v>28.4</v>
          </cell>
          <cell r="BD234">
            <v>27.2</v>
          </cell>
          <cell r="BE234">
            <v>24.9</v>
          </cell>
          <cell r="BF234">
            <v>21.5</v>
          </cell>
          <cell r="BG234">
            <v>16.8</v>
          </cell>
          <cell r="BH234">
            <v>14.6</v>
          </cell>
          <cell r="BI234">
            <v>16.399999999999999</v>
          </cell>
          <cell r="BJ234">
            <v>18.399999999999999</v>
          </cell>
          <cell r="BK234">
            <v>22.4</v>
          </cell>
          <cell r="BL234">
            <v>25.7</v>
          </cell>
          <cell r="BM234">
            <v>28.4</v>
          </cell>
          <cell r="BN234">
            <v>28</v>
          </cell>
          <cell r="BO234">
            <v>28.3</v>
          </cell>
          <cell r="BP234">
            <v>27.4</v>
          </cell>
          <cell r="BQ234">
            <v>24.4</v>
          </cell>
          <cell r="BR234">
            <v>21.9</v>
          </cell>
          <cell r="BS234">
            <v>18</v>
          </cell>
          <cell r="BT234">
            <v>14.4</v>
          </cell>
          <cell r="BU234">
            <v>14.8</v>
          </cell>
          <cell r="BV234">
            <v>16.2</v>
          </cell>
          <cell r="BW234">
            <v>22</v>
          </cell>
          <cell r="BX234">
            <v>26.5</v>
          </cell>
          <cell r="BY234">
            <v>27.1</v>
          </cell>
          <cell r="BZ234">
            <v>28.5</v>
          </cell>
          <cell r="CA234">
            <v>27.8</v>
          </cell>
          <cell r="CB234">
            <v>31.2</v>
          </cell>
          <cell r="CC234">
            <v>25.9</v>
          </cell>
          <cell r="CD234">
            <v>22.4</v>
          </cell>
          <cell r="CE234">
            <v>16.100000000000001</v>
          </cell>
          <cell r="CF234">
            <v>15.6</v>
          </cell>
          <cell r="CG234">
            <v>17.3</v>
          </cell>
          <cell r="CH234">
            <v>17.899999999999999</v>
          </cell>
          <cell r="CI234">
            <v>23.2</v>
          </cell>
          <cell r="CJ234">
            <v>25.3</v>
          </cell>
          <cell r="CK234">
            <v>27.4</v>
          </cell>
          <cell r="CL234">
            <v>31.4</v>
          </cell>
          <cell r="CM234">
            <v>31.3</v>
          </cell>
          <cell r="CN234">
            <v>26.3</v>
          </cell>
          <cell r="CO234">
            <v>26.4</v>
          </cell>
          <cell r="CP234">
            <v>22.8</v>
          </cell>
          <cell r="CQ234">
            <v>17.5</v>
          </cell>
          <cell r="CR234">
            <v>15.3</v>
          </cell>
          <cell r="CS234">
            <v>19.3</v>
          </cell>
        </row>
        <row r="235">
          <cell r="B235" t="str">
            <v>Average Windspeed</v>
          </cell>
          <cell r="AV235">
            <v>16.399999999999999</v>
          </cell>
          <cell r="AW235">
            <v>14.1</v>
          </cell>
          <cell r="AX235">
            <v>17</v>
          </cell>
          <cell r="AY235">
            <v>16.399999999999999</v>
          </cell>
          <cell r="AZ235">
            <v>17.600000000000001</v>
          </cell>
          <cell r="BA235">
            <v>15.6</v>
          </cell>
          <cell r="BB235">
            <v>16.600000000000001</v>
          </cell>
          <cell r="BC235">
            <v>14.1</v>
          </cell>
          <cell r="BD235">
            <v>16.600000000000001</v>
          </cell>
          <cell r="BE235">
            <v>15</v>
          </cell>
          <cell r="BF235">
            <v>17.5</v>
          </cell>
          <cell r="BG235">
            <v>16.7</v>
          </cell>
          <cell r="BH235">
            <v>17.7</v>
          </cell>
          <cell r="BI235">
            <v>14.8</v>
          </cell>
          <cell r="BJ235">
            <v>15.7</v>
          </cell>
          <cell r="BK235">
            <v>15.1</v>
          </cell>
          <cell r="BL235">
            <v>14.2</v>
          </cell>
          <cell r="BM235">
            <v>15.4</v>
          </cell>
          <cell r="BN235">
            <v>16.7</v>
          </cell>
          <cell r="BO235">
            <v>12.5</v>
          </cell>
          <cell r="BP235">
            <v>12.3</v>
          </cell>
          <cell r="BQ235">
            <v>15.2</v>
          </cell>
          <cell r="BR235">
            <v>15.4</v>
          </cell>
          <cell r="BS235">
            <v>16.3</v>
          </cell>
          <cell r="BT235">
            <v>14.3</v>
          </cell>
          <cell r="BU235">
            <v>16.100000000000001</v>
          </cell>
          <cell r="BV235">
            <v>15.4</v>
          </cell>
          <cell r="BW235">
            <v>14.1</v>
          </cell>
          <cell r="BX235">
            <v>16.600000000000001</v>
          </cell>
          <cell r="BY235">
            <v>15.7</v>
          </cell>
          <cell r="BZ235">
            <v>13.4</v>
          </cell>
          <cell r="CA235">
            <v>14.4</v>
          </cell>
          <cell r="CB235">
            <v>15.1</v>
          </cell>
          <cell r="CC235">
            <v>15.4</v>
          </cell>
          <cell r="CD235">
            <v>14.8</v>
          </cell>
          <cell r="CE235">
            <v>19.399999999999999</v>
          </cell>
          <cell r="CF235">
            <v>15.7</v>
          </cell>
          <cell r="CG235">
            <v>14</v>
          </cell>
          <cell r="CH235">
            <v>13.9</v>
          </cell>
          <cell r="CI235">
            <v>14.8</v>
          </cell>
          <cell r="CJ235">
            <v>16.899999999999999</v>
          </cell>
          <cell r="CK235">
            <v>14.8</v>
          </cell>
          <cell r="CL235">
            <v>15.4</v>
          </cell>
          <cell r="CM235">
            <v>14.7</v>
          </cell>
          <cell r="CN235">
            <v>14.3</v>
          </cell>
          <cell r="CO235">
            <v>12.1</v>
          </cell>
          <cell r="CP235">
            <v>14.3</v>
          </cell>
          <cell r="CQ235">
            <v>17.100000000000001</v>
          </cell>
          <cell r="CR235">
            <v>16.2</v>
          </cell>
          <cell r="CS235">
            <v>13</v>
          </cell>
        </row>
        <row r="236">
          <cell r="B236" t="str">
            <v>Sunshine %</v>
          </cell>
          <cell r="AV236">
            <v>53</v>
          </cell>
          <cell r="AW236">
            <v>30</v>
          </cell>
          <cell r="AX236">
            <v>19</v>
          </cell>
          <cell r="AY236">
            <v>28</v>
          </cell>
          <cell r="AZ236">
            <v>34</v>
          </cell>
          <cell r="BA236">
            <v>32</v>
          </cell>
          <cell r="BB236">
            <v>77</v>
          </cell>
          <cell r="BC236">
            <v>49</v>
          </cell>
          <cell r="BD236">
            <v>48</v>
          </cell>
          <cell r="BE236">
            <v>59</v>
          </cell>
          <cell r="BF236">
            <v>47</v>
          </cell>
          <cell r="BG236">
            <v>67</v>
          </cell>
          <cell r="BH236">
            <v>32</v>
          </cell>
          <cell r="BI236">
            <v>36</v>
          </cell>
          <cell r="BJ236">
            <v>17</v>
          </cell>
          <cell r="BK236">
            <v>26.1</v>
          </cell>
          <cell r="BL236">
            <v>37</v>
          </cell>
          <cell r="BM236">
            <v>55.5</v>
          </cell>
          <cell r="BN236">
            <v>40.6</v>
          </cell>
          <cell r="BO236">
            <v>42.3</v>
          </cell>
          <cell r="BP236">
            <v>56.3</v>
          </cell>
          <cell r="BQ236">
            <v>69.5</v>
          </cell>
          <cell r="BR236">
            <v>47</v>
          </cell>
          <cell r="BS236">
            <v>55.5</v>
          </cell>
          <cell r="BT236">
            <v>28.2</v>
          </cell>
          <cell r="BU236">
            <v>6.3</v>
          </cell>
          <cell r="BV236">
            <v>17.5</v>
          </cell>
          <cell r="BW236">
            <v>17.5</v>
          </cell>
          <cell r="BX236">
            <v>32.200000000000003</v>
          </cell>
          <cell r="BY236">
            <v>21.7</v>
          </cell>
          <cell r="BZ236">
            <v>53.2</v>
          </cell>
          <cell r="CA236">
            <v>48.8</v>
          </cell>
          <cell r="CB236">
            <v>47.9</v>
          </cell>
          <cell r="CC236">
            <v>53.6</v>
          </cell>
          <cell r="CD236">
            <v>57.6</v>
          </cell>
          <cell r="CE236">
            <v>43.4</v>
          </cell>
          <cell r="CF236">
            <v>26.4</v>
          </cell>
          <cell r="CG236">
            <v>26</v>
          </cell>
          <cell r="CH236">
            <v>15.1</v>
          </cell>
          <cell r="CI236">
            <v>21.4</v>
          </cell>
          <cell r="CJ236">
            <v>30.4</v>
          </cell>
          <cell r="CK236">
            <v>27.4</v>
          </cell>
          <cell r="CL236">
            <v>48</v>
          </cell>
          <cell r="CM236">
            <v>48.2</v>
          </cell>
          <cell r="CN236">
            <v>37.6</v>
          </cell>
          <cell r="CO236">
            <v>46</v>
          </cell>
          <cell r="CP236">
            <v>33.5</v>
          </cell>
          <cell r="CQ236">
            <v>56.6</v>
          </cell>
          <cell r="CR236">
            <v>40.799999999999997</v>
          </cell>
          <cell r="CS236">
            <v>33.799999999999997</v>
          </cell>
        </row>
        <row r="237">
          <cell r="B237" t="str">
            <v>Total Rainfall</v>
          </cell>
          <cell r="AV237">
            <v>8.6</v>
          </cell>
          <cell r="AW237">
            <v>3.6</v>
          </cell>
          <cell r="AX237">
            <v>34.6</v>
          </cell>
          <cell r="AY237">
            <v>70.2</v>
          </cell>
          <cell r="AZ237">
            <v>266.39999999999998</v>
          </cell>
          <cell r="BA237">
            <v>420.4</v>
          </cell>
          <cell r="BB237">
            <v>33</v>
          </cell>
          <cell r="BC237">
            <v>237.4</v>
          </cell>
          <cell r="BD237">
            <v>367.4</v>
          </cell>
          <cell r="BE237">
            <v>41.8</v>
          </cell>
          <cell r="BF237">
            <v>3.8</v>
          </cell>
          <cell r="BG237">
            <v>2.8</v>
          </cell>
          <cell r="BH237">
            <v>37.6</v>
          </cell>
          <cell r="BI237">
            <v>45</v>
          </cell>
          <cell r="BJ237">
            <v>56</v>
          </cell>
          <cell r="BK237">
            <v>71.599999999999994</v>
          </cell>
          <cell r="BL237">
            <v>357</v>
          </cell>
          <cell r="BM237">
            <v>74.2</v>
          </cell>
          <cell r="BN237">
            <v>165.2</v>
          </cell>
          <cell r="BO237">
            <v>519.4</v>
          </cell>
          <cell r="BP237">
            <v>188.4</v>
          </cell>
          <cell r="BQ237">
            <v>1.6</v>
          </cell>
          <cell r="BR237">
            <v>0</v>
          </cell>
          <cell r="BS237" t="str">
            <v>o</v>
          </cell>
          <cell r="BT237">
            <v>8</v>
          </cell>
          <cell r="BU237">
            <v>28</v>
          </cell>
          <cell r="BV237">
            <v>61.8</v>
          </cell>
          <cell r="BW237">
            <v>33.799999999999997</v>
          </cell>
          <cell r="BX237">
            <v>385.2</v>
          </cell>
          <cell r="BY237">
            <v>483.6</v>
          </cell>
          <cell r="BZ237">
            <v>192.4</v>
          </cell>
          <cell r="CA237">
            <v>416.4</v>
          </cell>
          <cell r="CB237">
            <v>187.6</v>
          </cell>
          <cell r="CC237">
            <v>1</v>
          </cell>
          <cell r="CD237">
            <v>99.4</v>
          </cell>
          <cell r="CE237">
            <v>1.6</v>
          </cell>
          <cell r="CF237">
            <v>14.2</v>
          </cell>
          <cell r="CG237">
            <v>61</v>
          </cell>
          <cell r="CH237">
            <v>69</v>
          </cell>
          <cell r="CI237">
            <v>96.8</v>
          </cell>
          <cell r="CJ237">
            <v>435</v>
          </cell>
          <cell r="CK237">
            <v>443.4</v>
          </cell>
          <cell r="CL237">
            <v>221.4</v>
          </cell>
          <cell r="CM237">
            <v>370.6</v>
          </cell>
          <cell r="CN237">
            <v>188.4</v>
          </cell>
          <cell r="CO237">
            <v>1</v>
          </cell>
          <cell r="CP237">
            <v>80.599999999999994</v>
          </cell>
          <cell r="CQ237">
            <v>16.399999999999999</v>
          </cell>
          <cell r="CR237">
            <v>16.8</v>
          </cell>
          <cell r="CS237">
            <v>14.2</v>
          </cell>
        </row>
        <row r="238">
          <cell r="B238" t="str">
            <v>Daily Max Rainfall</v>
          </cell>
          <cell r="AV238">
            <v>7.4</v>
          </cell>
          <cell r="AW238">
            <v>2</v>
          </cell>
          <cell r="AX238">
            <v>12</v>
          </cell>
          <cell r="AY238">
            <v>32.799999999999997</v>
          </cell>
          <cell r="AZ238">
            <v>142</v>
          </cell>
          <cell r="BA238">
            <v>94.8</v>
          </cell>
          <cell r="BB238">
            <v>11.8</v>
          </cell>
          <cell r="BC238">
            <v>30.4</v>
          </cell>
          <cell r="BD238">
            <v>95.6</v>
          </cell>
          <cell r="BE238">
            <v>40</v>
          </cell>
          <cell r="BF238">
            <v>2</v>
          </cell>
          <cell r="BG238">
            <v>1.4</v>
          </cell>
          <cell r="BH238">
            <v>14.4</v>
          </cell>
          <cell r="BI238">
            <v>16.399999999999999</v>
          </cell>
          <cell r="BJ238">
            <v>28.4</v>
          </cell>
          <cell r="BK238">
            <v>26.6</v>
          </cell>
          <cell r="BL238">
            <v>177.6</v>
          </cell>
          <cell r="BM238">
            <v>39</v>
          </cell>
          <cell r="BN238">
            <v>33.200000000000003</v>
          </cell>
          <cell r="BO238">
            <v>167.2</v>
          </cell>
          <cell r="BP238">
            <v>82.6</v>
          </cell>
          <cell r="BQ238">
            <v>1</v>
          </cell>
          <cell r="BR238">
            <v>0</v>
          </cell>
          <cell r="BS238" t="str">
            <v>o</v>
          </cell>
          <cell r="BT238">
            <v>3.6</v>
          </cell>
          <cell r="BU238">
            <v>7.4</v>
          </cell>
          <cell r="BV238">
            <v>13.6</v>
          </cell>
          <cell r="BW238">
            <v>10.199999999999999</v>
          </cell>
          <cell r="BX238">
            <v>87.8</v>
          </cell>
          <cell r="BY238">
            <v>81.2</v>
          </cell>
          <cell r="BZ238">
            <v>43.8</v>
          </cell>
          <cell r="CA238">
            <v>167.4</v>
          </cell>
          <cell r="CB238">
            <v>47.6</v>
          </cell>
          <cell r="CC238">
            <v>0.6</v>
          </cell>
          <cell r="CD238">
            <v>79</v>
          </cell>
          <cell r="CE238">
            <v>0.8</v>
          </cell>
          <cell r="CF238">
            <v>10</v>
          </cell>
          <cell r="CG238">
            <v>35.200000000000003</v>
          </cell>
          <cell r="CH238">
            <v>24.4</v>
          </cell>
          <cell r="CI238">
            <v>75.599999999999994</v>
          </cell>
          <cell r="CJ238">
            <v>130.19999999999999</v>
          </cell>
          <cell r="CK238">
            <v>123.2</v>
          </cell>
          <cell r="CL238">
            <v>67.400000000000006</v>
          </cell>
          <cell r="CM238">
            <v>113.2</v>
          </cell>
          <cell r="CN238">
            <v>52.8</v>
          </cell>
          <cell r="CO238">
            <v>0.6</v>
          </cell>
          <cell r="CP238">
            <v>59</v>
          </cell>
          <cell r="CQ238">
            <v>11.2</v>
          </cell>
          <cell r="CR238">
            <v>15.2</v>
          </cell>
          <cell r="CS238">
            <v>6.4</v>
          </cell>
        </row>
        <row r="240">
          <cell r="B240" t="str">
            <v>Total Airport Passengers</v>
          </cell>
          <cell r="L240">
            <v>184381</v>
          </cell>
          <cell r="M240">
            <v>264066</v>
          </cell>
          <cell r="N240">
            <v>226483</v>
          </cell>
          <cell r="O240">
            <v>296541</v>
          </cell>
          <cell r="P240">
            <v>288949</v>
          </cell>
          <cell r="Q240">
            <v>271181</v>
          </cell>
          <cell r="R240">
            <v>304276</v>
          </cell>
          <cell r="S240">
            <v>300418</v>
          </cell>
          <cell r="T240">
            <v>280803</v>
          </cell>
          <cell r="U240">
            <v>298873</v>
          </cell>
          <cell r="V240">
            <v>265528</v>
          </cell>
          <cell r="W240">
            <v>257929</v>
          </cell>
          <cell r="X240">
            <v>265603</v>
          </cell>
          <cell r="Y240">
            <v>249259</v>
          </cell>
          <cell r="Z240">
            <v>312319</v>
          </cell>
          <cell r="AA240">
            <v>351793</v>
          </cell>
          <cell r="AB240">
            <v>338692</v>
          </cell>
          <cell r="AC240">
            <v>332630</v>
          </cell>
          <cell r="AD240">
            <v>344658</v>
          </cell>
          <cell r="AE240">
            <v>360899</v>
          </cell>
          <cell r="AF240">
            <v>291817</v>
          </cell>
          <cell r="AG240">
            <v>327232</v>
          </cell>
          <cell r="AH240">
            <v>315538</v>
          </cell>
          <cell r="AI240">
            <v>314866</v>
          </cell>
          <cell r="AJ240">
            <v>268783</v>
          </cell>
          <cell r="AK240">
            <v>323654</v>
          </cell>
          <cell r="AL240">
            <v>360668</v>
          </cell>
          <cell r="AM240">
            <v>380648</v>
          </cell>
          <cell r="AN240">
            <v>359547</v>
          </cell>
          <cell r="AO240">
            <v>326508</v>
          </cell>
          <cell r="AP240">
            <v>388061</v>
          </cell>
          <cell r="AQ240">
            <v>384719</v>
          </cell>
          <cell r="AR240">
            <v>334029</v>
          </cell>
          <cell r="AS240">
            <v>372706</v>
          </cell>
          <cell r="AT240">
            <v>350324</v>
          </cell>
          <cell r="AU240">
            <v>322056</v>
          </cell>
          <cell r="AV240">
            <v>290140</v>
          </cell>
          <cell r="AW240">
            <v>323264</v>
          </cell>
          <cell r="AX240">
            <v>295052</v>
          </cell>
          <cell r="AY240">
            <v>144082</v>
          </cell>
          <cell r="AZ240">
            <v>47333</v>
          </cell>
          <cell r="BA240">
            <v>94294</v>
          </cell>
          <cell r="BB240">
            <v>272784</v>
          </cell>
          <cell r="BC240">
            <v>333840</v>
          </cell>
          <cell r="BD240">
            <v>295447</v>
          </cell>
          <cell r="BE240">
            <v>291193</v>
          </cell>
          <cell r="BF240">
            <v>268282</v>
          </cell>
          <cell r="BG240">
            <v>249855</v>
          </cell>
          <cell r="BH240">
            <v>288507</v>
          </cell>
          <cell r="BI240">
            <v>207710</v>
          </cell>
          <cell r="BJ240">
            <v>273910</v>
          </cell>
          <cell r="BK240">
            <v>324931</v>
          </cell>
          <cell r="BL240">
            <v>250601</v>
          </cell>
          <cell r="BM240">
            <v>296000</v>
          </cell>
          <cell r="BN240">
            <v>365454</v>
          </cell>
          <cell r="BO240">
            <v>372802</v>
          </cell>
          <cell r="BP240">
            <v>321456</v>
          </cell>
          <cell r="BQ240">
            <v>358362</v>
          </cell>
          <cell r="BR240">
            <v>327593</v>
          </cell>
          <cell r="BS240">
            <v>326933</v>
          </cell>
          <cell r="BT240">
            <v>289701</v>
          </cell>
          <cell r="BU240">
            <v>348723</v>
          </cell>
          <cell r="BV240">
            <v>321953</v>
          </cell>
          <cell r="BW240">
            <v>367976</v>
          </cell>
          <cell r="BX240">
            <v>359298</v>
          </cell>
          <cell r="BY240">
            <v>360147</v>
          </cell>
          <cell r="BZ240">
            <v>416131</v>
          </cell>
          <cell r="CA240">
            <v>409281</v>
          </cell>
          <cell r="CB240">
            <v>354751</v>
          </cell>
          <cell r="CC240">
            <v>390435</v>
          </cell>
          <cell r="CD240">
            <v>323347</v>
          </cell>
          <cell r="CE240">
            <v>308999</v>
          </cell>
          <cell r="CF240">
            <v>323282</v>
          </cell>
          <cell r="CG240">
            <v>360820</v>
          </cell>
          <cell r="CH240">
            <v>389125</v>
          </cell>
          <cell r="CI240">
            <v>431656</v>
          </cell>
          <cell r="CJ240">
            <v>399492</v>
          </cell>
          <cell r="CK240">
            <v>393601</v>
          </cell>
          <cell r="CL240">
            <v>465497</v>
          </cell>
          <cell r="CM240">
            <v>478474</v>
          </cell>
          <cell r="CN240">
            <v>412444</v>
          </cell>
          <cell r="CO240">
            <v>461215</v>
          </cell>
          <cell r="CP240">
            <v>425116</v>
          </cell>
          <cell r="CQ240">
            <v>435114</v>
          </cell>
        </row>
        <row r="241">
          <cell r="B241" t="str">
            <v>Growth</v>
          </cell>
          <cell r="X241">
            <v>0.4405117663967546</v>
          </cell>
          <cell r="Y241">
            <v>-5.607310293638712E-2</v>
          </cell>
          <cell r="Z241">
            <v>0.37899533298304955</v>
          </cell>
          <cell r="AA241">
            <v>0.18632162163073573</v>
          </cell>
          <cell r="AB241">
            <v>0.17215148694060201</v>
          </cell>
          <cell r="AC241">
            <v>0.22659773361703062</v>
          </cell>
          <cell r="AD241">
            <v>0.1327150350339823</v>
          </cell>
          <cell r="AE241">
            <v>0.2013228235325446</v>
          </cell>
          <cell r="AF241">
            <v>3.9223227672068983E-2</v>
          </cell>
          <cell r="AG241">
            <v>9.4886456789338602E-2</v>
          </cell>
          <cell r="AH241">
            <v>0.18834171914073083</v>
          </cell>
          <cell r="AI241">
            <v>0.22074679466054614</v>
          </cell>
          <cell r="AJ241">
            <v>1.1972756331818601E-2</v>
          </cell>
          <cell r="AK241">
            <v>0.29846464922028892</v>
          </cell>
          <cell r="AL241">
            <v>0.15480646390389308</v>
          </cell>
          <cell r="AM241">
            <v>8.2022666738678751E-2</v>
          </cell>
          <cell r="AN241">
            <v>6.1575118396655304E-2</v>
          </cell>
          <cell r="AO241">
            <v>-1.8404834200162368E-2</v>
          </cell>
          <cell r="AP241">
            <v>0.12593063268515459</v>
          </cell>
          <cell r="AQ241">
            <v>6.6001845391646885E-2</v>
          </cell>
          <cell r="AR241">
            <v>0.14465229921491884</v>
          </cell>
          <cell r="AS241">
            <v>0.13896562683356151</v>
          </cell>
          <cell r="AT241">
            <v>0.11024345720642215</v>
          </cell>
          <cell r="AU241">
            <v>2.2835110809042547E-2</v>
          </cell>
          <cell r="AV241">
            <v>7.945815025503844E-2</v>
          </cell>
          <cell r="AW241">
            <v>-1.204990514561799E-3</v>
          </cell>
          <cell r="AX241">
            <v>-0.18192908713831002</v>
          </cell>
          <cell r="AY241">
            <v>-0.621482314369181</v>
          </cell>
          <cell r="AZ241">
            <v>-0.86835378962972853</v>
          </cell>
          <cell r="BA241">
            <v>-0.71120462592034506</v>
          </cell>
          <cell r="BB241">
            <v>-0.29705896753345484</v>
          </cell>
          <cell r="BC241">
            <v>-0.13224977191144704</v>
          </cell>
          <cell r="BD241">
            <v>-0.11550494118774124</v>
          </cell>
          <cell r="BE241">
            <v>-0.21870589687313857</v>
          </cell>
          <cell r="BF241">
            <v>-0.23418892225482701</v>
          </cell>
          <cell r="BG241">
            <v>-0.22418771890602873</v>
          </cell>
          <cell r="BH241">
            <v>-5.6283173640311324E-3</v>
          </cell>
          <cell r="BI241">
            <v>-0.35746015640467232</v>
          </cell>
          <cell r="BJ241">
            <v>-7.1655165869067172E-2</v>
          </cell>
          <cell r="BK241">
            <v>1.2551810774420122</v>
          </cell>
          <cell r="BL241">
            <v>4.2944246086240048</v>
          </cell>
          <cell r="BM241">
            <v>2.13911807750228</v>
          </cell>
          <cell r="BN241">
            <v>0.33971933837761736</v>
          </cell>
          <cell r="BO241">
            <v>0.11670860292355623</v>
          </cell>
          <cell r="BP241">
            <v>8.8032709758433914E-2</v>
          </cell>
          <cell r="BQ241">
            <v>0.23066831963680445</v>
          </cell>
          <cell r="BR241">
            <v>0.22107707561446532</v>
          </cell>
          <cell r="BS241">
            <v>0.30849092473634698</v>
          </cell>
          <cell r="BT241">
            <v>4.1385477648723246E-3</v>
          </cell>
          <cell r="BU241">
            <v>0.67889364980020228</v>
          </cell>
          <cell r="BV241">
            <v>0.17539702822094849</v>
          </cell>
          <cell r="BW241">
            <v>0.13247427915465138</v>
          </cell>
          <cell r="BX241">
            <v>0.43374527635564109</v>
          </cell>
          <cell r="BY241">
            <v>0.21671283783783779</v>
          </cell>
          <cell r="BZ241">
            <v>0.13866861492828098</v>
          </cell>
          <cell r="CA241">
            <v>9.7850869898766568E-2</v>
          </cell>
          <cell r="CB241">
            <v>0.10357560599273308</v>
          </cell>
          <cell r="CC241">
            <v>8.9498886600699823E-2</v>
          </cell>
          <cell r="CD241">
            <v>-1.2961204909750834E-2</v>
          </cell>
          <cell r="CE241">
            <v>-5.4855276157500188E-2</v>
          </cell>
          <cell r="CF241">
            <v>0.11591606518444886</v>
          </cell>
          <cell r="CG241">
            <v>3.4689423984079149E-2</v>
          </cell>
          <cell r="CH241">
            <v>0.20863914919258408</v>
          </cell>
          <cell r="CI241">
            <v>0.1730547644411593</v>
          </cell>
          <cell r="CJ241">
            <v>0.11186814287861324</v>
          </cell>
          <cell r="CK241">
            <v>9.2889847756610466E-2</v>
          </cell>
          <cell r="CL241">
            <v>0.11863091190033903</v>
          </cell>
          <cell r="CM241">
            <v>0.16905988794984372</v>
          </cell>
          <cell r="CN241">
            <v>0.16262956270736373</v>
          </cell>
          <cell r="CO241">
            <v>0.18128497701281909</v>
          </cell>
          <cell r="CP241">
            <v>0.31473618125419445</v>
          </cell>
          <cell r="CQ241">
            <v>0.40814047941902731</v>
          </cell>
        </row>
        <row r="244">
          <cell r="B244" t="str">
            <v>Sources:</v>
          </cell>
        </row>
        <row r="245">
          <cell r="B245" t="str">
            <v>Gaming Data</v>
          </cell>
          <cell r="C245" t="str">
            <v>e_bme_pub_</v>
          </cell>
          <cell r="D245" t="str">
            <v>Monthly Bulletin of Statistics</v>
          </cell>
        </row>
        <row r="246">
          <cell r="B246" t="str">
            <v>Preliminary gaming tax</v>
          </cell>
          <cell r="C246" t="str">
            <v>DSF</v>
          </cell>
          <cell r="D246" t="str">
            <v>Public Finance Report</v>
          </cell>
        </row>
        <row r="247">
          <cell r="B247" t="str">
            <v>Hotel stats</v>
          </cell>
          <cell r="C247" t="str">
            <v>e_eoh_fr_</v>
          </cell>
          <cell r="D247" t="str">
            <v>Package Tour and Hotel Occupancy Rate</v>
          </cell>
        </row>
        <row r="248">
          <cell r="B248" t="str">
            <v>Non-Resident Workers</v>
          </cell>
          <cell r="C248" t="str">
            <v>e_bme_pub_</v>
          </cell>
          <cell r="D248" t="str">
            <v>Monthly Bulletin of Statistics</v>
          </cell>
        </row>
        <row r="249">
          <cell r="B249" t="str">
            <v>Construction Employment</v>
          </cell>
          <cell r="C249" t="str">
            <v>e_issc_pub</v>
          </cell>
          <cell r="D249" t="str">
            <v>Indices and Daily Wages of Construction Worker</v>
          </cell>
        </row>
        <row r="250">
          <cell r="B250" t="str">
            <v>Hotel Employment</v>
          </cell>
          <cell r="C250" t="str">
            <v>e_neci_fr_</v>
          </cell>
          <cell r="D250" t="str">
            <v>Manpower Needs and Wages Survey</v>
          </cell>
        </row>
        <row r="251">
          <cell r="B251" t="str">
            <v>Gaming Employment</v>
          </cell>
          <cell r="C251" t="str">
            <v>e_necJ_fr_</v>
          </cell>
          <cell r="D251" t="str">
            <v>Manpower Needs and Wages Survey</v>
          </cell>
        </row>
        <row r="252">
          <cell r="B252" t="str">
            <v>Non-Gaming Spend</v>
          </cell>
          <cell r="C252" t="str">
            <v>e_idv_fr</v>
          </cell>
          <cell r="D252" t="str">
            <v>Visitor Expenditure Report</v>
          </cell>
        </row>
        <row r="253">
          <cell r="B253" t="str">
            <v>Per-Diem Spend</v>
          </cell>
          <cell r="C253" t="str">
            <v>e_idv_fr</v>
          </cell>
          <cell r="D253" t="str">
            <v>Visitor Expenditure Report</v>
          </cell>
        </row>
        <row r="254">
          <cell r="B254" t="str">
            <v>Overnight Guests</v>
          </cell>
          <cell r="C254" t="str">
            <v>e_bme_pub_</v>
          </cell>
          <cell r="D254" t="str">
            <v>Monthly Bulletin of Statistics</v>
          </cell>
        </row>
        <row r="255">
          <cell r="B255" t="str">
            <v>Overnight Guests</v>
          </cell>
          <cell r="C255" t="str">
            <v>e_eoh_fr_</v>
          </cell>
          <cell r="D255" t="str">
            <v>Package Tour and Hotel Occupancy Rate</v>
          </cell>
        </row>
        <row r="256">
          <cell r="B256" t="str">
            <v>Same Day Visitors</v>
          </cell>
          <cell r="C256" t="str">
            <v>e_bme_pub_</v>
          </cell>
          <cell r="D256" t="str">
            <v>Monthly Bulletin of Statistics</v>
          </cell>
        </row>
        <row r="257">
          <cell r="B257" t="str">
            <v>Same Day Visitors</v>
          </cell>
          <cell r="C257" t="str">
            <v>e_mv_fr_</v>
          </cell>
          <cell r="D257" t="str">
            <v>Visitor Arrivals</v>
          </cell>
        </row>
        <row r="258">
          <cell r="B258" t="str">
            <v>FIT Visitors</v>
          </cell>
          <cell r="C258" t="str">
            <v>PDF</v>
          </cell>
          <cell r="D258" t="str">
            <v>Visitor Arrivals</v>
          </cell>
        </row>
        <row r="259">
          <cell r="B259" t="str">
            <v>FIT Visitors</v>
          </cell>
          <cell r="C259" t="str">
            <v>e_bet_pub_</v>
          </cell>
          <cell r="D259" t="str">
            <v>Economic Bulletin</v>
          </cell>
        </row>
        <row r="260">
          <cell r="B260" t="str">
            <v>Visitor Arrivals</v>
          </cell>
          <cell r="C260" t="str">
            <v>e_mv_fr_</v>
          </cell>
          <cell r="D260" t="str">
            <v>Visitor Arrivals</v>
          </cell>
        </row>
        <row r="261">
          <cell r="B261" t="str">
            <v>Visitor Arrivals in Package Tours</v>
          </cell>
          <cell r="C261" t="str">
            <v>e_bme_pub_</v>
          </cell>
          <cell r="D261" t="str">
            <v>Monthly Bulletin of Statistics</v>
          </cell>
        </row>
        <row r="262">
          <cell r="B262" t="str">
            <v>Visitor Arrivals in Package Tours</v>
          </cell>
          <cell r="C262" t="str">
            <v>e_eoh_fr_</v>
          </cell>
          <cell r="D262" t="str">
            <v>Package Tour and Hotel Occupancy Rate</v>
          </cell>
        </row>
        <row r="263">
          <cell r="B263" t="str">
            <v>Visitor Arrivals by Method</v>
          </cell>
          <cell r="C263" t="str">
            <v>e_mv_fr_</v>
          </cell>
          <cell r="D263" t="str">
            <v>Visitor Arrivals</v>
          </cell>
        </row>
        <row r="264">
          <cell r="B264" t="str">
            <v>Weather</v>
          </cell>
          <cell r="C264" t="str">
            <v>e_bme_pub_</v>
          </cell>
          <cell r="D264" t="str">
            <v>Monthly Bulletin of Statistics</v>
          </cell>
        </row>
        <row r="265">
          <cell r="B265" t="str">
            <v>Total Airport Passengers</v>
          </cell>
          <cell r="C265" t="str">
            <v>http://www.macau-airport.com/en/h02/04_traffic_stat.php</v>
          </cell>
        </row>
      </sheetData>
      <sheetData sheetId="3" refreshError="1"/>
      <sheetData sheetId="4" refreshError="1"/>
      <sheetData sheetId="5" refreshError="1">
        <row r="2">
          <cell r="B2" t="str">
            <v>Visitor Penetration</v>
          </cell>
        </row>
        <row r="3">
          <cell r="B3" t="str">
            <v>(mm)</v>
          </cell>
          <cell r="C3">
            <v>2000</v>
          </cell>
          <cell r="D3">
            <v>2001</v>
          </cell>
          <cell r="E3">
            <v>2002</v>
          </cell>
          <cell r="F3">
            <v>2003</v>
          </cell>
          <cell r="G3">
            <v>2004</v>
          </cell>
          <cell r="H3">
            <v>2005</v>
          </cell>
          <cell r="I3">
            <v>2006</v>
          </cell>
          <cell r="J3" t="str">
            <v>2007E</v>
          </cell>
          <cell r="K3" t="str">
            <v>2008E</v>
          </cell>
          <cell r="L3" t="str">
            <v>2009E</v>
          </cell>
          <cell r="M3" t="str">
            <v>2010E</v>
          </cell>
          <cell r="N3" t="str">
            <v>2011E</v>
          </cell>
          <cell r="O3" t="str">
            <v>2012E</v>
          </cell>
          <cell r="P3" t="str">
            <v>2013E</v>
          </cell>
          <cell r="Q3" t="str">
            <v>2014E</v>
          </cell>
          <cell r="R3" t="str">
            <v>2015E</v>
          </cell>
          <cell r="S3" t="str">
            <v>2016E</v>
          </cell>
          <cell r="T3" t="str">
            <v>2017E</v>
          </cell>
          <cell r="U3" t="str">
            <v>2018E</v>
          </cell>
          <cell r="V3" t="str">
            <v>2019E</v>
          </cell>
          <cell r="W3" t="str">
            <v>2020E</v>
          </cell>
        </row>
        <row r="5">
          <cell r="B5" t="str">
            <v>China Population</v>
          </cell>
          <cell r="C5">
            <v>1267.43</v>
          </cell>
          <cell r="D5">
            <v>1276.27</v>
          </cell>
          <cell r="E5">
            <v>1284.53</v>
          </cell>
          <cell r="F5">
            <v>1292.27</v>
          </cell>
          <cell r="G5">
            <v>1299.8800000000001</v>
          </cell>
          <cell r="H5">
            <v>1306.3794</v>
          </cell>
          <cell r="I5">
            <v>1312.9112969999999</v>
          </cell>
          <cell r="J5">
            <v>1319.4758534849998</v>
          </cell>
          <cell r="K5">
            <v>1326.0732327524247</v>
          </cell>
          <cell r="L5">
            <v>1332.7035989161866</v>
          </cell>
          <cell r="M5">
            <v>1339.3671169107674</v>
          </cell>
          <cell r="N5">
            <v>1346.063952495321</v>
          </cell>
          <cell r="O5">
            <v>1352.7942722577975</v>
          </cell>
          <cell r="P5">
            <v>1359.5582436190864</v>
          </cell>
          <cell r="Q5">
            <v>1366.3560348371816</v>
          </cell>
          <cell r="R5">
            <v>1373.1878150113673</v>
          </cell>
          <cell r="S5">
            <v>1380.0537540864241</v>
          </cell>
          <cell r="T5">
            <v>1386.954022856856</v>
          </cell>
          <cell r="U5">
            <v>1393.8887929711402</v>
          </cell>
          <cell r="V5">
            <v>1400.8582369359958</v>
          </cell>
          <cell r="W5">
            <v>1407.8625281206757</v>
          </cell>
        </row>
        <row r="6">
          <cell r="B6" t="str">
            <v xml:space="preserve">  Urban Population</v>
          </cell>
          <cell r="C6">
            <v>459.06</v>
          </cell>
          <cell r="D6">
            <v>480.64</v>
          </cell>
          <cell r="E6">
            <v>502.12</v>
          </cell>
          <cell r="F6">
            <v>523.76</v>
          </cell>
          <cell r="G6">
            <v>542.83000000000004</v>
          </cell>
          <cell r="H6">
            <v>564.54320000000007</v>
          </cell>
          <cell r="I6">
            <v>587.12492800000007</v>
          </cell>
          <cell r="J6">
            <v>610.60992512000007</v>
          </cell>
          <cell r="K6">
            <v>635.03432212480004</v>
          </cell>
          <cell r="L6">
            <v>660.43569500979208</v>
          </cell>
          <cell r="M6">
            <v>686.85312281018378</v>
          </cell>
          <cell r="N6">
            <v>707.45871649448929</v>
          </cell>
          <cell r="O6">
            <v>728.68247798932396</v>
          </cell>
          <cell r="P6">
            <v>750.5429523290037</v>
          </cell>
          <cell r="Q6">
            <v>773.05924089887378</v>
          </cell>
          <cell r="R6">
            <v>796.25101812584001</v>
          </cell>
          <cell r="S6">
            <v>820.13854866961526</v>
          </cell>
          <cell r="T6">
            <v>844.74270512970372</v>
          </cell>
          <cell r="U6">
            <v>870.08498628359484</v>
          </cell>
          <cell r="V6">
            <v>896.18753587210267</v>
          </cell>
          <cell r="W6">
            <v>923.07316194826581</v>
          </cell>
        </row>
        <row r="7">
          <cell r="B7" t="str">
            <v xml:space="preserve">  Covered Under IVS Program</v>
          </cell>
          <cell r="C7">
            <v>0</v>
          </cell>
          <cell r="D7">
            <v>0</v>
          </cell>
          <cell r="E7">
            <v>0</v>
          </cell>
          <cell r="F7">
            <v>53.99</v>
          </cell>
          <cell r="G7">
            <v>157.501823</v>
          </cell>
          <cell r="H7">
            <v>229.114823</v>
          </cell>
          <cell r="I7">
            <v>244.32482300000001</v>
          </cell>
          <cell r="J7">
            <v>344.32482300000004</v>
          </cell>
          <cell r="K7">
            <v>444.32482300000004</v>
          </cell>
          <cell r="L7">
            <v>544.32482300000004</v>
          </cell>
          <cell r="M7">
            <v>644.32482300000004</v>
          </cell>
          <cell r="N7">
            <v>707.45871649448929</v>
          </cell>
          <cell r="O7">
            <v>728.68247798932396</v>
          </cell>
          <cell r="P7">
            <v>750.5429523290037</v>
          </cell>
          <cell r="Q7">
            <v>773.05924089887378</v>
          </cell>
          <cell r="R7">
            <v>796.25101812584001</v>
          </cell>
          <cell r="S7">
            <v>820.13854866961526</v>
          </cell>
          <cell r="T7">
            <v>844.74270512970372</v>
          </cell>
          <cell r="U7">
            <v>870.08498628359484</v>
          </cell>
          <cell r="V7">
            <v>896.18753587210267</v>
          </cell>
          <cell r="W7">
            <v>923.07316194826581</v>
          </cell>
        </row>
        <row r="9">
          <cell r="B9" t="str">
            <v>Macau Visitors from China</v>
          </cell>
          <cell r="C9">
            <v>2.2747129999999998</v>
          </cell>
          <cell r="D9">
            <v>3.005722</v>
          </cell>
          <cell r="E9">
            <v>4.2404460000000004</v>
          </cell>
          <cell r="F9">
            <v>5.7420359999999997</v>
          </cell>
          <cell r="G9">
            <v>9.5297389999999993</v>
          </cell>
          <cell r="H9">
            <v>10.462966</v>
          </cell>
          <cell r="I9">
            <v>11.985617</v>
          </cell>
          <cell r="J9">
            <v>14.484650159144822</v>
          </cell>
          <cell r="K9">
            <v>17.638701722452655</v>
          </cell>
          <cell r="L9">
            <v>21.558132326615485</v>
          </cell>
          <cell r="M9">
            <v>26.21178215894642</v>
          </cell>
          <cell r="N9">
            <v>30.904491640661544</v>
          </cell>
          <cell r="O9">
            <v>35.722262498083758</v>
          </cell>
          <cell r="P9">
            <v>40.647239202574539</v>
          </cell>
          <cell r="Q9">
            <v>45.727146924343032</v>
          </cell>
          <cell r="R9">
            <v>51.078950400418123</v>
          </cell>
          <cell r="S9">
            <v>56.714428297171473</v>
          </cell>
          <cell r="T9">
            <v>62.645821663158742</v>
          </cell>
          <cell r="U9">
            <v>68.885851074934806</v>
          </cell>
          <cell r="V9">
            <v>75.447734395510523</v>
          </cell>
          <cell r="W9">
            <v>82.345205166779223</v>
          </cell>
        </row>
        <row r="10">
          <cell r="B10" t="str">
            <v xml:space="preserve">  Package Tour Visitors</v>
          </cell>
          <cell r="C10">
            <v>0.94642400000000004</v>
          </cell>
          <cell r="D10">
            <v>0.98857499999999998</v>
          </cell>
          <cell r="E10">
            <v>1.4252050000000001</v>
          </cell>
          <cell r="F10">
            <v>1.2582150000000001</v>
          </cell>
          <cell r="G10">
            <v>2.0682459999999998</v>
          </cell>
          <cell r="H10">
            <v>2.2787450000000002</v>
          </cell>
          <cell r="I10">
            <v>2.2941310000000001</v>
          </cell>
          <cell r="J10">
            <v>2.8676637500000002</v>
          </cell>
          <cell r="K10">
            <v>3.5845796875000002</v>
          </cell>
          <cell r="L10">
            <v>4.1222666406249999</v>
          </cell>
          <cell r="M10">
            <v>4.6169386375000006</v>
          </cell>
          <cell r="N10">
            <v>5.032463114875001</v>
          </cell>
          <cell r="O10">
            <v>5.3344109017675017</v>
          </cell>
          <cell r="P10">
            <v>5.4944432288205265</v>
          </cell>
          <cell r="Q10">
            <v>5.5493876611087316</v>
          </cell>
          <cell r="R10">
            <v>5.6048815377198187</v>
          </cell>
          <cell r="S10">
            <v>5.660930353097017</v>
          </cell>
          <cell r="T10">
            <v>5.717539656627987</v>
          </cell>
          <cell r="U10">
            <v>5.7747150531942673</v>
          </cell>
          <cell r="V10">
            <v>5.8324622037262097</v>
          </cell>
          <cell r="W10">
            <v>5.8907868257634721</v>
          </cell>
        </row>
        <row r="11">
          <cell r="B11" t="str">
            <v xml:space="preserve">  Total Individuals</v>
          </cell>
          <cell r="C11">
            <v>1.3282889999999998</v>
          </cell>
          <cell r="D11">
            <v>2.017147</v>
          </cell>
          <cell r="E11">
            <v>2.8152410000000003</v>
          </cell>
          <cell r="F11">
            <v>4.4838209999999998</v>
          </cell>
          <cell r="G11">
            <v>7.461492999999999</v>
          </cell>
          <cell r="H11">
            <v>8.1842209999999991</v>
          </cell>
          <cell r="I11">
            <v>9.6914859999999994</v>
          </cell>
          <cell r="J11">
            <v>11.616986409144822</v>
          </cell>
          <cell r="K11">
            <v>14.054122034952655</v>
          </cell>
          <cell r="L11">
            <v>17.435865685990485</v>
          </cell>
          <cell r="M11">
            <v>21.594843521446421</v>
          </cell>
          <cell r="N11">
            <v>25.872028525786543</v>
          </cell>
          <cell r="O11">
            <v>30.387851596316256</v>
          </cell>
          <cell r="P11">
            <v>35.15279597375401</v>
          </cell>
          <cell r="Q11">
            <v>40.1777592632343</v>
          </cell>
          <cell r="R11">
            <v>45.474068862698303</v>
          </cell>
          <cell r="S11">
            <v>51.053497944074458</v>
          </cell>
          <cell r="T11">
            <v>56.928282006530758</v>
          </cell>
          <cell r="U11">
            <v>63.111136021740535</v>
          </cell>
          <cell r="V11">
            <v>69.615272191784314</v>
          </cell>
          <cell r="W11">
            <v>76.454418341015753</v>
          </cell>
        </row>
        <row r="13">
          <cell r="B13" t="str">
            <v xml:space="preserve">  Non-IVS Individual Visitors</v>
          </cell>
          <cell r="C13">
            <v>1.3282889999999998</v>
          </cell>
          <cell r="D13">
            <v>2.017147</v>
          </cell>
          <cell r="E13">
            <v>2.8152410000000003</v>
          </cell>
          <cell r="F13">
            <v>3.875521</v>
          </cell>
          <cell r="G13">
            <v>3.9427409999999989</v>
          </cell>
          <cell r="H13">
            <v>2.8527119999999995</v>
          </cell>
          <cell r="I13">
            <v>3.9166359999999996</v>
          </cell>
          <cell r="J13">
            <v>3.7208041999999995</v>
          </cell>
          <cell r="K13">
            <v>3.5347639899999992</v>
          </cell>
          <cell r="L13">
            <v>3.5701116298999991</v>
          </cell>
          <cell r="M13">
            <v>3.6058127461989993</v>
          </cell>
          <cell r="N13">
            <v>3.6418708736609893</v>
          </cell>
          <cell r="O13">
            <v>3.6782895823975994</v>
          </cell>
          <cell r="P13">
            <v>3.7150724782215754</v>
          </cell>
          <cell r="Q13">
            <v>3.752223203003791</v>
          </cell>
          <cell r="R13">
            <v>3.7897454350338289</v>
          </cell>
          <cell r="S13">
            <v>3.8276428893841672</v>
          </cell>
          <cell r="T13">
            <v>3.8659193182780087</v>
          </cell>
          <cell r="U13">
            <v>3.9045785114607887</v>
          </cell>
          <cell r="V13">
            <v>3.9436242965753965</v>
          </cell>
          <cell r="W13">
            <v>3.9830605395411505</v>
          </cell>
        </row>
        <row r="14">
          <cell r="B14" t="str">
            <v xml:space="preserve">  IVS Individual Visitors</v>
          </cell>
          <cell r="C14">
            <v>0</v>
          </cell>
          <cell r="D14">
            <v>0</v>
          </cell>
          <cell r="E14">
            <v>0</v>
          </cell>
          <cell r="F14">
            <v>0.60830000000000006</v>
          </cell>
          <cell r="G14">
            <v>3.5187520000000001</v>
          </cell>
          <cell r="H14">
            <v>5.3315089999999996</v>
          </cell>
          <cell r="I14">
            <v>5.7748499999999998</v>
          </cell>
          <cell r="J14">
            <v>7.8961822091448219</v>
          </cell>
          <cell r="K14">
            <v>10.519358044952657</v>
          </cell>
          <cell r="L14">
            <v>13.865754056090488</v>
          </cell>
          <cell r="M14">
            <v>17.989030775247421</v>
          </cell>
          <cell r="N14">
            <v>22.230157652125556</v>
          </cell>
          <cell r="O14">
            <v>26.709562013918656</v>
          </cell>
          <cell r="P14">
            <v>31.437723495532431</v>
          </cell>
          <cell r="Q14">
            <v>36.425536060230506</v>
          </cell>
          <cell r="R14">
            <v>41.684323427664474</v>
          </cell>
          <cell r="S14">
            <v>47.225855054690292</v>
          </cell>
          <cell r="T14">
            <v>53.062362688252747</v>
          </cell>
          <cell r="U14">
            <v>59.206557510279744</v>
          </cell>
          <cell r="V14">
            <v>65.67164789520892</v>
          </cell>
          <cell r="W14">
            <v>72.471357801474596</v>
          </cell>
        </row>
        <row r="16">
          <cell r="B16" t="str">
            <v>Total Visitor Growth</v>
          </cell>
          <cell r="D16">
            <v>0.32136317856362551</v>
          </cell>
          <cell r="E16">
            <v>0.41079115101130448</v>
          </cell>
          <cell r="F16">
            <v>0.3541113364018782</v>
          </cell>
          <cell r="G16">
            <v>0.65964459296319289</v>
          </cell>
          <cell r="H16">
            <v>9.7927865600516473E-2</v>
          </cell>
          <cell r="I16">
            <v>0.14552766395303207</v>
          </cell>
          <cell r="J16">
            <v>0.20850267108859089</v>
          </cell>
          <cell r="K16">
            <v>0.21775131112272916</v>
          </cell>
          <cell r="L16">
            <v>0.22220629759693189</v>
          </cell>
          <cell r="M16">
            <v>0.21586516688115776</v>
          </cell>
          <cell r="N16">
            <v>0.17903053875768005</v>
          </cell>
          <cell r="O16">
            <v>0.15589225389759842</v>
          </cell>
          <cell r="P16">
            <v>0.13786855479142646</v>
          </cell>
          <cell r="Q16">
            <v>0.12497546749612298</v>
          </cell>
          <cell r="R16">
            <v>0.11703777375242352</v>
          </cell>
          <cell r="S16">
            <v>0.11032877247037587</v>
          </cell>
          <cell r="T16">
            <v>0.10458349919191701</v>
          </cell>
          <cell r="U16">
            <v>9.9608070356681955E-2</v>
          </cell>
          <cell r="V16">
            <v>9.5257345567780316E-2</v>
          </cell>
          <cell r="W16">
            <v>9.1420515493691568E-2</v>
          </cell>
        </row>
        <row r="17">
          <cell r="B17" t="str">
            <v xml:space="preserve">  Package Tour Growth</v>
          </cell>
          <cell r="D17">
            <v>4.4537120783073814E-2</v>
          </cell>
          <cell r="E17">
            <v>0.44167615001390903</v>
          </cell>
          <cell r="F17">
            <v>-0.11716910900537114</v>
          </cell>
          <cell r="G17">
            <v>0.6437937872303221</v>
          </cell>
          <cell r="H17">
            <v>0.10177657783455185</v>
          </cell>
          <cell r="I17">
            <v>6.7519621546070496E-3</v>
          </cell>
          <cell r="J17">
            <v>0.25</v>
          </cell>
          <cell r="K17">
            <v>0.25</v>
          </cell>
          <cell r="L17">
            <v>0.15</v>
          </cell>
          <cell r="M17">
            <v>0.12</v>
          </cell>
          <cell r="N17">
            <v>0.09</v>
          </cell>
          <cell r="O17">
            <v>0.06</v>
          </cell>
          <cell r="P17">
            <v>0.03</v>
          </cell>
          <cell r="Q17">
            <v>0.01</v>
          </cell>
          <cell r="R17">
            <v>0.01</v>
          </cell>
          <cell r="S17">
            <v>0.01</v>
          </cell>
          <cell r="T17">
            <v>0.01</v>
          </cell>
          <cell r="U17">
            <v>0.01</v>
          </cell>
          <cell r="V17">
            <v>0.01</v>
          </cell>
          <cell r="W17">
            <v>0.01</v>
          </cell>
        </row>
        <row r="18">
          <cell r="B18" t="str">
            <v xml:space="preserve">  Total Individual Growth</v>
          </cell>
          <cell r="D18">
            <v>0.51860551431202118</v>
          </cell>
          <cell r="E18">
            <v>0.39565485311680315</v>
          </cell>
          <cell r="F18">
            <v>0.5926952612582721</v>
          </cell>
          <cell r="G18">
            <v>0.66409252287279075</v>
          </cell>
          <cell r="H18">
            <v>9.6861043761617083E-2</v>
          </cell>
          <cell r="I18">
            <v>0.18416719196610165</v>
          </cell>
          <cell r="J18">
            <v>0.19867958423969467</v>
          </cell>
          <cell r="K18">
            <v>0.20979069269542538</v>
          </cell>
          <cell r="L18">
            <v>0.24062290356006732</v>
          </cell>
          <cell r="M18">
            <v>0.23853004550256585</v>
          </cell>
          <cell r="N18">
            <v>0.19806510753793316</v>
          </cell>
          <cell r="O18">
            <v>0.17454460774224989</v>
          </cell>
          <cell r="P18">
            <v>0.15680425325018299</v>
          </cell>
          <cell r="Q18">
            <v>0.14294633329400197</v>
          </cell>
          <cell r="R18">
            <v>0.1318219257764961</v>
          </cell>
          <cell r="S18">
            <v>0.12269474056131524</v>
          </cell>
          <cell r="T18">
            <v>0.11507113712152917</v>
          </cell>
          <cell r="U18">
            <v>0.10860777450653591</v>
          </cell>
          <cell r="V18">
            <v>0.10305845497382959</v>
          </cell>
          <cell r="W18">
            <v>9.8242037040236818E-2</v>
          </cell>
        </row>
        <row r="20">
          <cell r="B20" t="str">
            <v xml:space="preserve">  Non-IVS Individual Growth</v>
          </cell>
          <cell r="D20">
            <v>0.51860551431202118</v>
          </cell>
          <cell r="E20">
            <v>0.39565485311680315</v>
          </cell>
          <cell r="F20">
            <v>0.37662139759970792</v>
          </cell>
          <cell r="G20">
            <v>1.7344764742598162E-2</v>
          </cell>
          <cell r="H20">
            <v>-0.27646477412541171</v>
          </cell>
          <cell r="I20">
            <v>0.37295177361051524</v>
          </cell>
          <cell r="J20">
            <v>-0.05</v>
          </cell>
          <cell r="K20">
            <v>-0.05</v>
          </cell>
          <cell r="L20">
            <v>0.01</v>
          </cell>
          <cell r="M20">
            <v>0.01</v>
          </cell>
          <cell r="N20">
            <v>0.01</v>
          </cell>
          <cell r="O20">
            <v>0.01</v>
          </cell>
          <cell r="P20">
            <v>0.01</v>
          </cell>
          <cell r="Q20">
            <v>0.01</v>
          </cell>
          <cell r="R20">
            <v>0.01</v>
          </cell>
          <cell r="S20">
            <v>0.01</v>
          </cell>
          <cell r="T20">
            <v>0.01</v>
          </cell>
          <cell r="U20">
            <v>0.01</v>
          </cell>
          <cell r="V20">
            <v>0.01</v>
          </cell>
          <cell r="W20">
            <v>0.01</v>
          </cell>
        </row>
        <row r="21">
          <cell r="B21" t="str">
            <v xml:space="preserve">  IVS Individual Growth</v>
          </cell>
          <cell r="D21" t="str">
            <v>N.M.</v>
          </cell>
          <cell r="E21" t="str">
            <v>N.M.</v>
          </cell>
          <cell r="F21" t="str">
            <v>N.M.</v>
          </cell>
          <cell r="G21">
            <v>4.7845668255794838</v>
          </cell>
          <cell r="H21">
            <v>0.51517043542710583</v>
          </cell>
          <cell r="I21">
            <v>8.3154881666710256E-2</v>
          </cell>
          <cell r="J21">
            <v>0.36733979395911964</v>
          </cell>
          <cell r="K21">
            <v>0.33220811859810562</v>
          </cell>
          <cell r="L21">
            <v>0.31811789244529809</v>
          </cell>
          <cell r="M21">
            <v>0.29737125745035109</v>
          </cell>
          <cell r="N21">
            <v>0.23576183341205059</v>
          </cell>
          <cell r="O21">
            <v>0.20150124132677028</v>
          </cell>
          <cell r="P21">
            <v>0.17702130342496347</v>
          </cell>
          <cell r="Q21">
            <v>0.15865692582374447</v>
          </cell>
          <cell r="R21">
            <v>0.14437089844713435</v>
          </cell>
          <cell r="S21">
            <v>0.13294042391361183</v>
          </cell>
          <cell r="T21">
            <v>0.12358712461221599</v>
          </cell>
          <cell r="U21">
            <v>0.11579195706238754</v>
          </cell>
          <cell r="V21">
            <v>0.10919551240260295</v>
          </cell>
          <cell r="W21">
            <v>0.10354102758493067</v>
          </cell>
        </row>
        <row r="23">
          <cell r="B23" t="str">
            <v>Overall Penetration Rate</v>
          </cell>
          <cell r="C23">
            <v>1.7947444829300235E-3</v>
          </cell>
          <cell r="D23">
            <v>2.3550831720560695E-3</v>
          </cell>
          <cell r="E23">
            <v>3.3011654068024884E-3</v>
          </cell>
          <cell r="F23">
            <v>4.4433717411995945E-3</v>
          </cell>
          <cell r="G23">
            <v>7.3312451918638635E-3</v>
          </cell>
          <cell r="H23">
            <v>8.0091327220867068E-3</v>
          </cell>
          <cell r="I23">
            <v>9.1290379078823643E-3</v>
          </cell>
          <cell r="J23">
            <v>1.0977578802134168E-2</v>
          </cell>
          <cell r="K23">
            <v>1.330145371069847E-2</v>
          </cell>
          <cell r="L23">
            <v>1.6176239295930102E-2</v>
          </cell>
          <cell r="M23">
            <v>1.9570274518463278E-2</v>
          </cell>
          <cell r="N23">
            <v>2.2959155531482051E-2</v>
          </cell>
          <cell r="O23">
            <v>2.6406278641661993E-2</v>
          </cell>
          <cell r="P23">
            <v>2.9897387179510099E-2</v>
          </cell>
          <cell r="Q23">
            <v>3.3466494645952215E-2</v>
          </cell>
          <cell r="R23">
            <v>3.7197351915036682E-2</v>
          </cell>
          <cell r="S23">
            <v>4.109581103579231E-2</v>
          </cell>
          <cell r="T23">
            <v>4.5167915180144555E-2</v>
          </cell>
          <cell r="U23">
            <v>4.9419904530619937E-2</v>
          </cell>
          <cell r="V23">
            <v>5.3858222342706381E-2</v>
          </cell>
          <cell r="W23">
            <v>5.8489521186915881E-2</v>
          </cell>
        </row>
        <row r="24">
          <cell r="B24" t="str">
            <v xml:space="preserve">  IVS Penetration Rate</v>
          </cell>
          <cell r="C24" t="str">
            <v>N.M.</v>
          </cell>
          <cell r="D24" t="str">
            <v>N.M.</v>
          </cell>
          <cell r="E24" t="str">
            <v>N.M.</v>
          </cell>
          <cell r="F24">
            <v>1.1266901278014448E-2</v>
          </cell>
          <cell r="G24">
            <v>2.234102395119579E-2</v>
          </cell>
          <cell r="H24">
            <v>2.3270030852608779E-2</v>
          </cell>
          <cell r="I24">
            <v>2.3635952864273637E-2</v>
          </cell>
          <cell r="J24">
            <v>2.2932364098375856E-2</v>
          </cell>
          <cell r="K24">
            <v>2.3674927666493789E-2</v>
          </cell>
          <cell r="L24">
            <v>2.5473308344952122E-2</v>
          </cell>
          <cell r="M24">
            <v>2.7919195618585409E-2</v>
          </cell>
          <cell r="N24">
            <v>3.1422551074467842E-2</v>
          </cell>
          <cell r="O24">
            <v>3.6654596234589276E-2</v>
          </cell>
          <cell r="P24">
            <v>4.1886641394710704E-2</v>
          </cell>
          <cell r="Q24">
            <v>4.7118686554832145E-2</v>
          </cell>
          <cell r="R24">
            <v>5.2350731714953559E-2</v>
          </cell>
          <cell r="S24">
            <v>5.7582776875075001E-2</v>
          </cell>
          <cell r="T24">
            <v>6.2814822035196421E-2</v>
          </cell>
          <cell r="U24">
            <v>6.804686719531787E-2</v>
          </cell>
          <cell r="V24">
            <v>7.3278912355439291E-2</v>
          </cell>
          <cell r="W24">
            <v>7.8510957515560725E-2</v>
          </cell>
        </row>
        <row r="28">
          <cell r="B28" t="str">
            <v>China Total Population Growth</v>
          </cell>
          <cell r="D28">
            <v>6.974744167330682E-3</v>
          </cell>
          <cell r="E28">
            <v>6.4719847681133924E-3</v>
          </cell>
          <cell r="F28">
            <v>6.025550201240959E-3</v>
          </cell>
          <cell r="G28">
            <v>5.8888622346724429E-3</v>
          </cell>
          <cell r="H28">
            <v>4.9999999999998934E-3</v>
          </cell>
          <cell r="I28">
            <v>4.9999999999998934E-3</v>
          </cell>
          <cell r="J28">
            <v>4.9999999999998934E-3</v>
          </cell>
          <cell r="K28">
            <v>4.9999999999998934E-3</v>
          </cell>
          <cell r="L28">
            <v>4.9999999999998934E-3</v>
          </cell>
          <cell r="M28">
            <v>4.9999999999998934E-3</v>
          </cell>
          <cell r="N28">
            <v>4.9999999999998934E-3</v>
          </cell>
          <cell r="O28">
            <v>4.9999999999998934E-3</v>
          </cell>
          <cell r="P28">
            <v>4.9999999999998934E-3</v>
          </cell>
          <cell r="Q28">
            <v>4.9999999999998934E-3</v>
          </cell>
          <cell r="R28">
            <v>4.9999999999998934E-3</v>
          </cell>
          <cell r="S28">
            <v>4.9999999999998934E-3</v>
          </cell>
          <cell r="T28">
            <v>4.9999999999998934E-3</v>
          </cell>
          <cell r="U28">
            <v>4.9999999999998934E-3</v>
          </cell>
          <cell r="V28">
            <v>4.9999999999998934E-3</v>
          </cell>
          <cell r="W28">
            <v>4.9999999999998934E-3</v>
          </cell>
        </row>
        <row r="29">
          <cell r="B29" t="str">
            <v>Urban Population Growth</v>
          </cell>
          <cell r="D29">
            <v>4.7009105563542875E-2</v>
          </cell>
          <cell r="E29">
            <v>4.4690412782956157E-2</v>
          </cell>
          <cell r="F29">
            <v>4.3097267585437748E-2</v>
          </cell>
          <cell r="G29">
            <v>3.6409806018023572E-2</v>
          </cell>
          <cell r="H29">
            <v>4.0000000000000036E-2</v>
          </cell>
          <cell r="I29">
            <v>4.0000000000000036E-2</v>
          </cell>
          <cell r="J29">
            <v>4.0000000000000036E-2</v>
          </cell>
          <cell r="K29">
            <v>4.0000000000000036E-2</v>
          </cell>
          <cell r="L29">
            <v>4.0000000000000036E-2</v>
          </cell>
          <cell r="M29">
            <v>4.0000000000000036E-2</v>
          </cell>
          <cell r="N29">
            <v>3.0000000000000027E-2</v>
          </cell>
          <cell r="O29">
            <v>3.0000000000000027E-2</v>
          </cell>
          <cell r="P29">
            <v>3.0000000000000027E-2</v>
          </cell>
          <cell r="Q29">
            <v>3.0000000000000027E-2</v>
          </cell>
          <cell r="R29">
            <v>3.0000000000000027E-2</v>
          </cell>
          <cell r="S29">
            <v>3.0000000000000027E-2</v>
          </cell>
          <cell r="T29">
            <v>3.0000000000000027E-2</v>
          </cell>
          <cell r="U29">
            <v>3.0000000000000027E-2</v>
          </cell>
          <cell r="V29">
            <v>3.0000000000000027E-2</v>
          </cell>
          <cell r="W29">
            <v>3.0000000000000027E-2</v>
          </cell>
        </row>
        <row r="30">
          <cell r="B30" t="str">
            <v>IVS Population Growth</v>
          </cell>
          <cell r="D30" t="str">
            <v>N.M.</v>
          </cell>
          <cell r="E30" t="str">
            <v>N.M.</v>
          </cell>
          <cell r="F30" t="str">
            <v>N.M.</v>
          </cell>
          <cell r="G30">
            <v>1.9172406556769772</v>
          </cell>
          <cell r="H30">
            <v>0.45468045153991654</v>
          </cell>
          <cell r="I30">
            <v>6.6385927374066123E-2</v>
          </cell>
          <cell r="J30">
            <v>0.40929120001859176</v>
          </cell>
          <cell r="K30">
            <v>0.29042344123995956</v>
          </cell>
          <cell r="L30">
            <v>0.22506057465981377</v>
          </cell>
          <cell r="M30">
            <v>0.18371383367904937</v>
          </cell>
          <cell r="N30">
            <v>9.7984574302966587E-2</v>
          </cell>
          <cell r="O30">
            <v>3.0000000000000027E-2</v>
          </cell>
          <cell r="P30">
            <v>3.0000000000000027E-2</v>
          </cell>
          <cell r="Q30">
            <v>3.0000000000000027E-2</v>
          </cell>
          <cell r="R30">
            <v>3.0000000000000027E-2</v>
          </cell>
          <cell r="S30">
            <v>3.0000000000000027E-2</v>
          </cell>
          <cell r="T30">
            <v>3.0000000000000027E-2</v>
          </cell>
          <cell r="U30">
            <v>3.0000000000000027E-2</v>
          </cell>
          <cell r="V30">
            <v>3.0000000000000027E-2</v>
          </cell>
          <cell r="W30">
            <v>3.0000000000000027E-2</v>
          </cell>
        </row>
        <row r="32">
          <cell r="B32" t="str">
            <v>Urban Share</v>
          </cell>
          <cell r="C32">
            <v>0.36219751781163456</v>
          </cell>
          <cell r="D32">
            <v>0.3765974284438246</v>
          </cell>
          <cell r="E32">
            <v>0.39089783811977924</v>
          </cell>
          <cell r="F32">
            <v>0.40530229750748681</v>
          </cell>
          <cell r="G32">
            <v>0.41760008616179956</v>
          </cell>
          <cell r="H32">
            <v>0.43214337274454884</v>
          </cell>
          <cell r="I32">
            <v>0.4471931419446078</v>
          </cell>
          <cell r="J32">
            <v>0.46276703246009165</v>
          </cell>
          <cell r="K32">
            <v>0.47888329727213469</v>
          </cell>
          <cell r="L32">
            <v>0.49556082503783105</v>
          </cell>
          <cell r="M32">
            <v>0.51281916222820334</v>
          </cell>
          <cell r="N32">
            <v>0.52557585780601945</v>
          </cell>
          <cell r="O32">
            <v>0.53864988411960202</v>
          </cell>
          <cell r="P32">
            <v>0.5520491349683484</v>
          </cell>
          <cell r="Q32">
            <v>0.56578170051482479</v>
          </cell>
          <cell r="R32">
            <v>0.57985587216942247</v>
          </cell>
          <cell r="S32">
            <v>0.59428014759652259</v>
          </cell>
          <cell r="T32">
            <v>0.6090632358451924</v>
          </cell>
          <cell r="U32">
            <v>0.62421406260751067</v>
          </cell>
          <cell r="V32">
            <v>0.63974177560769752</v>
          </cell>
          <cell r="W32">
            <v>0.65565575012530208</v>
          </cell>
        </row>
        <row r="33">
          <cell r="B33" t="str">
            <v>IVS Share of Urban</v>
          </cell>
          <cell r="C33">
            <v>0</v>
          </cell>
          <cell r="D33">
            <v>0</v>
          </cell>
          <cell r="E33">
            <v>0</v>
          </cell>
          <cell r="F33">
            <v>0.10308156407514893</v>
          </cell>
          <cell r="G33">
            <v>0.29014944457749203</v>
          </cell>
          <cell r="H33">
            <v>0.40584108178080963</v>
          </cell>
          <cell r="I33">
            <v>0.41613770996281046</v>
          </cell>
          <cell r="J33">
            <v>0.56390308908315179</v>
          </cell>
          <cell r="K33">
            <v>0.69968631225050404</v>
          </cell>
          <cell r="L33">
            <v>0.82419049593000804</v>
          </cell>
          <cell r="M33">
            <v>0.93808239578764108</v>
          </cell>
          <cell r="N33">
            <v>1</v>
          </cell>
          <cell r="O33">
            <v>1</v>
          </cell>
          <cell r="P33">
            <v>1</v>
          </cell>
          <cell r="Q33">
            <v>1</v>
          </cell>
          <cell r="R33">
            <v>1</v>
          </cell>
          <cell r="S33">
            <v>1</v>
          </cell>
          <cell r="T33">
            <v>1</v>
          </cell>
          <cell r="U33">
            <v>1</v>
          </cell>
          <cell r="V33">
            <v>1</v>
          </cell>
          <cell r="W33">
            <v>1</v>
          </cell>
        </row>
        <row r="35">
          <cell r="B35" t="str">
            <v>Same-Day Visitors</v>
          </cell>
          <cell r="C35">
            <v>0.25054900000000002</v>
          </cell>
          <cell r="D35">
            <v>0.27160299999999998</v>
          </cell>
          <cell r="E35">
            <v>0.68967800000000001</v>
          </cell>
          <cell r="F35">
            <v>2.1733669999999998</v>
          </cell>
          <cell r="G35">
            <v>4.317132</v>
          </cell>
          <cell r="H35">
            <v>4.8472390000000001</v>
          </cell>
          <cell r="I35">
            <v>5.5526463682920317</v>
          </cell>
          <cell r="J35">
            <v>6.7103879676912834</v>
          </cell>
          <cell r="K35">
            <v>8.1715837457982463</v>
          </cell>
          <cell r="L35">
            <v>9.987361115455343</v>
          </cell>
          <cell r="M35">
            <v>12.143284489345497</v>
          </cell>
        </row>
        <row r="36">
          <cell r="B36" t="str">
            <v xml:space="preserve">  Growth</v>
          </cell>
          <cell r="D36">
            <v>8.4031466898690343E-2</v>
          </cell>
          <cell r="E36">
            <v>1.5392871212762747</v>
          </cell>
          <cell r="F36">
            <v>2.1512778427034061</v>
          </cell>
          <cell r="G36">
            <v>0.98637965884270828</v>
          </cell>
          <cell r="H36">
            <v>0.12279147359867615</v>
          </cell>
          <cell r="I36">
            <v>0.14552766395303207</v>
          </cell>
          <cell r="J36">
            <v>0.20850267108859089</v>
          </cell>
          <cell r="K36">
            <v>0.21775131112272916</v>
          </cell>
          <cell r="L36">
            <v>0.22220629759693189</v>
          </cell>
          <cell r="M36">
            <v>0.21586516688115776</v>
          </cell>
        </row>
        <row r="37">
          <cell r="B37" t="str">
            <v xml:space="preserve">  Share</v>
          </cell>
          <cell r="C37">
            <v>0.11014532382766531</v>
          </cell>
          <cell r="D37">
            <v>9.0361982911260588E-2</v>
          </cell>
          <cell r="E37">
            <v>0.16264279747932173</v>
          </cell>
          <cell r="F37">
            <v>0.37850111005921938</v>
          </cell>
          <cell r="G37">
            <v>0.45301681399668975</v>
          </cell>
          <cell r="H37">
            <v>0.46327580535003177</v>
          </cell>
          <cell r="I37">
            <v>0.46327580535003177</v>
          </cell>
          <cell r="J37">
            <v>0.46327580535003177</v>
          </cell>
          <cell r="K37">
            <v>0.46327580535003177</v>
          </cell>
          <cell r="L37">
            <v>0.46327580535003177</v>
          </cell>
          <cell r="M37">
            <v>0.46327580535003177</v>
          </cell>
        </row>
        <row r="38">
          <cell r="B38" t="str">
            <v xml:space="preserve">  Share Total Same-Day</v>
          </cell>
          <cell r="C38">
            <v>6.3182292042302926E-2</v>
          </cell>
          <cell r="D38">
            <v>6.1211303322096344E-2</v>
          </cell>
          <cell r="E38">
            <v>0.13888887770098851</v>
          </cell>
          <cell r="F38">
            <v>0.38953690216496117</v>
          </cell>
          <cell r="G38">
            <v>0.51707598101597463</v>
          </cell>
          <cell r="H38">
            <v>0.49986361934359297</v>
          </cell>
          <cell r="I38">
            <v>0.49071331249505934</v>
          </cell>
          <cell r="J38">
            <v>0.47674934307440547</v>
          </cell>
          <cell r="K38">
            <v>0.505901931804843</v>
          </cell>
          <cell r="L38">
            <v>0.54050102200051975</v>
          </cell>
          <cell r="M38">
            <v>0.56571415455082796</v>
          </cell>
        </row>
        <row r="40">
          <cell r="B40" t="str">
            <v>IVS Individual Visitors from IVS Regions Allowed in:</v>
          </cell>
        </row>
        <row r="41">
          <cell r="B41">
            <v>2003</v>
          </cell>
          <cell r="F41">
            <v>0.60830000000000006</v>
          </cell>
          <cell r="G41">
            <v>0.90668239059874756</v>
          </cell>
          <cell r="H41">
            <v>1.2302333640446006</v>
          </cell>
          <cell r="I41">
            <v>1.2794426986063845</v>
          </cell>
          <cell r="J41">
            <v>1.6413464324828102</v>
          </cell>
          <cell r="K41">
            <v>2.0301553567515795</v>
          </cell>
          <cell r="L41">
            <v>2.4474428406698783</v>
          </cell>
          <cell r="M41">
            <v>2.8948650747308391</v>
          </cell>
          <cell r="N41">
            <v>3.3417212830199543</v>
          </cell>
          <cell r="O41">
            <v>3.8127834852391591</v>
          </cell>
          <cell r="P41">
            <v>4.3091018704367983</v>
          </cell>
          <cell r="Q41">
            <v>4.8317678536095796</v>
          </cell>
          <cell r="R41">
            <v>5.3819156040893343</v>
          </cell>
          <cell r="S41">
            <v>5.9607236285296263</v>
          </cell>
          <cell r="T41">
            <v>6.5694164103926562</v>
          </cell>
          <cell r="U41">
            <v>7.2092661079017901</v>
          </cell>
          <cell r="V41">
            <v>7.8815943124921191</v>
          </cell>
          <cell r="W41">
            <v>8.5877738698607562</v>
          </cell>
        </row>
        <row r="42">
          <cell r="B42">
            <v>2004</v>
          </cell>
          <cell r="G42">
            <v>2.6120696094012525</v>
          </cell>
          <cell r="H42">
            <v>3.161568223406495</v>
          </cell>
          <cell r="I42">
            <v>3.2880309523427544</v>
          </cell>
          <cell r="J42">
            <v>3.9008813117633983</v>
          </cell>
          <cell r="K42">
            <v>4.5574988504139453</v>
          </cell>
          <cell r="L42">
            <v>5.2604043820577155</v>
          </cell>
          <cell r="M42">
            <v>6.0122503580723246</v>
          </cell>
          <cell r="N42">
            <v>6.7502905635687629</v>
          </cell>
          <cell r="O42">
            <v>7.5272021560727218</v>
          </cell>
          <cell r="P42">
            <v>8.3446531826197088</v>
          </cell>
          <cell r="Q42">
            <v>9.2043767888190491</v>
          </cell>
          <cell r="R42">
            <v>10.108173623525991</v>
          </cell>
          <cell r="S42">
            <v>11.057914329205412</v>
          </cell>
          <cell r="T42">
            <v>12.055542120964425</v>
          </cell>
          <cell r="U42">
            <v>13.103075457332695</v>
          </cell>
          <cell r="V42">
            <v>14.202610805974192</v>
          </cell>
          <cell r="W42">
            <v>15.35632550762258</v>
          </cell>
        </row>
        <row r="43">
          <cell r="B43">
            <v>2005</v>
          </cell>
          <cell r="H43">
            <v>0.93970741254890378</v>
          </cell>
          <cell r="I43">
            <v>1.302020866495917</v>
          </cell>
          <cell r="J43">
            <v>1.691815864898613</v>
          </cell>
          <cell r="K43">
            <v>2.1107112297871309</v>
          </cell>
          <cell r="L43">
            <v>2.5604113184828932</v>
          </cell>
          <cell r="M43">
            <v>3.0427102763066567</v>
          </cell>
          <cell r="N43">
            <v>3.5252705648328377</v>
          </cell>
          <cell r="O43">
            <v>4.0340460314219131</v>
          </cell>
          <cell r="P43">
            <v>4.570175282497984</v>
          </cell>
          <cell r="Q43">
            <v>5.1348416472103393</v>
          </cell>
          <cell r="R43">
            <v>5.7292748360511876</v>
          </cell>
          <cell r="S43">
            <v>6.3547526587399989</v>
          </cell>
          <cell r="T43">
            <v>7.0126028034376917</v>
          </cell>
          <cell r="U43">
            <v>7.7042046794243815</v>
          </cell>
          <cell r="V43">
            <v>8.4309913254471773</v>
          </cell>
          <cell r="W43">
            <v>9.1944513860198605</v>
          </cell>
        </row>
        <row r="44">
          <cell r="B44">
            <v>2006</v>
          </cell>
          <cell r="I44">
            <v>7.6050000000000048E-2</v>
          </cell>
          <cell r="J44">
            <v>0.16213860000000008</v>
          </cell>
          <cell r="K44">
            <v>0.25499260800000012</v>
          </cell>
          <cell r="L44">
            <v>0.35501551488000022</v>
          </cell>
          <cell r="M44">
            <v>0.46263226613760022</v>
          </cell>
          <cell r="N44">
            <v>0.57272984870400034</v>
          </cell>
          <cell r="O44">
            <v>0.68901691718486047</v>
          </cell>
          <cell r="P44">
            <v>0.8117657529107386</v>
          </cell>
          <cell r="Q44">
            <v>0.94125940355470306</v>
          </cell>
          <cell r="R44">
            <v>1.0777920840596857</v>
          </cell>
          <cell r="S44">
            <v>1.2216695919317682</v>
          </cell>
          <cell r="T44">
            <v>1.3732097374005221</v>
          </cell>
          <cell r="U44">
            <v>1.5327427889646628</v>
          </cell>
          <cell r="V44">
            <v>1.7006119348589912</v>
          </cell>
          <cell r="W44">
            <v>1.8771737609969112</v>
          </cell>
        </row>
        <row r="45">
          <cell r="B45">
            <v>2007</v>
          </cell>
          <cell r="J45">
            <v>0.50000000000000011</v>
          </cell>
          <cell r="K45">
            <v>1.0660000000000001</v>
          </cell>
          <cell r="L45">
            <v>1.6764800000000004</v>
          </cell>
          <cell r="M45">
            <v>2.3340928000000005</v>
          </cell>
          <cell r="N45">
            <v>3.0123857920000008</v>
          </cell>
          <cell r="O45">
            <v>3.7292756800000006</v>
          </cell>
          <cell r="P45">
            <v>4.4864678140672005</v>
          </cell>
          <cell r="Q45">
            <v>5.2857351280664329</v>
          </cell>
          <cell r="R45">
            <v>6.1289206598729589</v>
          </cell>
          <cell r="S45">
            <v>7.0179401619726169</v>
          </cell>
          <cell r="T45">
            <v>7.9547848056043673</v>
          </cell>
          <cell r="U45">
            <v>8.9415239817082508</v>
          </cell>
          <cell r="V45">
            <v>9.9803082020533207</v>
          </cell>
          <cell r="W45">
            <v>11.073372104035558</v>
          </cell>
        </row>
        <row r="46">
          <cell r="B46">
            <v>2008</v>
          </cell>
          <cell r="K46">
            <v>0.5</v>
          </cell>
          <cell r="L46">
            <v>1.0660000000000001</v>
          </cell>
          <cell r="M46">
            <v>1.6764800000000002</v>
          </cell>
          <cell r="N46">
            <v>2.3116496000000004</v>
          </cell>
          <cell r="O46">
            <v>2.9834205439999999</v>
          </cell>
          <cell r="P46">
            <v>3.6934172599999999</v>
          </cell>
          <cell r="Q46">
            <v>4.4433287004704001</v>
          </cell>
          <cell r="R46">
            <v>5.2349107518350229</v>
          </cell>
          <cell r="S46">
            <v>6.0699887304511027</v>
          </cell>
          <cell r="T46">
            <v>6.9504599681074941</v>
          </cell>
          <cell r="U46">
            <v>7.8782964901658632</v>
          </cell>
          <cell r="V46">
            <v>8.8555477895764376</v>
          </cell>
          <cell r="W46">
            <v>9.884343700110497</v>
          </cell>
        </row>
        <row r="47">
          <cell r="B47">
            <v>2009</v>
          </cell>
          <cell r="L47">
            <v>0.5</v>
          </cell>
          <cell r="M47">
            <v>1.0660000000000001</v>
          </cell>
          <cell r="N47">
            <v>1.6603599999999998</v>
          </cell>
          <cell r="O47">
            <v>2.2894221999999997</v>
          </cell>
          <cell r="P47">
            <v>2.9547338079999999</v>
          </cell>
          <cell r="Q47">
            <v>3.6579036324999996</v>
          </cell>
          <cell r="R47">
            <v>4.400604386042799</v>
          </cell>
          <cell r="S47">
            <v>5.1845750715289167</v>
          </cell>
          <cell r="T47">
            <v>6.0116234541967639</v>
          </cell>
          <cell r="U47">
            <v>6.8836286222603045</v>
          </cell>
          <cell r="V47">
            <v>7.8025436392988814</v>
          </cell>
          <cell r="W47">
            <v>8.77039829159974</v>
          </cell>
        </row>
        <row r="48">
          <cell r="B48">
            <v>2010</v>
          </cell>
          <cell r="M48">
            <v>0.5</v>
          </cell>
          <cell r="N48">
            <v>1.05575</v>
          </cell>
          <cell r="O48">
            <v>1.6443949999999998</v>
          </cell>
          <cell r="P48">
            <v>2.267408525</v>
          </cell>
          <cell r="Q48">
            <v>2.9263229059999998</v>
          </cell>
          <cell r="R48">
            <v>3.6227314821874996</v>
          </cell>
          <cell r="S48">
            <v>4.3582908823308495</v>
          </cell>
          <cell r="T48">
            <v>5.1347233881488314</v>
          </cell>
          <cell r="U48">
            <v>5.9538193825217949</v>
          </cell>
          <cell r="V48">
            <v>6.8174398855078016</v>
          </cell>
          <cell r="W48">
            <v>7.7275191812286996</v>
          </cell>
        </row>
        <row r="50">
          <cell r="B50" t="str">
            <v>IVS Population in IVS Regions Allowed in:</v>
          </cell>
        </row>
        <row r="51">
          <cell r="B51">
            <v>2003</v>
          </cell>
          <cell r="F51">
            <v>53.99</v>
          </cell>
          <cell r="G51">
            <v>55.955765426913096</v>
          </cell>
          <cell r="H51">
            <v>58.193996043989621</v>
          </cell>
          <cell r="I51">
            <v>60.521755885749201</v>
          </cell>
          <cell r="J51">
            <v>62.94262612117916</v>
          </cell>
          <cell r="K51">
            <v>65.460331166026322</v>
          </cell>
          <cell r="L51">
            <v>68.078744412667376</v>
          </cell>
          <cell r="M51">
            <v>70.801894189174078</v>
          </cell>
          <cell r="N51">
            <v>72.925951014849304</v>
          </cell>
          <cell r="O51">
            <v>75.113729545294788</v>
          </cell>
          <cell r="P51">
            <v>77.367141431653636</v>
          </cell>
          <cell r="Q51">
            <v>79.688155674603237</v>
          </cell>
          <cell r="R51">
            <v>82.078800344841326</v>
          </cell>
          <cell r="S51">
            <v>84.541164355186567</v>
          </cell>
          <cell r="T51">
            <v>87.077399285842162</v>
          </cell>
          <cell r="U51">
            <v>89.689721264417429</v>
          </cell>
          <cell r="V51">
            <v>92.380412902349946</v>
          </cell>
          <cell r="W51">
            <v>95.151825289420444</v>
          </cell>
        </row>
        <row r="52">
          <cell r="B52">
            <v>2004</v>
          </cell>
          <cell r="G52">
            <v>101.5460575730869</v>
          </cell>
          <cell r="H52">
            <v>105.60789987601038</v>
          </cell>
          <cell r="I52">
            <v>109.83221587105079</v>
          </cell>
          <cell r="J52">
            <v>114.22550450589281</v>
          </cell>
          <cell r="K52">
            <v>118.79452468612853</v>
          </cell>
          <cell r="L52">
            <v>123.54630567357368</v>
          </cell>
          <cell r="M52">
            <v>128.48815790051663</v>
          </cell>
          <cell r="N52">
            <v>132.34280263753212</v>
          </cell>
          <cell r="O52">
            <v>136.31308671665806</v>
          </cell>
          <cell r="P52">
            <v>140.40247931815782</v>
          </cell>
          <cell r="Q52">
            <v>144.61455369770255</v>
          </cell>
          <cell r="R52">
            <v>148.95299030863362</v>
          </cell>
          <cell r="S52">
            <v>153.42158001789264</v>
          </cell>
          <cell r="T52">
            <v>158.0242274184294</v>
          </cell>
          <cell r="U52">
            <v>162.76495424098229</v>
          </cell>
          <cell r="V52">
            <v>167.64790286821176</v>
          </cell>
          <cell r="W52">
            <v>172.67733995425812</v>
          </cell>
        </row>
        <row r="53">
          <cell r="B53">
            <v>2005</v>
          </cell>
          <cell r="H53">
            <v>65.312927080000009</v>
          </cell>
          <cell r="I53">
            <v>67.925444163200012</v>
          </cell>
          <cell r="J53">
            <v>70.642461929728015</v>
          </cell>
          <cell r="K53">
            <v>73.468160406917121</v>
          </cell>
          <cell r="L53">
            <v>76.406886823193815</v>
          </cell>
          <cell r="M53">
            <v>79.463162296121567</v>
          </cell>
          <cell r="N53">
            <v>81.847057165005225</v>
          </cell>
          <cell r="O53">
            <v>84.30246887995537</v>
          </cell>
          <cell r="P53">
            <v>86.831542946354034</v>
          </cell>
          <cell r="Q53">
            <v>89.436489234744656</v>
          </cell>
          <cell r="R53">
            <v>92.119583911787004</v>
          </cell>
          <cell r="S53">
            <v>94.883171429140617</v>
          </cell>
          <cell r="T53">
            <v>97.729666572014835</v>
          </cell>
          <cell r="U53">
            <v>100.66155656917529</v>
          </cell>
          <cell r="V53">
            <v>103.68140326625054</v>
          </cell>
          <cell r="W53">
            <v>106.79184536423807</v>
          </cell>
        </row>
        <row r="54">
          <cell r="B54">
            <v>2006</v>
          </cell>
          <cell r="I54">
            <v>15.210000000000008</v>
          </cell>
          <cell r="J54">
            <v>15.818400000000009</v>
          </cell>
          <cell r="K54">
            <v>16.451136000000009</v>
          </cell>
          <cell r="L54">
            <v>17.109181440000011</v>
          </cell>
          <cell r="M54">
            <v>17.793548697600013</v>
          </cell>
          <cell r="N54">
            <v>18.327355158528015</v>
          </cell>
          <cell r="O54">
            <v>18.877175813283852</v>
          </cell>
          <cell r="P54">
            <v>19.443491087682368</v>
          </cell>
          <cell r="Q54">
            <v>20.026795820312838</v>
          </cell>
          <cell r="R54">
            <v>20.627599694922221</v>
          </cell>
          <cell r="S54">
            <v>21.246427685769888</v>
          </cell>
          <cell r="T54">
            <v>21.883820516342986</v>
          </cell>
          <cell r="U54">
            <v>22.540335131833277</v>
          </cell>
          <cell r="V54">
            <v>23.216545185788277</v>
          </cell>
          <cell r="W54">
            <v>23.913041541361928</v>
          </cell>
        </row>
        <row r="55">
          <cell r="B55">
            <v>2007</v>
          </cell>
          <cell r="J55">
            <v>100.00000000000003</v>
          </cell>
          <cell r="K55">
            <v>104.00000000000003</v>
          </cell>
          <cell r="L55">
            <v>108.16000000000004</v>
          </cell>
          <cell r="M55">
            <v>112.48640000000005</v>
          </cell>
          <cell r="N55">
            <v>115.86099200000005</v>
          </cell>
          <cell r="O55">
            <v>119.33682176000005</v>
          </cell>
          <cell r="P55">
            <v>122.91692641280005</v>
          </cell>
          <cell r="Q55">
            <v>126.60443420518406</v>
          </cell>
          <cell r="R55">
            <v>130.40256723133959</v>
          </cell>
          <cell r="S55">
            <v>134.31464424827979</v>
          </cell>
          <cell r="T55">
            <v>138.34408357572818</v>
          </cell>
          <cell r="U55">
            <v>142.49440608300003</v>
          </cell>
          <cell r="V55">
            <v>146.76923826549003</v>
          </cell>
          <cell r="W55">
            <v>151.17231541345473</v>
          </cell>
        </row>
        <row r="56">
          <cell r="B56">
            <v>2008</v>
          </cell>
          <cell r="K56">
            <v>100</v>
          </cell>
          <cell r="L56">
            <v>104.00000000000001</v>
          </cell>
          <cell r="M56">
            <v>108.16000000000003</v>
          </cell>
          <cell r="N56">
            <v>111.40480000000002</v>
          </cell>
          <cell r="O56">
            <v>114.74694400000001</v>
          </cell>
          <cell r="P56">
            <v>118.18935232000003</v>
          </cell>
          <cell r="Q56">
            <v>121.73503288960002</v>
          </cell>
          <cell r="R56">
            <v>125.38708387628802</v>
          </cell>
          <cell r="S56">
            <v>129.14869639257668</v>
          </cell>
          <cell r="T56">
            <v>133.023157284354</v>
          </cell>
          <cell r="U56">
            <v>137.01385200288462</v>
          </cell>
          <cell r="V56">
            <v>141.12426756297114</v>
          </cell>
          <cell r="W56">
            <v>145.35799558986028</v>
          </cell>
        </row>
        <row r="57">
          <cell r="B57">
            <v>2009</v>
          </cell>
          <cell r="L57">
            <v>100</v>
          </cell>
          <cell r="M57">
            <v>104.00000000000001</v>
          </cell>
          <cell r="N57">
            <v>107.12</v>
          </cell>
          <cell r="O57">
            <v>110.3336</v>
          </cell>
          <cell r="P57">
            <v>113.64360800000001</v>
          </cell>
          <cell r="Q57">
            <v>117.05291624000002</v>
          </cell>
          <cell r="R57">
            <v>120.56450372720001</v>
          </cell>
          <cell r="S57">
            <v>124.18143883901601</v>
          </cell>
          <cell r="T57">
            <v>127.9068820041865</v>
          </cell>
          <cell r="U57">
            <v>131.74408846431209</v>
          </cell>
          <cell r="V57">
            <v>135.69641111824146</v>
          </cell>
          <cell r="W57">
            <v>139.76730345178871</v>
          </cell>
        </row>
        <row r="58">
          <cell r="B58">
            <v>2010</v>
          </cell>
          <cell r="M58">
            <v>100</v>
          </cell>
          <cell r="N58">
            <v>103.00000000000001</v>
          </cell>
          <cell r="O58">
            <v>106.09</v>
          </cell>
          <cell r="P58">
            <v>109.27270000000001</v>
          </cell>
          <cell r="Q58">
            <v>112.55088100000002</v>
          </cell>
          <cell r="R58">
            <v>115.92740743000002</v>
          </cell>
          <cell r="S58">
            <v>119.40522965290002</v>
          </cell>
          <cell r="T58">
            <v>122.98738654248702</v>
          </cell>
          <cell r="U58">
            <v>126.67700813876162</v>
          </cell>
          <cell r="V58">
            <v>130.47731838292447</v>
          </cell>
          <cell r="W58">
            <v>134.39163793441222</v>
          </cell>
        </row>
        <row r="60">
          <cell r="B60" t="str">
            <v>IVS Penetration in IVS Regions Allowed in:</v>
          </cell>
        </row>
        <row r="61">
          <cell r="B61">
            <v>2003</v>
          </cell>
          <cell r="F61">
            <v>1.1266901278014448E-2</v>
          </cell>
          <cell r="G61">
            <v>1.6203556214113724E-2</v>
          </cell>
          <cell r="H61">
            <v>2.1140211150213001E-2</v>
          </cell>
          <cell r="I61">
            <v>2.1140211150213001E-2</v>
          </cell>
          <cell r="J61">
            <v>2.6076866086312277E-2</v>
          </cell>
          <cell r="K61">
            <v>3.1013521022411554E-2</v>
          </cell>
          <cell r="L61">
            <v>3.5950175958510834E-2</v>
          </cell>
          <cell r="M61">
            <v>4.0886830894610114E-2</v>
          </cell>
          <cell r="N61">
            <v>4.5823485830709394E-2</v>
          </cell>
          <cell r="O61">
            <v>5.0760140766808674E-2</v>
          </cell>
          <cell r="P61">
            <v>5.5696795702907954E-2</v>
          </cell>
          <cell r="Q61">
            <v>6.0633450639007234E-2</v>
          </cell>
          <cell r="R61">
            <v>6.5570105575106508E-2</v>
          </cell>
          <cell r="S61">
            <v>7.0506760511205788E-2</v>
          </cell>
          <cell r="T61">
            <v>7.5443415447305068E-2</v>
          </cell>
          <cell r="U61">
            <v>8.0380070383404348E-2</v>
          </cell>
          <cell r="V61">
            <v>8.5316725319503628E-2</v>
          </cell>
          <cell r="W61">
            <v>9.0253380255602908E-2</v>
          </cell>
        </row>
        <row r="62">
          <cell r="B62">
            <v>2004</v>
          </cell>
          <cell r="G62">
            <v>2.5723003648085874E-2</v>
          </cell>
          <cell r="H62">
            <v>2.9936853465681583E-2</v>
          </cell>
          <cell r="I62">
            <v>2.9936853465681583E-2</v>
          </cell>
          <cell r="J62">
            <v>3.4150703283277288E-2</v>
          </cell>
          <cell r="K62">
            <v>3.8364553100872993E-2</v>
          </cell>
          <cell r="L62">
            <v>4.2578402918468698E-2</v>
          </cell>
          <cell r="M62">
            <v>4.6792252736064403E-2</v>
          </cell>
          <cell r="N62">
            <v>5.1006102553660108E-2</v>
          </cell>
          <cell r="O62">
            <v>5.5219952371255814E-2</v>
          </cell>
          <cell r="P62">
            <v>5.9433802188851519E-2</v>
          </cell>
          <cell r="Q62">
            <v>6.3647652006447231E-2</v>
          </cell>
          <cell r="R62">
            <v>6.7861501824042936E-2</v>
          </cell>
          <cell r="S62">
            <v>7.2075351641638641E-2</v>
          </cell>
          <cell r="T62">
            <v>7.6289201459234346E-2</v>
          </cell>
          <cell r="U62">
            <v>8.0503051276830051E-2</v>
          </cell>
          <cell r="V62">
            <v>8.4716901094425756E-2</v>
          </cell>
          <cell r="W62">
            <v>8.8930750912021461E-2</v>
          </cell>
        </row>
        <row r="63">
          <cell r="B63">
            <v>2005</v>
          </cell>
          <cell r="H63">
            <v>1.438777060776777E-2</v>
          </cell>
          <cell r="I63">
            <v>1.9168382077379382E-2</v>
          </cell>
          <cell r="J63">
            <v>2.3948993546990992E-2</v>
          </cell>
          <cell r="K63">
            <v>2.8729605016602603E-2</v>
          </cell>
          <cell r="L63">
            <v>3.3510216486214217E-2</v>
          </cell>
          <cell r="M63">
            <v>3.8290827955825828E-2</v>
          </cell>
          <cell r="N63">
            <v>4.3071439425437438E-2</v>
          </cell>
          <cell r="O63">
            <v>4.7852050895049049E-2</v>
          </cell>
          <cell r="P63">
            <v>5.263266236466066E-2</v>
          </cell>
          <cell r="Q63">
            <v>5.741327383427227E-2</v>
          </cell>
          <cell r="R63">
            <v>6.2193885303883881E-2</v>
          </cell>
          <cell r="S63">
            <v>6.6974496773495498E-2</v>
          </cell>
          <cell r="T63">
            <v>7.1755108243107116E-2</v>
          </cell>
          <cell r="U63">
            <v>7.6535719712718733E-2</v>
          </cell>
          <cell r="V63">
            <v>8.1316331182330351E-2</v>
          </cell>
          <cell r="W63">
            <v>8.6096942651941968E-2</v>
          </cell>
        </row>
        <row r="64">
          <cell r="B64">
            <v>2006</v>
          </cell>
          <cell r="I64">
            <v>5.0000000000000001E-3</v>
          </cell>
          <cell r="J64">
            <v>1.0249999999999999E-2</v>
          </cell>
          <cell r="K64">
            <v>1.5499999999999998E-2</v>
          </cell>
          <cell r="L64">
            <v>2.0749999999999998E-2</v>
          </cell>
          <cell r="M64">
            <v>2.5999999999999995E-2</v>
          </cell>
          <cell r="N64">
            <v>3.1249999999999993E-2</v>
          </cell>
          <cell r="O64">
            <v>3.6499999999999991E-2</v>
          </cell>
          <cell r="P64">
            <v>4.1749999999999989E-2</v>
          </cell>
          <cell r="Q64">
            <v>4.6999999999999986E-2</v>
          </cell>
          <cell r="R64">
            <v>5.2249999999999984E-2</v>
          </cell>
          <cell r="S64">
            <v>5.7499999999999982E-2</v>
          </cell>
          <cell r="T64">
            <v>6.2749999999999986E-2</v>
          </cell>
          <cell r="U64">
            <v>6.7999999999999991E-2</v>
          </cell>
          <cell r="V64">
            <v>7.3249999999999996E-2</v>
          </cell>
          <cell r="W64">
            <v>7.85E-2</v>
          </cell>
        </row>
        <row r="65">
          <cell r="B65">
            <v>2007</v>
          </cell>
          <cell r="J65">
            <v>5.0000000000000001E-3</v>
          </cell>
          <cell r="K65">
            <v>1.0249999999999999E-2</v>
          </cell>
          <cell r="L65">
            <v>1.5499999999999998E-2</v>
          </cell>
          <cell r="M65">
            <v>2.0749999999999998E-2</v>
          </cell>
          <cell r="N65">
            <v>2.5999999999999995E-2</v>
          </cell>
          <cell r="O65">
            <v>3.1249999999999993E-2</v>
          </cell>
          <cell r="P65">
            <v>3.6499999999999991E-2</v>
          </cell>
          <cell r="Q65">
            <v>4.1749999999999989E-2</v>
          </cell>
          <cell r="R65">
            <v>4.6999999999999986E-2</v>
          </cell>
          <cell r="S65">
            <v>5.2249999999999984E-2</v>
          </cell>
          <cell r="T65">
            <v>5.7499999999999982E-2</v>
          </cell>
          <cell r="U65">
            <v>6.2749999999999986E-2</v>
          </cell>
          <cell r="V65">
            <v>6.7999999999999991E-2</v>
          </cell>
          <cell r="W65">
            <v>7.3249999999999996E-2</v>
          </cell>
        </row>
        <row r="66">
          <cell r="B66">
            <v>2008</v>
          </cell>
          <cell r="K66">
            <v>5.0000000000000001E-3</v>
          </cell>
          <cell r="L66">
            <v>1.0249999999999999E-2</v>
          </cell>
          <cell r="M66">
            <v>1.5499999999999998E-2</v>
          </cell>
          <cell r="N66">
            <v>2.0749999999999998E-2</v>
          </cell>
          <cell r="O66">
            <v>2.5999999999999995E-2</v>
          </cell>
          <cell r="P66">
            <v>3.1249999999999993E-2</v>
          </cell>
          <cell r="Q66">
            <v>3.6499999999999991E-2</v>
          </cell>
          <cell r="R66">
            <v>4.1749999999999989E-2</v>
          </cell>
          <cell r="S66">
            <v>4.6999999999999986E-2</v>
          </cell>
          <cell r="T66">
            <v>5.2249999999999984E-2</v>
          </cell>
          <cell r="U66">
            <v>5.7499999999999982E-2</v>
          </cell>
          <cell r="V66">
            <v>6.2749999999999986E-2</v>
          </cell>
          <cell r="W66">
            <v>6.7999999999999991E-2</v>
          </cell>
        </row>
        <row r="67">
          <cell r="B67">
            <v>2009</v>
          </cell>
          <cell r="L67">
            <v>5.0000000000000001E-3</v>
          </cell>
          <cell r="M67">
            <v>1.0249999999999999E-2</v>
          </cell>
          <cell r="N67">
            <v>1.5499999999999998E-2</v>
          </cell>
          <cell r="O67">
            <v>2.0749999999999998E-2</v>
          </cell>
          <cell r="P67">
            <v>2.5999999999999995E-2</v>
          </cell>
          <cell r="Q67">
            <v>3.1249999999999993E-2</v>
          </cell>
          <cell r="R67">
            <v>3.6499999999999991E-2</v>
          </cell>
          <cell r="S67">
            <v>4.1749999999999989E-2</v>
          </cell>
          <cell r="T67">
            <v>4.6999999999999986E-2</v>
          </cell>
          <cell r="U67">
            <v>5.2249999999999984E-2</v>
          </cell>
          <cell r="V67">
            <v>5.7499999999999982E-2</v>
          </cell>
          <cell r="W67">
            <v>6.2749999999999986E-2</v>
          </cell>
        </row>
        <row r="68">
          <cell r="B68">
            <v>2010</v>
          </cell>
          <cell r="M68">
            <v>5.0000000000000001E-3</v>
          </cell>
          <cell r="N68">
            <v>1.0249999999999999E-2</v>
          </cell>
          <cell r="O68">
            <v>1.5499999999999998E-2</v>
          </cell>
          <cell r="P68">
            <v>2.0749999999999998E-2</v>
          </cell>
          <cell r="Q68">
            <v>2.5999999999999995E-2</v>
          </cell>
          <cell r="R68">
            <v>3.1249999999999993E-2</v>
          </cell>
          <cell r="S68">
            <v>3.6499999999999991E-2</v>
          </cell>
          <cell r="T68">
            <v>4.1749999999999989E-2</v>
          </cell>
          <cell r="U68">
            <v>4.6999999999999986E-2</v>
          </cell>
          <cell r="V68">
            <v>5.2249999999999984E-2</v>
          </cell>
          <cell r="W68">
            <v>5.7499999999999982E-2</v>
          </cell>
        </row>
        <row r="70">
          <cell r="B70" t="str">
            <v>Target Penetration Rate</v>
          </cell>
          <cell r="F70">
            <v>0.11</v>
          </cell>
          <cell r="G70">
            <v>0.11</v>
          </cell>
          <cell r="H70">
            <v>0.11</v>
          </cell>
          <cell r="I70">
            <v>0.11</v>
          </cell>
          <cell r="J70">
            <v>0.11</v>
          </cell>
          <cell r="K70">
            <v>0.11</v>
          </cell>
          <cell r="L70">
            <v>0.11</v>
          </cell>
          <cell r="M70">
            <v>0.11</v>
          </cell>
          <cell r="N70">
            <v>0.11</v>
          </cell>
          <cell r="O70">
            <v>0.11</v>
          </cell>
          <cell r="P70">
            <v>0.11</v>
          </cell>
          <cell r="Q70">
            <v>0.11</v>
          </cell>
          <cell r="R70">
            <v>0.11</v>
          </cell>
          <cell r="S70">
            <v>0.11</v>
          </cell>
          <cell r="T70">
            <v>0.11</v>
          </cell>
          <cell r="U70">
            <v>0.11</v>
          </cell>
          <cell r="V70">
            <v>0.11</v>
          </cell>
          <cell r="W70">
            <v>0.11</v>
          </cell>
        </row>
        <row r="71">
          <cell r="B71" t="str">
            <v xml:space="preserve">  Years to Achieve</v>
          </cell>
          <cell r="F71">
            <v>20</v>
          </cell>
          <cell r="G71">
            <v>20</v>
          </cell>
          <cell r="H71">
            <v>20</v>
          </cell>
          <cell r="I71">
            <v>20</v>
          </cell>
          <cell r="J71">
            <v>20</v>
          </cell>
          <cell r="K71">
            <v>20</v>
          </cell>
          <cell r="L71">
            <v>20</v>
          </cell>
          <cell r="M71">
            <v>20</v>
          </cell>
          <cell r="N71">
            <v>20</v>
          </cell>
          <cell r="O71">
            <v>20</v>
          </cell>
          <cell r="P71">
            <v>20</v>
          </cell>
          <cell r="Q71">
            <v>20</v>
          </cell>
          <cell r="R71">
            <v>20</v>
          </cell>
          <cell r="S71">
            <v>20</v>
          </cell>
          <cell r="T71">
            <v>20</v>
          </cell>
          <cell r="U71">
            <v>20</v>
          </cell>
          <cell r="V71">
            <v>20</v>
          </cell>
          <cell r="W71">
            <v>20</v>
          </cell>
        </row>
        <row r="75">
          <cell r="C75" t="str">
            <v>Model</v>
          </cell>
          <cell r="D75" t="str">
            <v>YTD</v>
          </cell>
          <cell r="F75" t="str">
            <v>2005 YTD</v>
          </cell>
          <cell r="G75" t="str">
            <v>2006 YTD</v>
          </cell>
        </row>
        <row r="76">
          <cell r="B76" t="str">
            <v>Total China</v>
          </cell>
          <cell r="C76">
            <v>0.14552766395303207</v>
          </cell>
          <cell r="D76">
            <v>0.14768765884721291</v>
          </cell>
          <cell r="F76">
            <v>5903865</v>
          </cell>
          <cell r="G76">
            <v>6775793</v>
          </cell>
        </row>
        <row r="77">
          <cell r="B77" t="str">
            <v xml:space="preserve">  Package Tour Visitors</v>
          </cell>
          <cell r="C77">
            <v>6.7519621546070496E-3</v>
          </cell>
          <cell r="D77">
            <v>0.20433105924031247</v>
          </cell>
          <cell r="F77">
            <v>1144339</v>
          </cell>
          <cell r="G77">
            <v>1378163</v>
          </cell>
        </row>
        <row r="78">
          <cell r="B78" t="str">
            <v xml:space="preserve">  Total Individual Visitors</v>
          </cell>
          <cell r="C78">
            <v>0.18416719196610165</v>
          </cell>
          <cell r="D78">
            <v>0.1340688127347136</v>
          </cell>
          <cell r="F78">
            <v>4759526</v>
          </cell>
          <cell r="G78">
            <v>5397630</v>
          </cell>
        </row>
        <row r="79">
          <cell r="B79" t="str">
            <v xml:space="preserve">  Non-IVS Individual Visitors</v>
          </cell>
          <cell r="C79">
            <v>0.37295177361051524</v>
          </cell>
          <cell r="D79">
            <v>0.2377581574072376</v>
          </cell>
          <cell r="F79">
            <v>1744672</v>
          </cell>
          <cell r="G79">
            <v>2159482</v>
          </cell>
        </row>
        <row r="80">
          <cell r="B80" t="str">
            <v xml:space="preserve">  IVS Individual Visitors</v>
          </cell>
          <cell r="C80">
            <v>8.3154881666710256E-2</v>
          </cell>
          <cell r="D80">
            <v>7.4064614737562762E-2</v>
          </cell>
          <cell r="F80">
            <v>3014854</v>
          </cell>
          <cell r="G80">
            <v>3238148</v>
          </cell>
        </row>
      </sheetData>
      <sheetData sheetId="6" refreshError="1">
        <row r="2">
          <cell r="C2">
            <v>2005</v>
          </cell>
          <cell r="D2" t="str">
            <v>2006E</v>
          </cell>
          <cell r="E2" t="str">
            <v>2007E</v>
          </cell>
          <cell r="F2" t="str">
            <v>2008E</v>
          </cell>
          <cell r="G2" t="str">
            <v>2009E</v>
          </cell>
          <cell r="H2" t="str">
            <v>2010E</v>
          </cell>
          <cell r="I2" t="str">
            <v>2011E</v>
          </cell>
          <cell r="J2" t="str">
            <v>2012E</v>
          </cell>
        </row>
        <row r="4">
          <cell r="B4" t="str">
            <v>Total Visitors</v>
          </cell>
          <cell r="C4">
            <v>18.711186999999999</v>
          </cell>
          <cell r="D4">
            <v>21.998122000000002</v>
          </cell>
          <cell r="E4">
            <v>26.853211459144823</v>
          </cell>
          <cell r="F4">
            <v>31.112956369452657</v>
          </cell>
          <cell r="G4">
            <v>35.938386716715485</v>
          </cell>
          <cell r="H4">
            <v>41.464358695646425</v>
          </cell>
          <cell r="I4">
            <v>46.725028260970944</v>
          </cell>
          <cell r="J4">
            <v>51.917160814241257</v>
          </cell>
        </row>
        <row r="6">
          <cell r="B6" t="str">
            <v>Day Trippers</v>
          </cell>
          <cell r="C6">
            <v>9.6971229999999995</v>
          </cell>
          <cell r="D6">
            <v>11.315459000000001</v>
          </cell>
          <cell r="E6">
            <v>14.075295677217126</v>
          </cell>
          <cell r="F6">
            <v>16.152505519489736</v>
          </cell>
          <cell r="G6">
            <v>18.477968974951796</v>
          </cell>
          <cell r="H6">
            <v>21.465406851958932</v>
          </cell>
          <cell r="I6">
            <v>24.23993044650415</v>
          </cell>
          <cell r="J6">
            <v>26.933496114508888</v>
          </cell>
        </row>
        <row r="7">
          <cell r="B7" t="str">
            <v>Other Overnight</v>
          </cell>
          <cell r="C7">
            <v>4.8929760000000009</v>
          </cell>
          <cell r="D7">
            <v>6.0018090000000006</v>
          </cell>
          <cell r="E7">
            <v>7.059522834707419</v>
          </cell>
          <cell r="F7">
            <v>7.7126858481298948</v>
          </cell>
          <cell r="G7">
            <v>8.3698007246177593</v>
          </cell>
          <cell r="H7">
            <v>8.8719887680948251</v>
          </cell>
          <cell r="I7">
            <v>9.2268683188186191</v>
          </cell>
          <cell r="J7">
            <v>9.5036743683831784</v>
          </cell>
        </row>
        <row r="8">
          <cell r="B8" t="str">
            <v>Hotel Visitors</v>
          </cell>
          <cell r="C8">
            <v>4.1210880000000003</v>
          </cell>
          <cell r="D8">
            <v>4.6808540000000001</v>
          </cell>
          <cell r="E8">
            <v>5.718392947220277</v>
          </cell>
          <cell r="F8">
            <v>7.2477650018330273</v>
          </cell>
          <cell r="G8">
            <v>9.0906170171459291</v>
          </cell>
          <cell r="H8">
            <v>11.12696307559267</v>
          </cell>
          <cell r="I8">
            <v>13.258229495648175</v>
          </cell>
          <cell r="J8">
            <v>15.479990331349189</v>
          </cell>
        </row>
        <row r="9">
          <cell r="B9" t="str">
            <v xml:space="preserve">  Share</v>
          </cell>
          <cell r="C9">
            <v>0.22024727773817879</v>
          </cell>
          <cell r="D9">
            <v>0.21278425494685407</v>
          </cell>
          <cell r="E9">
            <v>0.2129500583541149</v>
          </cell>
          <cell r="F9">
            <v>0.23295005835411489</v>
          </cell>
          <cell r="G9">
            <v>0.25295005835411488</v>
          </cell>
          <cell r="H9">
            <v>0.26835005835411491</v>
          </cell>
          <cell r="I9">
            <v>0.28375005835411493</v>
          </cell>
          <cell r="J9">
            <v>0.29816712024635433</v>
          </cell>
        </row>
        <row r="10">
          <cell r="B10" t="str">
            <v>Hotel Visitors @ Constant Share</v>
          </cell>
          <cell r="C10">
            <v>4.1210880000000003</v>
          </cell>
          <cell r="D10">
            <v>4.8450264858523413</v>
          </cell>
          <cell r="E10">
            <v>5.9143467224043151</v>
          </cell>
          <cell r="F10">
            <v>6.8525439427586781</v>
          </cell>
          <cell r="G10">
            <v>7.9153318406585109</v>
          </cell>
          <cell r="H10">
            <v>9.132412125875506</v>
          </cell>
          <cell r="I10">
            <v>10.291060276718321</v>
          </cell>
          <cell r="J10">
            <v>11.434613337231886</v>
          </cell>
        </row>
        <row r="12">
          <cell r="B12" t="str">
            <v>Hotel Length of Stay</v>
          </cell>
          <cell r="C12">
            <v>2.1758333333333333</v>
          </cell>
          <cell r="D12">
            <v>2.17</v>
          </cell>
          <cell r="E12">
            <v>2.2749478692713261</v>
          </cell>
          <cell r="F12">
            <v>2.439017908256258</v>
          </cell>
          <cell r="G12">
            <v>2.8461329551184145</v>
          </cell>
          <cell r="H12">
            <v>3.1697667219533114</v>
          </cell>
          <cell r="I12">
            <v>3.1697667219533114</v>
          </cell>
          <cell r="J12">
            <v>3.1697667219533114</v>
          </cell>
        </row>
        <row r="13">
          <cell r="B13" t="str">
            <v xml:space="preserve">  Share of Final</v>
          </cell>
          <cell r="C13">
            <v>0.6864332691310846</v>
          </cell>
          <cell r="D13">
            <v>0.68459296546049186</v>
          </cell>
          <cell r="E13">
            <v>0.71770198529607587</v>
          </cell>
          <cell r="F13">
            <v>0.76946290443520626</v>
          </cell>
          <cell r="G13">
            <v>0.89789981559416976</v>
          </cell>
          <cell r="H13">
            <v>1</v>
          </cell>
          <cell r="I13">
            <v>1</v>
          </cell>
          <cell r="J13">
            <v>1</v>
          </cell>
        </row>
        <row r="14">
          <cell r="B14" t="str">
            <v>Overall Length of Stay</v>
          </cell>
          <cell r="C14">
            <v>1.3898108575367241</v>
          </cell>
          <cell r="D14">
            <v>1.3857101947157124</v>
          </cell>
          <cell r="E14">
            <v>1.409808216231297</v>
          </cell>
          <cell r="F14">
            <v>1.4591658339019791</v>
          </cell>
          <cell r="G14">
            <v>1.5834259669277251</v>
          </cell>
          <cell r="H14">
            <v>1.6892403375063489</v>
          </cell>
          <cell r="I14">
            <v>1.7144072578115312</v>
          </cell>
          <cell r="J14">
            <v>1.7384803879875337</v>
          </cell>
        </row>
        <row r="15">
          <cell r="B15" t="str">
            <v>Hotel Length of Stay Reaches 2 Nights</v>
          </cell>
          <cell r="C15">
            <v>2.1758333333333333</v>
          </cell>
          <cell r="D15">
            <v>2.25</v>
          </cell>
          <cell r="E15">
            <v>2.4000000000000004</v>
          </cell>
          <cell r="F15">
            <v>2.5499999999999998</v>
          </cell>
          <cell r="G15">
            <v>2.7</v>
          </cell>
          <cell r="H15">
            <v>2.8499999999999996</v>
          </cell>
          <cell r="I15">
            <v>2.94</v>
          </cell>
          <cell r="J15">
            <v>3</v>
          </cell>
        </row>
        <row r="16">
          <cell r="B16" t="str">
            <v xml:space="preserve">  Share of Final</v>
          </cell>
          <cell r="C16">
            <v>0.7252777777777778</v>
          </cell>
          <cell r="D16">
            <v>0.75</v>
          </cell>
          <cell r="E16">
            <v>0.8</v>
          </cell>
          <cell r="F16">
            <v>0.85</v>
          </cell>
          <cell r="G16">
            <v>0.9</v>
          </cell>
          <cell r="H16">
            <v>0.95</v>
          </cell>
          <cell r="I16">
            <v>0.98</v>
          </cell>
          <cell r="J16">
            <v>1</v>
          </cell>
        </row>
        <row r="18">
          <cell r="B18" t="str">
            <v>Mass Revenue / Visitor / Day</v>
          </cell>
          <cell r="C18">
            <v>80.18516483394032</v>
          </cell>
          <cell r="D18">
            <v>79.064573135614836</v>
          </cell>
          <cell r="E18">
            <v>83.640320959777029</v>
          </cell>
          <cell r="F18">
            <v>87.822337007765881</v>
          </cell>
          <cell r="G18">
            <v>90.457007117998856</v>
          </cell>
          <cell r="H18">
            <v>90.457007117998856</v>
          </cell>
          <cell r="I18">
            <v>90.457007117998856</v>
          </cell>
          <cell r="J18">
            <v>90.457007117998856</v>
          </cell>
        </row>
        <row r="20">
          <cell r="B20" t="str">
            <v>Room Nights Available</v>
          </cell>
          <cell r="C20">
            <v>3.8456959999999998</v>
          </cell>
          <cell r="D20">
            <v>4.3155250000000001</v>
          </cell>
          <cell r="E20">
            <v>5.561999876811595</v>
          </cell>
          <cell r="F20">
            <v>7.7883038768115949</v>
          </cell>
          <cell r="G20">
            <v>12.381828876811596</v>
          </cell>
          <cell r="H20">
            <v>17.701703876811592</v>
          </cell>
          <cell r="I20">
            <v>18.431703876811593</v>
          </cell>
          <cell r="J20">
            <v>18.482201695652176</v>
          </cell>
        </row>
        <row r="21">
          <cell r="B21" t="str">
            <v>Visitors Per Room</v>
          </cell>
          <cell r="C21">
            <v>1.7771274235908885</v>
          </cell>
          <cell r="D21">
            <v>1.7548958768043246</v>
          </cell>
          <cell r="E21">
            <v>1.7150671401583086</v>
          </cell>
          <cell r="F21">
            <v>1.7150671401583086</v>
          </cell>
          <cell r="G21">
            <v>1.7150671401583086</v>
          </cell>
          <cell r="H21">
            <v>1.7150671401583086</v>
          </cell>
          <cell r="I21">
            <v>1.7150671401583086</v>
          </cell>
          <cell r="J21">
            <v>1.7150671401583086</v>
          </cell>
        </row>
        <row r="23">
          <cell r="B23" t="str">
            <v>Visitor-Days</v>
          </cell>
        </row>
        <row r="24">
          <cell r="B24" t="str">
            <v>Hotel Visitors @ Constant Share &amp; Length of Stay</v>
          </cell>
          <cell r="C24">
            <v>26.00338764</v>
          </cell>
          <cell r="D24">
            <v>30.860142628800389</v>
          </cell>
          <cell r="E24">
            <v>37.533212672776308</v>
          </cell>
          <cell r="F24">
            <v>42.631527820470332</v>
          </cell>
          <cell r="G24">
            <v>48.255112925177912</v>
          </cell>
          <cell r="H24">
            <v>54.643996721318629</v>
          </cell>
          <cell r="I24">
            <v>60.471864910158359</v>
          </cell>
          <cell r="J24">
            <v>66.068820520010703</v>
          </cell>
        </row>
        <row r="25">
          <cell r="B25" t="str">
            <v>Hotel Visitors @ Constant Share</v>
          </cell>
          <cell r="C25">
            <v>26.00338764</v>
          </cell>
          <cell r="D25">
            <v>30.831879974299582</v>
          </cell>
          <cell r="E25">
            <v>38.119410403543803</v>
          </cell>
          <cell r="F25">
            <v>44.435011685185941</v>
          </cell>
          <cell r="G25">
            <v>53.560756864274722</v>
          </cell>
          <cell r="H25">
            <v>63.721006051864251</v>
          </cell>
          <cell r="I25">
            <v>70.700493323489454</v>
          </cell>
          <cell r="J25">
            <v>77.434064501844787</v>
          </cell>
        </row>
        <row r="26">
          <cell r="B26" t="str">
            <v>Forecast</v>
          </cell>
          <cell r="C26">
            <v>26.005010850000001</v>
          </cell>
          <cell r="D26">
            <v>30.483021920000002</v>
          </cell>
          <cell r="E26">
            <v>37.857878147298791</v>
          </cell>
          <cell r="F26">
            <v>45.398962925988279</v>
          </cell>
          <cell r="G26">
            <v>56.905774736737726</v>
          </cell>
          <cell r="H26">
            <v>70.043267277518083</v>
          </cell>
          <cell r="I26">
            <v>80.105727572057503</v>
          </cell>
          <cell r="J26">
            <v>90.25696587555332</v>
          </cell>
        </row>
        <row r="27">
          <cell r="B27" t="str">
            <v>Hotel Length of Stay Reaches 2 Nights</v>
          </cell>
          <cell r="C27">
            <v>26.00338764</v>
          </cell>
          <cell r="D27">
            <v>30.850094000000002</v>
          </cell>
          <cell r="E27">
            <v>38.388723002606923</v>
          </cell>
          <cell r="F27">
            <v>46.203335046358795</v>
          </cell>
          <cell r="G27">
            <v>55.577336008172445</v>
          </cell>
          <cell r="H27">
            <v>66.485234769540284</v>
          </cell>
          <cell r="I27">
            <v>77.059427641937717</v>
          </cell>
          <cell r="J27">
            <v>87.628978661131228</v>
          </cell>
        </row>
        <row r="29">
          <cell r="B29" t="str">
            <v>Occupancy</v>
          </cell>
        </row>
        <row r="30">
          <cell r="B30" t="str">
            <v>Hotel Visitors @ Constant Share &amp; Length of Stay</v>
          </cell>
          <cell r="C30">
            <v>0.70902922563301929</v>
          </cell>
          <cell r="D30">
            <v>0.75224088284457091</v>
          </cell>
          <cell r="E30">
            <v>0.72902168651236288</v>
          </cell>
          <cell r="F30">
            <v>0.60321701423507024</v>
          </cell>
          <cell r="G30">
            <v>0.43827729327976817</v>
          </cell>
          <cell r="H30">
            <v>0.35370001009838453</v>
          </cell>
          <cell r="I30">
            <v>0.38278885005516533</v>
          </cell>
          <cell r="J30">
            <v>0.42416264605628878</v>
          </cell>
        </row>
        <row r="31">
          <cell r="B31" t="str">
            <v>Hotel Visitors @ Constant Share</v>
          </cell>
          <cell r="C31">
            <v>0.70902922563301929</v>
          </cell>
          <cell r="D31">
            <v>0.74850900036412304</v>
          </cell>
          <cell r="E31">
            <v>0.79047312193184327</v>
          </cell>
          <cell r="F31">
            <v>0.738233949864609</v>
          </cell>
          <cell r="G31">
            <v>0.68812316479422686</v>
          </cell>
          <cell r="H31">
            <v>0.65268307140980153</v>
          </cell>
          <cell r="I31">
            <v>0.70636074419657591</v>
          </cell>
          <cell r="J31">
            <v>0.78270786175075524</v>
          </cell>
        </row>
        <row r="32">
          <cell r="B32" t="str">
            <v>Forecast</v>
          </cell>
          <cell r="C32">
            <v>0.70902922563301929</v>
          </cell>
          <cell r="D32">
            <v>0.72314596393254593</v>
          </cell>
          <cell r="E32">
            <v>0.76428321462774651</v>
          </cell>
          <cell r="F32">
            <v>0.78081165618029769</v>
          </cell>
          <cell r="G32">
            <v>0.79029714454148425</v>
          </cell>
          <cell r="H32">
            <v>0.79523135131673062</v>
          </cell>
          <cell r="I32">
            <v>0.91002215529354946</v>
          </cell>
          <cell r="J32">
            <v>1.0596169520416707</v>
          </cell>
        </row>
        <row r="33">
          <cell r="B33" t="str">
            <v>Hotel Length of Stay Reaches 2 Nights</v>
          </cell>
          <cell r="C33">
            <v>0.70902922563301929</v>
          </cell>
          <cell r="D33">
            <v>0.77259184180827556</v>
          </cell>
          <cell r="E33">
            <v>0.83924725572535219</v>
          </cell>
          <cell r="F33">
            <v>0.84103058074239101</v>
          </cell>
          <cell r="G33">
            <v>0.7277401890235734</v>
          </cell>
          <cell r="H33">
            <v>0.67803510167744563</v>
          </cell>
          <cell r="I33">
            <v>0.81365566325957983</v>
          </cell>
          <cell r="J33">
            <v>0.97671048350097389</v>
          </cell>
        </row>
        <row r="35">
          <cell r="B35" t="str">
            <v>Revenue per Visitor Day</v>
          </cell>
        </row>
        <row r="36">
          <cell r="B36" t="str">
            <v>Day Trippers</v>
          </cell>
          <cell r="C36">
            <v>93.352570415141727</v>
          </cell>
          <cell r="D36">
            <v>91.183331550650422</v>
          </cell>
          <cell r="E36">
            <v>101.92475224507626</v>
          </cell>
          <cell r="F36">
            <v>104.93071762669251</v>
          </cell>
          <cell r="G36">
            <v>104.92823150594876</v>
          </cell>
          <cell r="H36">
            <v>100.04275818815849</v>
          </cell>
          <cell r="I36">
            <v>96.999240888847297</v>
          </cell>
          <cell r="J36">
            <v>94.30705012465927</v>
          </cell>
        </row>
        <row r="37">
          <cell r="B37" t="str">
            <v>Other Overnight</v>
          </cell>
          <cell r="C37">
            <v>48.11109890036419</v>
          </cell>
          <cell r="D37">
            <v>50.5166538453824</v>
          </cell>
          <cell r="E37">
            <v>50.5166538453824</v>
          </cell>
          <cell r="F37">
            <v>50.5166538453824</v>
          </cell>
          <cell r="G37">
            <v>50.5166538453824</v>
          </cell>
          <cell r="H37">
            <v>51.021820383836221</v>
          </cell>
          <cell r="I37">
            <v>51.532038587674585</v>
          </cell>
          <cell r="J37">
            <v>52.047358973551333</v>
          </cell>
        </row>
        <row r="39">
          <cell r="B39" t="str">
            <v>Hotel Visitors @ Constant Share &amp; Length of Stay</v>
          </cell>
          <cell r="C39">
            <v>92.212939559031355</v>
          </cell>
          <cell r="D39">
            <v>90.655985385959866</v>
          </cell>
          <cell r="E39">
            <v>97.570351185956739</v>
          </cell>
          <cell r="F39">
            <v>106.0356205006384</v>
          </cell>
          <cell r="G39">
            <v>118.51740052407369</v>
          </cell>
          <cell r="H39">
            <v>126.43747029746648</v>
          </cell>
          <cell r="I39">
            <v>128.32118196827733</v>
          </cell>
          <cell r="J39">
            <v>130.12302485233283</v>
          </cell>
        </row>
        <row r="40">
          <cell r="B40" t="str">
            <v xml:space="preserve">  Growth</v>
          </cell>
          <cell r="D40">
            <v>-1.6884335110852633E-2</v>
          </cell>
          <cell r="E40">
            <v>7.6270372778582285E-2</v>
          </cell>
          <cell r="F40">
            <v>8.6760672804671257E-2</v>
          </cell>
          <cell r="G40">
            <v>0.11771308513595335</v>
          </cell>
          <cell r="H40">
            <v>6.6826219089947347E-2</v>
          </cell>
          <cell r="I40">
            <v>1.4898365701078164E-2</v>
          </cell>
          <cell r="J40">
            <v>1.4041663709900565E-2</v>
          </cell>
        </row>
        <row r="41">
          <cell r="B41" t="str">
            <v>Hotel Visitors @ Constant Share</v>
          </cell>
          <cell r="C41">
            <v>92.212939559031355</v>
          </cell>
          <cell r="D41">
            <v>90.924259105957049</v>
          </cell>
          <cell r="E41">
            <v>92.004353055754734</v>
          </cell>
          <cell r="F41">
            <v>96.604570708542482</v>
          </cell>
          <cell r="G41">
            <v>99.502707829798752</v>
          </cell>
          <cell r="H41">
            <v>99.502707829798752</v>
          </cell>
          <cell r="I41">
            <v>99.502707829798752</v>
          </cell>
          <cell r="J41">
            <v>99.502707829798752</v>
          </cell>
        </row>
        <row r="42">
          <cell r="B42" t="str">
            <v>Hotel Visitors, Forecast</v>
          </cell>
          <cell r="C42">
            <v>92.212939559031355</v>
          </cell>
          <cell r="D42">
            <v>90.924259105957049</v>
          </cell>
          <cell r="E42">
            <v>92.004353055754734</v>
          </cell>
          <cell r="F42">
            <v>96.604570708542482</v>
          </cell>
          <cell r="G42">
            <v>99.502707829798752</v>
          </cell>
          <cell r="H42">
            <v>99.502707829798752</v>
          </cell>
          <cell r="I42">
            <v>99.502707829798752</v>
          </cell>
          <cell r="J42">
            <v>99.502707829798752</v>
          </cell>
        </row>
        <row r="43">
          <cell r="B43" t="str">
            <v>Hotel Length of Stay Reaches 2 Nights</v>
          </cell>
          <cell r="C43">
            <v>92.212939559031355</v>
          </cell>
          <cell r="D43">
            <v>90.924259105957049</v>
          </cell>
          <cell r="E43">
            <v>92.004353055754734</v>
          </cell>
          <cell r="F43">
            <v>96.604570708542482</v>
          </cell>
          <cell r="G43">
            <v>99.502707829798752</v>
          </cell>
          <cell r="H43">
            <v>99.502707829798752</v>
          </cell>
          <cell r="I43">
            <v>99.502707829798752</v>
          </cell>
          <cell r="J43">
            <v>99.502707829798752</v>
          </cell>
        </row>
        <row r="45">
          <cell r="B45" t="str">
            <v>Revenue</v>
          </cell>
          <cell r="F45">
            <v>-5.5877401367766089E-2</v>
          </cell>
          <cell r="G45">
            <v>-0.24183905563263763</v>
          </cell>
          <cell r="H45">
            <v>1178.2352498552946</v>
          </cell>
          <cell r="I45">
            <v>0.18596165426487155</v>
          </cell>
        </row>
        <row r="46">
          <cell r="B46" t="str">
            <v>Hotel Visitors @ Constant Share &amp; Length of Stay</v>
          </cell>
          <cell r="C46">
            <v>2085.2160815156567</v>
          </cell>
          <cell r="D46">
            <v>2445.0890346717483</v>
          </cell>
          <cell r="E46">
            <v>3153.5264619859204</v>
          </cell>
          <cell r="F46">
            <v>3719.6961415569003</v>
          </cell>
          <cell r="G46">
            <v>4286.76179564629</v>
          </cell>
          <cell r="H46">
            <v>4803.6352077448128</v>
          </cell>
          <cell r="I46">
            <v>5292.5018691607365</v>
          </cell>
          <cell r="J46">
            <v>5757.5890443966437</v>
          </cell>
        </row>
        <row r="47">
          <cell r="B47" t="str">
            <v>Hotel Visitors @ Constant Share</v>
          </cell>
          <cell r="C47">
            <v>2085.2160815156567</v>
          </cell>
          <cell r="D47">
            <v>2442.5192737508951</v>
          </cell>
          <cell r="E47">
            <v>3207.459204967935</v>
          </cell>
          <cell r="F47">
            <v>3893.9209260875341</v>
          </cell>
          <cell r="G47">
            <v>4814.6877343671822</v>
          </cell>
          <cell r="H47">
            <v>5706.8222151304508</v>
          </cell>
          <cell r="I47">
            <v>6310.2780936719992</v>
          </cell>
          <cell r="J47">
            <v>6888.461595735459</v>
          </cell>
        </row>
        <row r="48">
          <cell r="B48" t="str">
            <v>Forecast</v>
          </cell>
          <cell r="C48">
            <v>2085.2160815156567</v>
          </cell>
          <cell r="D48">
            <v>2410.12711598839</v>
          </cell>
          <cell r="E48">
            <v>3166.4450790962001</v>
          </cell>
          <cell r="F48">
            <v>3987.0430218892116</v>
          </cell>
          <cell r="G48">
            <v>5147.5260704163238</v>
          </cell>
          <cell r="H48">
            <v>6335.90432669035</v>
          </cell>
          <cell r="I48">
            <v>7246.1243691780819</v>
          </cell>
          <cell r="J48">
            <v>8164.3750046539053</v>
          </cell>
        </row>
        <row r="49">
          <cell r="B49" t="str">
            <v>Hotel Length of Stay Reaches 2 Nights</v>
          </cell>
          <cell r="C49">
            <v>2085.2160815156567</v>
          </cell>
          <cell r="D49">
            <v>2444.1753705430424</v>
          </cell>
          <cell r="E49">
            <v>3232.237136414501</v>
          </cell>
          <cell r="F49">
            <v>4064.7490452675252</v>
          </cell>
          <cell r="G49">
            <v>5015.3428197381036</v>
          </cell>
          <cell r="H49">
            <v>5981.8704576001073</v>
          </cell>
          <cell r="I49">
            <v>6943.009277269437</v>
          </cell>
          <cell r="J49">
            <v>7902.8831606768154</v>
          </cell>
        </row>
        <row r="50">
          <cell r="B50" t="str">
            <v xml:space="preserve">  Check</v>
          </cell>
          <cell r="C50">
            <v>2085.2160815156567</v>
          </cell>
          <cell r="D50">
            <v>2410.12711598839</v>
          </cell>
          <cell r="E50">
            <v>3166.4450790961996</v>
          </cell>
          <cell r="F50">
            <v>3987.0430218892116</v>
          </cell>
          <cell r="G50">
            <v>5147.5260704163238</v>
          </cell>
          <cell r="H50">
            <v>6335.90432669035</v>
          </cell>
          <cell r="I50">
            <v>7246.1243691780828</v>
          </cell>
          <cell r="J50">
            <v>8164.3750046539062</v>
          </cell>
        </row>
        <row r="52">
          <cell r="B52" t="str">
            <v>VIP Revenues</v>
          </cell>
          <cell r="C52">
            <v>3497.8356344037484</v>
          </cell>
          <cell r="D52">
            <v>4462.2919091703079</v>
          </cell>
          <cell r="E52">
            <v>5544.8648697270928</v>
          </cell>
          <cell r="F52">
            <v>5988.4540593052607</v>
          </cell>
          <cell r="G52">
            <v>6347.7613028635769</v>
          </cell>
          <cell r="H52">
            <v>6601.6717549781206</v>
          </cell>
          <cell r="I52">
            <v>6799.7219076274641</v>
          </cell>
          <cell r="J52">
            <v>7003.713564856288</v>
          </cell>
        </row>
        <row r="118">
          <cell r="K118" t="str">
            <v>New vs Old</v>
          </cell>
        </row>
        <row r="119">
          <cell r="L119">
            <v>2005</v>
          </cell>
          <cell r="M119" t="str">
            <v>2006E</v>
          </cell>
          <cell r="N119" t="str">
            <v>2007E</v>
          </cell>
          <cell r="O119" t="str">
            <v>2008E</v>
          </cell>
          <cell r="P119" t="str">
            <v>2009E</v>
          </cell>
          <cell r="Q119" t="str">
            <v>2010E</v>
          </cell>
          <cell r="R119" t="str">
            <v>2011E</v>
          </cell>
          <cell r="S119" t="str">
            <v>2012E</v>
          </cell>
        </row>
        <row r="121">
          <cell r="K121" t="str">
            <v>Visitors</v>
          </cell>
          <cell r="L121">
            <v>18.711186999999999</v>
          </cell>
          <cell r="M121">
            <v>21.998122000000002</v>
          </cell>
          <cell r="N121">
            <v>26.853211459144823</v>
          </cell>
          <cell r="O121">
            <v>31.112956369452657</v>
          </cell>
          <cell r="P121">
            <v>35.938386716715485</v>
          </cell>
          <cell r="Q121">
            <v>41.464358695646425</v>
          </cell>
          <cell r="R121">
            <v>46.725028260970944</v>
          </cell>
          <cell r="S121">
            <v>51.917160814241257</v>
          </cell>
        </row>
        <row r="122">
          <cell r="K122" t="str">
            <v xml:space="preserve">  Growth</v>
          </cell>
          <cell r="M122">
            <v>0.17566683503296732</v>
          </cell>
          <cell r="N122">
            <v>0.22070472466444269</v>
          </cell>
          <cell r="O122">
            <v>0.15863074391637366</v>
          </cell>
          <cell r="P122">
            <v>0.15509391939367534</v>
          </cell>
          <cell r="Q122">
            <v>0.15376238289407484</v>
          </cell>
          <cell r="R122">
            <v>0.1268720831772292</v>
          </cell>
          <cell r="S122">
            <v>0.11112101472193769</v>
          </cell>
        </row>
        <row r="124">
          <cell r="K124" t="str">
            <v>New</v>
          </cell>
        </row>
        <row r="125">
          <cell r="K125" t="str">
            <v>Visitor Days</v>
          </cell>
          <cell r="L125">
            <v>26.005010850000001</v>
          </cell>
          <cell r="M125">
            <v>30.483021920000002</v>
          </cell>
          <cell r="N125">
            <v>37.857878147298791</v>
          </cell>
          <cell r="O125">
            <v>45.398962925988279</v>
          </cell>
          <cell r="P125">
            <v>56.905774736737726</v>
          </cell>
          <cell r="Q125">
            <v>70.043267277518083</v>
          </cell>
          <cell r="R125">
            <v>80.105727572057503</v>
          </cell>
          <cell r="S125">
            <v>90.25696587555332</v>
          </cell>
        </row>
        <row r="126">
          <cell r="K126" t="str">
            <v xml:space="preserve">  Growth</v>
          </cell>
          <cell r="M126">
            <v>0.17219800813888142</v>
          </cell>
          <cell r="N126">
            <v>0.24193323898967267</v>
          </cell>
          <cell r="O126">
            <v>0.19919459694355734</v>
          </cell>
          <cell r="P126">
            <v>0.25345979443425715</v>
          </cell>
          <cell r="Q126">
            <v>0.23086396067109405</v>
          </cell>
          <cell r="R126">
            <v>0.14366063557073949</v>
          </cell>
          <cell r="S126">
            <v>0.12672300235166678</v>
          </cell>
        </row>
        <row r="127">
          <cell r="K127" t="str">
            <v>Length of Stay</v>
          </cell>
          <cell r="L127">
            <v>1.3898108575367241</v>
          </cell>
          <cell r="M127">
            <v>1.3857101947157124</v>
          </cell>
          <cell r="N127">
            <v>1.409808216231297</v>
          </cell>
          <cell r="O127">
            <v>1.4591658339019791</v>
          </cell>
          <cell r="P127">
            <v>1.5834259669277251</v>
          </cell>
          <cell r="Q127">
            <v>1.6892403375063489</v>
          </cell>
          <cell r="R127">
            <v>1.7144072578115315</v>
          </cell>
          <cell r="S127">
            <v>1.7384803879875337</v>
          </cell>
        </row>
        <row r="128">
          <cell r="K128" t="str">
            <v xml:space="preserve">  Growth</v>
          </cell>
          <cell r="M128">
            <v>-2.9505186254477067E-3</v>
          </cell>
          <cell r="N128">
            <v>1.7390376146094955E-2</v>
          </cell>
          <cell r="O128">
            <v>3.5010164575877578E-2</v>
          </cell>
          <cell r="P128">
            <v>8.5158335083449721E-2</v>
          </cell>
          <cell r="Q128">
            <v>6.6826219089947347E-2</v>
          </cell>
          <cell r="R128">
            <v>1.4898365701078387E-2</v>
          </cell>
          <cell r="S128">
            <v>1.4041663709900565E-2</v>
          </cell>
        </row>
        <row r="130">
          <cell r="K130" t="str">
            <v>Mass Market Revenue / Visitor / Day (US$)</v>
          </cell>
          <cell r="L130">
            <v>80.18516483394032</v>
          </cell>
          <cell r="M130">
            <v>79.064573135614836</v>
          </cell>
          <cell r="N130">
            <v>83.640320959777029</v>
          </cell>
          <cell r="O130">
            <v>87.822337007765881</v>
          </cell>
          <cell r="P130">
            <v>90.457007117998856</v>
          </cell>
          <cell r="Q130">
            <v>90.457007117998856</v>
          </cell>
          <cell r="R130">
            <v>90.457007117998856</v>
          </cell>
          <cell r="S130">
            <v>90.457007117998856</v>
          </cell>
        </row>
        <row r="131">
          <cell r="K131" t="str">
            <v xml:space="preserve">  Growth</v>
          </cell>
          <cell r="M131">
            <v>-1.3975050131108113E-2</v>
          </cell>
          <cell r="N131">
            <v>5.7873553763626573E-2</v>
          </cell>
          <cell r="O131">
            <v>5.0000000000000044E-2</v>
          </cell>
          <cell r="P131">
            <v>3.0000000000000027E-2</v>
          </cell>
          <cell r="Q131">
            <v>0</v>
          </cell>
          <cell r="R131">
            <v>0</v>
          </cell>
          <cell r="S131">
            <v>0</v>
          </cell>
        </row>
        <row r="132">
          <cell r="K132" t="str">
            <v>Mass Market Revenue / Visitor / (US$)</v>
          </cell>
          <cell r="L132">
            <v>111.44221269958217</v>
          </cell>
          <cell r="M132">
            <v>109.56058503486751</v>
          </cell>
          <cell r="N132">
            <v>117.91681169731642</v>
          </cell>
          <cell r="O132">
            <v>128.14735361515733</v>
          </cell>
          <cell r="P132">
            <v>143.23197396120545</v>
          </cell>
          <cell r="Q132">
            <v>152.8036252338226</v>
          </cell>
          <cell r="R132">
            <v>155.08014952300658</v>
          </cell>
          <cell r="S132">
            <v>157.25773283068975</v>
          </cell>
        </row>
        <row r="133">
          <cell r="K133" t="str">
            <v xml:space="preserve">  Growth</v>
          </cell>
          <cell r="M133">
            <v>-1.6884335110852633E-2</v>
          </cell>
          <cell r="N133">
            <v>7.6270372778582285E-2</v>
          </cell>
          <cell r="O133">
            <v>8.6760672804671257E-2</v>
          </cell>
          <cell r="P133">
            <v>0.11771308513595335</v>
          </cell>
          <cell r="Q133">
            <v>6.6826219089947347E-2</v>
          </cell>
          <cell r="R133">
            <v>1.4898365701078164E-2</v>
          </cell>
          <cell r="S133">
            <v>1.4041663709900565E-2</v>
          </cell>
        </row>
        <row r="134">
          <cell r="K134" t="str">
            <v>Mass Market Revenue</v>
          </cell>
          <cell r="L134">
            <v>2085.2160815156567</v>
          </cell>
          <cell r="M134">
            <v>2410.1271159883904</v>
          </cell>
          <cell r="N134">
            <v>3166.4450790962001</v>
          </cell>
          <cell r="O134">
            <v>3987.0430218892116</v>
          </cell>
          <cell r="P134">
            <v>5147.5260704163238</v>
          </cell>
          <cell r="Q134">
            <v>6335.90432669035</v>
          </cell>
          <cell r="R134">
            <v>7246.1243691780828</v>
          </cell>
          <cell r="S134">
            <v>8164.3750046539062</v>
          </cell>
        </row>
        <row r="136">
          <cell r="K136" t="str">
            <v>Old - just before 7/2006</v>
          </cell>
        </row>
        <row r="137">
          <cell r="K137" t="str">
            <v>Mass Market Revenue / Visitor / (US$)</v>
          </cell>
          <cell r="L137">
            <v>111.42495853909043</v>
          </cell>
          <cell r="M137">
            <v>132.92823720522313</v>
          </cell>
          <cell r="N137">
            <v>154.19675515805881</v>
          </cell>
          <cell r="O137">
            <v>178.8682359833482</v>
          </cell>
          <cell r="P137">
            <v>194.96637722184954</v>
          </cell>
          <cell r="Q137">
            <v>212.51335117181603</v>
          </cell>
          <cell r="R137">
            <v>218.88875170697051</v>
          </cell>
          <cell r="S137">
            <v>225.45541425817964</v>
          </cell>
        </row>
        <row r="138">
          <cell r="K138" t="str">
            <v xml:space="preserve">  Growth</v>
          </cell>
          <cell r="M138">
            <v>0.19298439907957299</v>
          </cell>
          <cell r="N138">
            <v>0.15999999999999992</v>
          </cell>
          <cell r="O138">
            <v>0.15999999999999992</v>
          </cell>
          <cell r="P138">
            <v>9.000000000000008E-2</v>
          </cell>
          <cell r="Q138">
            <v>9.000000000000008E-2</v>
          </cell>
          <cell r="R138">
            <v>3.0000000000000027E-2</v>
          </cell>
          <cell r="S138">
            <v>3.0000000000000027E-2</v>
          </cell>
        </row>
        <row r="139">
          <cell r="K139" t="str">
            <v>Mass Market Revenue</v>
          </cell>
          <cell r="L139">
            <v>2084.8932356921678</v>
          </cell>
          <cell r="M139">
            <v>2875.5326019075469</v>
          </cell>
          <cell r="N139">
            <v>3799.4469985761707</v>
          </cell>
          <cell r="O139">
            <v>5065.4832256596364</v>
          </cell>
          <cell r="P139">
            <v>6278.9503796083345</v>
          </cell>
          <cell r="Q139">
            <v>7721.0443786274736</v>
          </cell>
          <cell r="R139">
            <v>8842.6643546752584</v>
          </cell>
          <cell r="S139">
            <v>10003.30173162961</v>
          </cell>
        </row>
        <row r="140">
          <cell r="K140" t="str">
            <v xml:space="preserve">  Growth</v>
          </cell>
          <cell r="M140">
            <v>0.37922295141069573</v>
          </cell>
          <cell r="N140">
            <v>0.32130200716755053</v>
          </cell>
          <cell r="O140">
            <v>0.33321591998991118</v>
          </cell>
          <cell r="P140">
            <v>0.23955605021092108</v>
          </cell>
          <cell r="Q140">
            <v>0.22967118894624772</v>
          </cell>
          <cell r="R140">
            <v>0.14526790950101609</v>
          </cell>
          <cell r="S140">
            <v>0.1312542612047356</v>
          </cell>
        </row>
        <row r="142">
          <cell r="K142" t="str">
            <v>Difference</v>
          </cell>
        </row>
        <row r="143">
          <cell r="K143" t="str">
            <v>Revenue Difference</v>
          </cell>
          <cell r="L143">
            <v>0.32284582348893309</v>
          </cell>
          <cell r="M143">
            <v>-465.40548591915649</v>
          </cell>
          <cell r="N143">
            <v>-633.00191947997064</v>
          </cell>
          <cell r="O143">
            <v>-1078.4402037704249</v>
          </cell>
          <cell r="P143">
            <v>-1131.4243091920107</v>
          </cell>
          <cell r="Q143">
            <v>-1385.1400519371236</v>
          </cell>
          <cell r="R143">
            <v>-1596.5399854971756</v>
          </cell>
          <cell r="S143">
            <v>-1838.9267269757038</v>
          </cell>
        </row>
        <row r="145">
          <cell r="K145" t="str">
            <v>Old Implied Win/Visitor/Day</v>
          </cell>
          <cell r="L145">
            <v>80.172750079516604</v>
          </cell>
          <cell r="M145">
            <v>94.332268285412383</v>
          </cell>
          <cell r="N145">
            <v>100.36080162213915</v>
          </cell>
          <cell r="O145">
            <v>111.5770691484219</v>
          </cell>
          <cell r="P145">
            <v>110.33942352347441</v>
          </cell>
          <cell r="Q145">
            <v>110.23249883584045</v>
          </cell>
          <cell r="R145">
            <v>110.38741701360888</v>
          </cell>
          <cell r="S145">
            <v>110.8313539524717</v>
          </cell>
        </row>
        <row r="146">
          <cell r="K146" t="str">
            <v xml:space="preserve">  Growth</v>
          </cell>
          <cell r="M146">
            <v>0.17661260455519034</v>
          </cell>
          <cell r="N146">
            <v>6.3907435348493857E-2</v>
          </cell>
          <cell r="O146">
            <v>0.1117594453710351</v>
          </cell>
          <cell r="P146">
            <v>-1.1092293733770298E-2</v>
          </cell>
          <cell r="Q146">
            <v>-9.6905244036571414E-4</v>
          </cell>
          <cell r="R146">
            <v>1.4053766303452342E-3</v>
          </cell>
          <cell r="S146">
            <v>4.0216262946717318E-3</v>
          </cell>
        </row>
        <row r="147">
          <cell r="K147" t="str">
            <v>Win/Visitor/Day Difference</v>
          </cell>
          <cell r="L147">
            <v>1.241475442371609E-2</v>
          </cell>
          <cell r="M147">
            <v>-15.267695149797547</v>
          </cell>
          <cell r="N147">
            <v>-16.720480662362121</v>
          </cell>
          <cell r="O147">
            <v>-23.754732140656017</v>
          </cell>
          <cell r="P147">
            <v>-19.882416405475553</v>
          </cell>
          <cell r="Q147">
            <v>-19.775491717841589</v>
          </cell>
          <cell r="R147">
            <v>-19.930409895610026</v>
          </cell>
          <cell r="S147">
            <v>-20.374346834472846</v>
          </cell>
        </row>
        <row r="148">
          <cell r="K148" t="str">
            <v>Growth Difference (abs)</v>
          </cell>
          <cell r="M148">
            <v>-0.19058765468629846</v>
          </cell>
          <cell r="N148">
            <v>-6.0338815848672844E-3</v>
          </cell>
          <cell r="O148">
            <v>-6.175944537103506E-2</v>
          </cell>
          <cell r="P148">
            <v>4.1092293733770324E-2</v>
          </cell>
          <cell r="Q148">
            <v>9.6905244036571414E-4</v>
          </cell>
          <cell r="R148">
            <v>-1.4053766303452342E-3</v>
          </cell>
          <cell r="S148">
            <v>-4.0216262946717318E-3</v>
          </cell>
        </row>
        <row r="150">
          <cell r="K150" t="str">
            <v>Old Implied Visitor Days</v>
          </cell>
          <cell r="L150">
            <v>26.000984596214064</v>
          </cell>
          <cell r="M150">
            <v>36.369419170521724</v>
          </cell>
          <cell r="N150">
            <v>45.426021265548947</v>
          </cell>
          <cell r="O150">
            <v>57.678756888600105</v>
          </cell>
          <cell r="P150">
            <v>69.413642786319514</v>
          </cell>
          <cell r="Q150">
            <v>85.35595665414364</v>
          </cell>
          <cell r="R150">
            <v>97.755438040750434</v>
          </cell>
          <cell r="S150">
            <v>110.58625583953445</v>
          </cell>
        </row>
        <row r="151">
          <cell r="K151" t="str">
            <v xml:space="preserve">  Growth</v>
          </cell>
          <cell r="M151">
            <v>0.39877084407862706</v>
          </cell>
          <cell r="N151">
            <v>0.24901695714645378</v>
          </cell>
          <cell r="O151">
            <v>0.26972944760943918</v>
          </cell>
          <cell r="P151">
            <v>0.20345247593293303</v>
          </cell>
          <cell r="Q151">
            <v>0.2296711889462475</v>
          </cell>
          <cell r="R151">
            <v>0.14526790950101609</v>
          </cell>
          <cell r="S151">
            <v>0.1312542612047356</v>
          </cell>
        </row>
        <row r="152">
          <cell r="K152" t="str">
            <v>Old Implied Length of Stay</v>
          </cell>
          <cell r="L152">
            <v>1.3895956785752857</v>
          </cell>
          <cell r="M152">
            <v>1.6532965482472421</v>
          </cell>
          <cell r="N152">
            <v>1.6916420344978582</v>
          </cell>
          <cell r="O152">
            <v>1.8538500875227113</v>
          </cell>
          <cell r="P152">
            <v>1.9314624035150187</v>
          </cell>
          <cell r="Q152">
            <v>2.0585379670445896</v>
          </cell>
          <cell r="R152">
            <v>2.0921429409258336</v>
          </cell>
          <cell r="S152">
            <v>2.1300520695885168</v>
          </cell>
        </row>
        <row r="153">
          <cell r="K153" t="str">
            <v xml:space="preserve">  Growth</v>
          </cell>
          <cell r="M153">
            <v>0.18976805536868224</v>
          </cell>
          <cell r="N153">
            <v>2.3193350455650741E-2</v>
          </cell>
          <cell r="O153">
            <v>9.5887930021201218E-2</v>
          </cell>
          <cell r="P153">
            <v>4.1865475808791075E-2</v>
          </cell>
          <cell r="Q153">
            <v>6.5792408538892122E-2</v>
          </cell>
          <cell r="R153">
            <v>1.6324680146410087E-2</v>
          </cell>
          <cell r="S153">
            <v>1.8119760328568768E-2</v>
          </cell>
        </row>
        <row r="154">
          <cell r="K154" t="str">
            <v>Length of Stay Difference</v>
          </cell>
          <cell r="L154">
            <v>2.1517896143841142E-4</v>
          </cell>
          <cell r="M154">
            <v>-0.26758635353152971</v>
          </cell>
          <cell r="N154">
            <v>-0.28183381826656118</v>
          </cell>
          <cell r="O154">
            <v>-0.39468425362073223</v>
          </cell>
          <cell r="P154">
            <v>-0.34803643658729366</v>
          </cell>
          <cell r="Q154">
            <v>-0.36929762953824063</v>
          </cell>
          <cell r="R154">
            <v>-0.37773568311430217</v>
          </cell>
          <cell r="S154">
            <v>-0.3915716816009831</v>
          </cell>
        </row>
        <row r="155">
          <cell r="K155" t="str">
            <v>Growth Difference (abs)</v>
          </cell>
          <cell r="M155">
            <v>-0.19271857399412995</v>
          </cell>
          <cell r="N155">
            <v>-5.8029743095557862E-3</v>
          </cell>
          <cell r="O155">
            <v>-6.0877765445323639E-2</v>
          </cell>
          <cell r="P155">
            <v>4.3292859274658646E-2</v>
          </cell>
          <cell r="Q155">
            <v>1.0338105510552253E-3</v>
          </cell>
          <cell r="R155">
            <v>-1.4263144453317E-3</v>
          </cell>
          <cell r="S155">
            <v>-4.0780966186682033E-3</v>
          </cell>
        </row>
        <row r="156">
          <cell r="T156" t="str">
            <v>Length of Stay Analysis</v>
          </cell>
        </row>
        <row r="157">
          <cell r="T157" t="str">
            <v>2010E</v>
          </cell>
          <cell r="U157" t="str">
            <v>Best Case -------------&gt; Worst Case</v>
          </cell>
          <cell r="AA157" t="str">
            <v>Forecast</v>
          </cell>
          <cell r="AB157" t="str">
            <v>If Stays Same</v>
          </cell>
        </row>
        <row r="159">
          <cell r="T159" t="str">
            <v>Room/Visitor Forecast</v>
          </cell>
        </row>
        <row r="160">
          <cell r="T160" t="str">
            <v>Total Visitors (mm)</v>
          </cell>
          <cell r="U160">
            <v>41.464358695646425</v>
          </cell>
          <cell r="V160">
            <v>41.464358695646425</v>
          </cell>
          <cell r="W160">
            <v>41.464358695646425</v>
          </cell>
          <cell r="X160">
            <v>41.464358695646425</v>
          </cell>
          <cell r="Y160">
            <v>41.464358695646425</v>
          </cell>
          <cell r="Z160">
            <v>41.464358695646425</v>
          </cell>
          <cell r="AA160">
            <v>41.464358695646425</v>
          </cell>
          <cell r="AB160">
            <v>41.464358695646425</v>
          </cell>
        </row>
        <row r="161">
          <cell r="T161" t="str">
            <v>Total Rooms</v>
          </cell>
          <cell r="U161">
            <v>48497.818840579712</v>
          </cell>
          <cell r="V161">
            <v>48497.818840579712</v>
          </cell>
          <cell r="W161">
            <v>48497.818840579712</v>
          </cell>
          <cell r="X161">
            <v>48497.818840579712</v>
          </cell>
          <cell r="Y161">
            <v>48497.818840579712</v>
          </cell>
          <cell r="Z161">
            <v>48497.818840579712</v>
          </cell>
          <cell r="AA161">
            <v>48497.818840579712</v>
          </cell>
          <cell r="AB161">
            <v>48497.818840579712</v>
          </cell>
        </row>
        <row r="162">
          <cell r="T162" t="str">
            <v>Room Nights Available (mm)</v>
          </cell>
          <cell r="U162">
            <v>17.701703876811592</v>
          </cell>
          <cell r="V162">
            <v>17.701703876811592</v>
          </cell>
          <cell r="W162">
            <v>17.701703876811592</v>
          </cell>
          <cell r="X162">
            <v>17.701703876811592</v>
          </cell>
          <cell r="Y162">
            <v>17.701703876811592</v>
          </cell>
          <cell r="Z162">
            <v>17.701703876811592</v>
          </cell>
          <cell r="AA162">
            <v>17.701703876811592</v>
          </cell>
          <cell r="AB162">
            <v>17.701703876811592</v>
          </cell>
        </row>
        <row r="164">
          <cell r="T164" t="str">
            <v>Key Assumptions</v>
          </cell>
        </row>
        <row r="165">
          <cell r="T165" t="str">
            <v>Overnight % of Total Vistors</v>
          </cell>
          <cell r="U165">
            <v>0.3</v>
          </cell>
          <cell r="V165">
            <v>0.3</v>
          </cell>
          <cell r="W165">
            <v>0.25</v>
          </cell>
          <cell r="X165">
            <v>0.2</v>
          </cell>
          <cell r="Y165">
            <v>0.25</v>
          </cell>
          <cell r="Z165">
            <v>0.2</v>
          </cell>
          <cell r="AA165">
            <v>0.26835005835411491</v>
          </cell>
          <cell r="AB165">
            <v>0.22024727773817879</v>
          </cell>
        </row>
        <row r="166">
          <cell r="T166" t="str">
            <v>Length of Stay</v>
          </cell>
          <cell r="U166">
            <v>1.8</v>
          </cell>
          <cell r="V166">
            <v>1.5</v>
          </cell>
          <cell r="W166">
            <v>1.5</v>
          </cell>
          <cell r="X166">
            <v>1.8</v>
          </cell>
          <cell r="Y166">
            <v>1.2</v>
          </cell>
          <cell r="Z166">
            <v>1.2</v>
          </cell>
          <cell r="AA166">
            <v>2.1697667219533114</v>
          </cell>
          <cell r="AB166">
            <v>1.1758333333333333</v>
          </cell>
        </row>
        <row r="167">
          <cell r="T167" t="str">
            <v>Visitors Per Room</v>
          </cell>
          <cell r="U167">
            <v>1.7226267109273483</v>
          </cell>
          <cell r="V167">
            <v>1.7226267109273483</v>
          </cell>
          <cell r="W167">
            <v>1.7226267109273483</v>
          </cell>
          <cell r="X167">
            <v>1.7226267109273483</v>
          </cell>
          <cell r="Y167">
            <v>1.7226267109273483</v>
          </cell>
          <cell r="Z167">
            <v>1.7226267109273483</v>
          </cell>
          <cell r="AA167">
            <v>1.7150671401583086</v>
          </cell>
          <cell r="AB167">
            <v>1.7226267109273483</v>
          </cell>
        </row>
        <row r="169">
          <cell r="T169" t="str">
            <v>Total Overnight Guests (mm)</v>
          </cell>
          <cell r="U169">
            <v>12.439307608693927</v>
          </cell>
          <cell r="V169">
            <v>12.439307608693927</v>
          </cell>
          <cell r="W169">
            <v>10.366089673911606</v>
          </cell>
          <cell r="X169">
            <v>8.2928717391292857</v>
          </cell>
          <cell r="Y169">
            <v>10.366089673911606</v>
          </cell>
          <cell r="Z169">
            <v>8.2928717391292857</v>
          </cell>
          <cell r="AA169">
            <v>11.12696307559267</v>
          </cell>
          <cell r="AB169">
            <v>9.132412125875506</v>
          </cell>
        </row>
        <row r="170">
          <cell r="T170" t="str">
            <v>Room Nights Sold (mm)</v>
          </cell>
          <cell r="U170">
            <v>12.998030016378516</v>
          </cell>
          <cell r="V170">
            <v>10.83169168031543</v>
          </cell>
          <cell r="W170">
            <v>9.026409733596191</v>
          </cell>
          <cell r="X170">
            <v>8.6653533442523436</v>
          </cell>
          <cell r="Y170">
            <v>7.221127786876953</v>
          </cell>
          <cell r="Z170">
            <v>5.7769022295015624</v>
          </cell>
          <cell r="AA170">
            <v>14.076949894565493</v>
          </cell>
          <cell r="AB170">
            <v>6.233616675757462</v>
          </cell>
        </row>
        <row r="171">
          <cell r="T171" t="str">
            <v>Occupancy</v>
          </cell>
          <cell r="U171">
            <v>0.73428129330563086</v>
          </cell>
          <cell r="V171">
            <v>0.61190107775469238</v>
          </cell>
          <cell r="W171">
            <v>0.50991756479557693</v>
          </cell>
          <cell r="X171">
            <v>0.4895208622037539</v>
          </cell>
          <cell r="Y171">
            <v>0.40793405183646159</v>
          </cell>
          <cell r="Z171">
            <v>0.32634724146916927</v>
          </cell>
          <cell r="AA171">
            <v>0.79523135131673062</v>
          </cell>
          <cell r="AB171">
            <v>0.35214783385475168</v>
          </cell>
        </row>
      </sheetData>
      <sheetData sheetId="7" refreshError="1">
        <row r="2">
          <cell r="B2">
            <v>2000</v>
          </cell>
          <cell r="C2">
            <v>2001</v>
          </cell>
          <cell r="D2">
            <v>2002</v>
          </cell>
          <cell r="E2">
            <v>2003</v>
          </cell>
          <cell r="F2">
            <v>2004</v>
          </cell>
          <cell r="G2">
            <v>2005</v>
          </cell>
          <cell r="H2" t="str">
            <v>2006E</v>
          </cell>
          <cell r="I2" t="str">
            <v>2007E</v>
          </cell>
          <cell r="J2" t="str">
            <v>2008E</v>
          </cell>
          <cell r="K2" t="str">
            <v>2009E</v>
          </cell>
          <cell r="L2" t="str">
            <v>2010E</v>
          </cell>
          <cell r="M2" t="str">
            <v>2011E</v>
          </cell>
          <cell r="N2" t="str">
            <v>2012E</v>
          </cell>
          <cell r="O2" t="str">
            <v>2013E</v>
          </cell>
          <cell r="P2" t="str">
            <v>2014E</v>
          </cell>
          <cell r="Q2" t="str">
            <v>2015E</v>
          </cell>
          <cell r="R2" t="str">
            <v>2016E</v>
          </cell>
          <cell r="S2" t="str">
            <v>2017E</v>
          </cell>
          <cell r="T2" t="str">
            <v>2018E</v>
          </cell>
          <cell r="U2" t="str">
            <v>2019E</v>
          </cell>
          <cell r="V2" t="str">
            <v>2020E</v>
          </cell>
        </row>
        <row r="4">
          <cell r="A4" t="str">
            <v>Total Visitors (mm)</v>
          </cell>
          <cell r="B4">
            <v>9.1622120000000002</v>
          </cell>
          <cell r="C4">
            <v>10.278973000000001</v>
          </cell>
          <cell r="D4">
            <v>11.530841000000001</v>
          </cell>
          <cell r="E4">
            <v>11.887875999999999</v>
          </cell>
          <cell r="F4">
            <v>16.672556</v>
          </cell>
          <cell r="G4">
            <v>18.711186999999999</v>
          </cell>
          <cell r="H4">
            <v>21.998122000000002</v>
          </cell>
          <cell r="I4">
            <v>26.853211459144823</v>
          </cell>
          <cell r="J4">
            <v>31.112956369452657</v>
          </cell>
          <cell r="K4">
            <v>35.938386716715485</v>
          </cell>
          <cell r="L4">
            <v>41.464358695646425</v>
          </cell>
          <cell r="M4">
            <v>46.725028260970944</v>
          </cell>
          <cell r="N4">
            <v>51.917160814241257</v>
          </cell>
          <cell r="O4">
            <v>57.225724977400361</v>
          </cell>
          <cell r="P4">
            <v>62.698682591780887</v>
          </cell>
          <cell r="Q4">
            <v>68.453241363633722</v>
          </cell>
          <cell r="R4">
            <v>74.501429399553246</v>
          </cell>
          <cell r="S4">
            <v>80.855743837087061</v>
          </cell>
          <cell r="T4">
            <v>87.529168173325587</v>
          </cell>
          <cell r="U4">
            <v>94.535190211282512</v>
          </cell>
          <cell r="V4">
            <v>101.88782064554243</v>
          </cell>
        </row>
        <row r="6">
          <cell r="A6" t="str">
            <v>Hotel Guests (mm)</v>
          </cell>
          <cell r="B6">
            <v>2.6898429999999998</v>
          </cell>
          <cell r="C6">
            <v>2.7668530000000002</v>
          </cell>
          <cell r="D6">
            <v>3.154801</v>
          </cell>
          <cell r="E6">
            <v>3.043272</v>
          </cell>
          <cell r="F6">
            <v>3.9561540000000006</v>
          </cell>
          <cell r="G6">
            <v>4.1210880000000003</v>
          </cell>
          <cell r="H6">
            <v>4.6808540000000001</v>
          </cell>
          <cell r="I6">
            <v>5.718392947220277</v>
          </cell>
          <cell r="J6">
            <v>7.2477650018330273</v>
          </cell>
          <cell r="K6">
            <v>9.0906170171459291</v>
          </cell>
          <cell r="L6">
            <v>11.12696307559267</v>
          </cell>
          <cell r="M6">
            <v>13.258229495648175</v>
          </cell>
          <cell r="N6">
            <v>15.479990331349189</v>
          </cell>
          <cell r="O6">
            <v>17.749476403510823</v>
          </cell>
          <cell r="P6">
            <v>20.089518865799334</v>
          </cell>
          <cell r="Q6">
            <v>22.556264011369748</v>
          </cell>
          <cell r="R6">
            <v>25.155235729013647</v>
          </cell>
          <cell r="S6">
            <v>27.892175686482574</v>
          </cell>
          <cell r="T6">
            <v>30.773051431514041</v>
          </cell>
          <cell r="U6">
            <v>33.804064783015832</v>
          </cell>
          <cell r="V6">
            <v>36.991660522529486</v>
          </cell>
        </row>
        <row r="7">
          <cell r="A7" t="str">
            <v>Other Overnight Visitors (mm)</v>
          </cell>
          <cell r="B7">
            <v>2.506875</v>
          </cell>
          <cell r="C7">
            <v>3.0749820000000003</v>
          </cell>
          <cell r="D7">
            <v>3.410358</v>
          </cell>
          <cell r="E7">
            <v>3.2652429999999999</v>
          </cell>
          <cell r="F7">
            <v>4.3672770000000005</v>
          </cell>
          <cell r="G7">
            <v>4.8929760000000009</v>
          </cell>
          <cell r="H7">
            <v>6.0018090000000006</v>
          </cell>
          <cell r="I7">
            <v>7.059522834707419</v>
          </cell>
          <cell r="J7">
            <v>7.7126858481298948</v>
          </cell>
          <cell r="K7">
            <v>8.3698007246177593</v>
          </cell>
          <cell r="L7">
            <v>8.8719887680948251</v>
          </cell>
          <cell r="M7">
            <v>9.2268683188186191</v>
          </cell>
          <cell r="N7">
            <v>9.5036743683831784</v>
          </cell>
          <cell r="O7">
            <v>9.788784599434674</v>
          </cell>
          <cell r="P7">
            <v>10.082448137417714</v>
          </cell>
          <cell r="Q7">
            <v>10.384921581540246</v>
          </cell>
          <cell r="R7">
            <v>10.696469228986453</v>
          </cell>
          <cell r="S7">
            <v>11.017363305856048</v>
          </cell>
          <cell r="T7">
            <v>11.347884205031729</v>
          </cell>
          <cell r="U7">
            <v>11.688320731182682</v>
          </cell>
          <cell r="V7">
            <v>12.038970353118163</v>
          </cell>
        </row>
        <row r="8">
          <cell r="A8" t="str">
            <v>Day Trippers (mm)</v>
          </cell>
          <cell r="B8">
            <v>3.9654940000000001</v>
          </cell>
          <cell r="C8">
            <v>4.4371380000000009</v>
          </cell>
          <cell r="D8">
            <v>4.9656820000000002</v>
          </cell>
          <cell r="E8">
            <v>5.5793609999999996</v>
          </cell>
          <cell r="F8">
            <v>8.3491250000000008</v>
          </cell>
          <cell r="G8">
            <v>9.6971229999999995</v>
          </cell>
          <cell r="H8">
            <v>11.315459000000001</v>
          </cell>
          <cell r="I8">
            <v>14.075295677217126</v>
          </cell>
          <cell r="J8">
            <v>16.152505519489736</v>
          </cell>
          <cell r="K8">
            <v>18.477968974951796</v>
          </cell>
          <cell r="L8">
            <v>21.465406851958932</v>
          </cell>
          <cell r="M8">
            <v>24.23993044650415</v>
          </cell>
          <cell r="N8">
            <v>26.933496114508888</v>
          </cell>
          <cell r="O8">
            <v>29.687463974454861</v>
          </cell>
          <cell r="P8">
            <v>32.526715588563839</v>
          </cell>
          <cell r="Q8">
            <v>35.512055770723727</v>
          </cell>
          <cell r="R8">
            <v>38.649724441553147</v>
          </cell>
          <cell r="S8">
            <v>41.946204844748436</v>
          </cell>
          <cell r="T8">
            <v>45.408232536779813</v>
          </cell>
          <cell r="U8">
            <v>49.042804697083994</v>
          </cell>
          <cell r="V8">
            <v>52.857189769894788</v>
          </cell>
        </row>
        <row r="10">
          <cell r="A10" t="str">
            <v>Avg Days Stayed for Hotel Guests</v>
          </cell>
          <cell r="B10">
            <v>2.2824999999999998</v>
          </cell>
          <cell r="C10">
            <v>2.2925</v>
          </cell>
          <cell r="D10">
            <v>2.229166666666667</v>
          </cell>
          <cell r="E10">
            <v>2.2216666666666667</v>
          </cell>
          <cell r="F10">
            <v>2.1758333333333333</v>
          </cell>
          <cell r="G10">
            <v>2.1758333333333333</v>
          </cell>
          <cell r="H10">
            <v>2.17</v>
          </cell>
          <cell r="I10">
            <v>2.2749478692713261</v>
          </cell>
          <cell r="J10">
            <v>2.439017908256258</v>
          </cell>
          <cell r="K10">
            <v>2.8461329551184145</v>
          </cell>
          <cell r="L10">
            <v>3.1697667219533114</v>
          </cell>
          <cell r="M10">
            <v>3.1697667219533114</v>
          </cell>
          <cell r="N10">
            <v>3.1697667219533114</v>
          </cell>
          <cell r="O10">
            <v>3.1697667219533114</v>
          </cell>
          <cell r="P10">
            <v>3.1697667219533114</v>
          </cell>
          <cell r="Q10">
            <v>3.1697667219533114</v>
          </cell>
          <cell r="R10">
            <v>3.1697667219533114</v>
          </cell>
          <cell r="S10">
            <v>3.1697667219533114</v>
          </cell>
          <cell r="T10">
            <v>3.1697667219533114</v>
          </cell>
          <cell r="U10">
            <v>3.1697667219533114</v>
          </cell>
          <cell r="V10">
            <v>3.1697667219533114</v>
          </cell>
        </row>
        <row r="11">
          <cell r="A11" t="str">
            <v>Avg Days Stayed for Other Overnight Visitors</v>
          </cell>
          <cell r="B11">
            <v>1.5</v>
          </cell>
          <cell r="C11">
            <v>1.5</v>
          </cell>
          <cell r="D11">
            <v>1.5</v>
          </cell>
          <cell r="E11">
            <v>1.5</v>
          </cell>
          <cell r="F11">
            <v>1.5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1.5</v>
          </cell>
          <cell r="V11">
            <v>1.5</v>
          </cell>
        </row>
        <row r="13">
          <cell r="A13" t="str">
            <v>Avg Days Stayed, Total</v>
          </cell>
          <cell r="B13">
            <v>1.5133215808038494</v>
          </cell>
          <cell r="C13">
            <v>1.4974863249956978</v>
          </cell>
          <cell r="D13">
            <v>1.4841758922152049</v>
          </cell>
          <cell r="E13">
            <v>1.4500791781475515</v>
          </cell>
          <cell r="F13">
            <v>1.4099801041304048</v>
          </cell>
          <cell r="G13">
            <v>1.3897241067603034</v>
          </cell>
          <cell r="H13">
            <v>1.385373973287356</v>
          </cell>
          <cell r="I13">
            <v>1.4029467513608507</v>
          </cell>
          <cell r="J13">
            <v>1.4591658339019793</v>
          </cell>
          <cell r="K13">
            <v>1.5834259669277251</v>
          </cell>
          <cell r="L13">
            <v>1.6892403375063489</v>
          </cell>
          <cell r="M13">
            <v>1.7144072578115315</v>
          </cell>
          <cell r="N13">
            <v>1.7384803879875339</v>
          </cell>
          <cell r="O13">
            <v>1.7585157820070056</v>
          </cell>
          <cell r="P13">
            <v>1.7756270395727334</v>
          </cell>
          <cell r="Q13">
            <v>1.7908214532408184</v>
          </cell>
          <cell r="R13">
            <v>1.8044037337967822</v>
          </cell>
          <cell r="S13">
            <v>1.8166172633742717</v>
          </cell>
          <cell r="T13">
            <v>1.8276587855618405</v>
          </cell>
          <cell r="U13">
            <v>1.8376890660667624</v>
          </cell>
          <cell r="V13">
            <v>1.8468407570351977</v>
          </cell>
        </row>
        <row r="15">
          <cell r="A15" t="str">
            <v>Mass Market Win / Visitor / Day</v>
          </cell>
          <cell r="B15">
            <v>45.918782073460292</v>
          </cell>
          <cell r="C15">
            <v>43.326028388302625</v>
          </cell>
          <cell r="D15">
            <v>41.536352189614121</v>
          </cell>
          <cell r="E15">
            <v>45.835413736513246</v>
          </cell>
          <cell r="F15">
            <v>59.798060816914834</v>
          </cell>
          <cell r="G15">
            <v>80.18516483394032</v>
          </cell>
          <cell r="H15">
            <v>79.064573135614836</v>
          </cell>
          <cell r="I15">
            <v>83.640320959777029</v>
          </cell>
          <cell r="J15">
            <v>87.822337007765881</v>
          </cell>
          <cell r="K15">
            <v>90.457007117998856</v>
          </cell>
          <cell r="L15">
            <v>90.457007117998856</v>
          </cell>
          <cell r="M15">
            <v>90.457007117998856</v>
          </cell>
          <cell r="N15">
            <v>90.457007117998856</v>
          </cell>
          <cell r="O15">
            <v>90.457007117998856</v>
          </cell>
          <cell r="P15">
            <v>90.457007117998856</v>
          </cell>
          <cell r="Q15">
            <v>90.457007117998856</v>
          </cell>
          <cell r="R15">
            <v>90.457007117998856</v>
          </cell>
          <cell r="S15">
            <v>90.457007117998856</v>
          </cell>
          <cell r="T15">
            <v>90.457007117998856</v>
          </cell>
          <cell r="U15">
            <v>90.457007117998856</v>
          </cell>
          <cell r="V15">
            <v>90.457007117998856</v>
          </cell>
        </row>
        <row r="16">
          <cell r="A16" t="str">
            <v xml:space="preserve">  Growth</v>
          </cell>
          <cell r="C16">
            <v>-5.6463903615949884E-2</v>
          </cell>
          <cell r="D16">
            <v>-4.1307183355206667E-2</v>
          </cell>
          <cell r="E16">
            <v>0.10350118198328628</v>
          </cell>
          <cell r="F16">
            <v>0.30462574551342403</v>
          </cell>
          <cell r="G16">
            <v>0.34093252755210868</v>
          </cell>
          <cell r="H16">
            <v>-1.3975050131108113E-2</v>
          </cell>
          <cell r="I16">
            <v>5.7873553763626573E-2</v>
          </cell>
          <cell r="J16">
            <v>5.0000000000000044E-2</v>
          </cell>
          <cell r="K16">
            <v>3.0000000000000027E-2</v>
          </cell>
          <cell r="L16">
            <v>0</v>
          </cell>
          <cell r="M16">
            <v>0</v>
          </cell>
          <cell r="N16">
            <v>0</v>
          </cell>
          <cell r="O16">
            <v>0</v>
          </cell>
          <cell r="P16">
            <v>0</v>
          </cell>
          <cell r="Q16">
            <v>0</v>
          </cell>
          <cell r="R16">
            <v>0</v>
          </cell>
          <cell r="S16">
            <v>0</v>
          </cell>
          <cell r="T16">
            <v>0</v>
          </cell>
          <cell r="U16">
            <v>0</v>
          </cell>
          <cell r="V16">
            <v>0</v>
          </cell>
        </row>
        <row r="17">
          <cell r="A17" t="str">
            <v>Mass Market Win / Visitor</v>
          </cell>
          <cell r="B17">
            <v>69.485441851167352</v>
          </cell>
          <cell r="C17">
            <v>64.879130958528137</v>
          </cell>
          <cell r="D17">
            <v>61.631618489333086</v>
          </cell>
          <cell r="E17">
            <v>66.388826584460716</v>
          </cell>
          <cell r="F17">
            <v>84.303626644021449</v>
          </cell>
          <cell r="G17">
            <v>111.44221269958217</v>
          </cell>
          <cell r="H17">
            <v>109.56058503486751</v>
          </cell>
          <cell r="I17">
            <v>117.91681169731642</v>
          </cell>
          <cell r="J17">
            <v>128.14735361515733</v>
          </cell>
          <cell r="K17">
            <v>143.23197396120545</v>
          </cell>
          <cell r="L17">
            <v>152.8036252338226</v>
          </cell>
          <cell r="M17">
            <v>155.08014952300658</v>
          </cell>
          <cell r="N17">
            <v>157.25773283068975</v>
          </cell>
          <cell r="O17">
            <v>159.070074610121</v>
          </cell>
          <cell r="P17">
            <v>160.61790775754196</v>
          </cell>
          <cell r="Q17">
            <v>161.99234894286977</v>
          </cell>
          <cell r="R17">
            <v>163.22096139179925</v>
          </cell>
          <cell r="S17">
            <v>164.32576072372612</v>
          </cell>
          <cell r="T17">
            <v>165.32454377484052</v>
          </cell>
          <cell r="U17">
            <v>166.23185292986977</v>
          </cell>
          <cell r="V17">
            <v>167.05968750494333</v>
          </cell>
        </row>
        <row r="18">
          <cell r="A18" t="str">
            <v xml:space="preserve">  Growth</v>
          </cell>
          <cell r="C18">
            <v>-6.6291740685848866E-2</v>
          </cell>
          <cell r="D18">
            <v>-5.0054808398573014E-2</v>
          </cell>
          <cell r="E18">
            <v>7.7187784642569257E-2</v>
          </cell>
          <cell r="F18">
            <v>0.26984661397455634</v>
          </cell>
          <cell r="G18">
            <v>0.32191481121156862</v>
          </cell>
          <cell r="H18">
            <v>-1.6884335110852633E-2</v>
          </cell>
          <cell r="I18">
            <v>7.6270372778582285E-2</v>
          </cell>
          <cell r="J18">
            <v>8.6760672804671257E-2</v>
          </cell>
          <cell r="K18">
            <v>0.11771308513595335</v>
          </cell>
          <cell r="L18">
            <v>6.6826219089947347E-2</v>
          </cell>
          <cell r="M18">
            <v>1.4898365701078164E-2</v>
          </cell>
          <cell r="N18">
            <v>1.4041663709900565E-2</v>
          </cell>
          <cell r="O18">
            <v>1.1524659212672761E-2</v>
          </cell>
          <cell r="P18">
            <v>9.730511230441552E-3</v>
          </cell>
          <cell r="Q18">
            <v>8.5572101175828141E-3</v>
          </cell>
          <cell r="R18">
            <v>7.5843856635646745E-3</v>
          </cell>
          <cell r="S18">
            <v>6.7687343739808448E-3</v>
          </cell>
          <cell r="T18">
            <v>6.0780674114364608E-3</v>
          </cell>
          <cell r="U18">
            <v>5.4880487452906301E-3</v>
          </cell>
          <cell r="V18">
            <v>4.9799996840724781E-3</v>
          </cell>
        </row>
        <row r="20">
          <cell r="A20" t="str">
            <v>Mass Market Revenue</v>
          </cell>
          <cell r="B20">
            <v>636.64034915406774</v>
          </cell>
          <cell r="C20">
            <v>666.8908353861749</v>
          </cell>
          <cell r="D20">
            <v>710.66439337316001</v>
          </cell>
          <cell r="E20">
            <v>789.22213822157244</v>
          </cell>
          <cell r="F20">
            <v>1405.5569362255396</v>
          </cell>
          <cell r="G20">
            <v>2085.2160815156567</v>
          </cell>
          <cell r="H20">
            <v>2410.12711598839</v>
          </cell>
          <cell r="I20">
            <v>3166.4450790961996</v>
          </cell>
          <cell r="J20">
            <v>3987.0430218892116</v>
          </cell>
          <cell r="K20">
            <v>5147.5260704163238</v>
          </cell>
          <cell r="L20">
            <v>6335.90432669035</v>
          </cell>
          <cell r="M20">
            <v>7246.1243691780828</v>
          </cell>
          <cell r="N20">
            <v>8164.3750046539062</v>
          </cell>
          <cell r="O20">
            <v>9102.9003417733402</v>
          </cell>
          <cell r="P20">
            <v>10070.531217046064</v>
          </cell>
          <cell r="Q20">
            <v>11088.901361248239</v>
          </cell>
          <cell r="R20">
            <v>12160.194931658338</v>
          </cell>
          <cell r="S20">
            <v>13286.68161491206</v>
          </cell>
          <cell r="T20">
            <v>14470.719795246345</v>
          </cell>
          <cell r="U20">
            <v>15714.75983589918</v>
          </cell>
          <cell r="V20">
            <v>17021.347477604031</v>
          </cell>
        </row>
        <row r="21">
          <cell r="A21" t="str">
            <v xml:space="preserve">  Growth</v>
          </cell>
          <cell r="C21">
            <v>4.7515816853742177E-2</v>
          </cell>
          <cell r="D21">
            <v>6.5638265911447391E-2</v>
          </cell>
          <cell r="E21">
            <v>0.11054127036749239</v>
          </cell>
          <cell r="F21">
            <v>0.78093957094616173</v>
          </cell>
          <cell r="G21">
            <v>0.48355148608583787</v>
          </cell>
          <cell r="H21">
            <v>0.15581648221155531</v>
          </cell>
          <cell r="I21">
            <v>0.31380832906717648</v>
          </cell>
          <cell r="J21">
            <v>0.25915432679073525</v>
          </cell>
          <cell r="K21">
            <v>0.29106358826728473</v>
          </cell>
          <cell r="L21">
            <v>0.23086396067109427</v>
          </cell>
          <cell r="M21">
            <v>0.14366063557073927</v>
          </cell>
          <cell r="N21">
            <v>0.12672300235166678</v>
          </cell>
          <cell r="O21">
            <v>0.11495372720930264</v>
          </cell>
          <cell r="P21">
            <v>0.10629918366042657</v>
          </cell>
          <cell r="Q21">
            <v>0.10112377612001366</v>
          </cell>
          <cell r="R21">
            <v>9.6609531955427874E-2</v>
          </cell>
          <cell r="S21">
            <v>9.2637222477493619E-2</v>
          </cell>
          <cell r="T21">
            <v>8.9114664944285327E-2</v>
          </cell>
          <cell r="U21">
            <v>8.5969465116828792E-2</v>
          </cell>
          <cell r="V21">
            <v>8.3143977722144324E-2</v>
          </cell>
        </row>
        <row r="23">
          <cell r="A23" t="str">
            <v>Hotel Guest Revenue</v>
          </cell>
          <cell r="B23">
            <v>394.68999207685266</v>
          </cell>
          <cell r="C23">
            <v>384.7444343380634</v>
          </cell>
          <cell r="D23">
            <v>408.9506464278582</v>
          </cell>
          <cell r="E23">
            <v>433.85924967758473</v>
          </cell>
          <cell r="F23">
            <v>669.15891379397056</v>
          </cell>
          <cell r="G23">
            <v>826.85504545420372</v>
          </cell>
          <cell r="H23">
            <v>923.55890479494735</v>
          </cell>
          <cell r="I23">
            <v>1196.8888473879201</v>
          </cell>
          <cell r="J23">
            <v>1707.7204044478058</v>
          </cell>
          <cell r="K23">
            <v>2574.4439751123241</v>
          </cell>
          <cell r="L23">
            <v>3509.4482935296624</v>
          </cell>
          <cell r="M23">
            <v>4181.6505152955933</v>
          </cell>
          <cell r="N23">
            <v>4882.3947094221339</v>
          </cell>
          <cell r="O23">
            <v>5598.1914608832458</v>
          </cell>
          <cell r="P23">
            <v>6336.241724038985</v>
          </cell>
          <cell r="Q23">
            <v>7114.2540606381672</v>
          </cell>
          <cell r="R23">
            <v>7933.9707072606698</v>
          </cell>
          <cell r="S23">
            <v>8797.2025880513629</v>
          </cell>
          <cell r="T23">
            <v>9705.8318697867271</v>
          </cell>
          <cell r="U23">
            <v>10661.814608457495</v>
          </cell>
          <cell r="V23">
            <v>11667.183490559475</v>
          </cell>
        </row>
        <row r="24">
          <cell r="A24" t="str">
            <v xml:space="preserve">  Growth</v>
          </cell>
          <cell r="C24">
            <v>-2.5198403654614787E-2</v>
          </cell>
          <cell r="D24">
            <v>6.2915041594924004E-2</v>
          </cell>
          <cell r="E24">
            <v>6.0908580209618535E-2</v>
          </cell>
          <cell r="F24">
            <v>0.54234101103352028</v>
          </cell>
          <cell r="G24">
            <v>0.23566320108647121</v>
          </cell>
          <cell r="H24">
            <v>0.11695382385629971</v>
          </cell>
          <cell r="I24">
            <v>0.29595290692764054</v>
          </cell>
          <cell r="J24">
            <v>0.42679949618940816</v>
          </cell>
          <cell r="K24">
            <v>0.507532479208606</v>
          </cell>
          <cell r="L24">
            <v>0.36318689684305272</v>
          </cell>
          <cell r="M24">
            <v>0.1915407111155516</v>
          </cell>
          <cell r="N24">
            <v>0.16757598263254336</v>
          </cell>
          <cell r="O24">
            <v>0.14660771897031477</v>
          </cell>
          <cell r="P24">
            <v>0.13183726714471722</v>
          </cell>
          <cell r="Q24">
            <v>0.12278766664590646</v>
          </cell>
          <cell r="R24">
            <v>0.11522172804564867</v>
          </cell>
          <cell r="S24">
            <v>0.10880199998730999</v>
          </cell>
          <cell r="T24">
            <v>0.10328616087226328</v>
          </cell>
          <cell r="U24">
            <v>9.849570356216919E-2</v>
          </cell>
          <cell r="V24">
            <v>9.4296226207541745E-2</v>
          </cell>
        </row>
        <row r="25">
          <cell r="A25" t="str">
            <v>Other Overnight Revenue</v>
          </cell>
          <cell r="B25">
            <v>120.86827915092604</v>
          </cell>
          <cell r="C25">
            <v>139.88809529679557</v>
          </cell>
          <cell r="D25">
            <v>148.7365225297014</v>
          </cell>
          <cell r="E25">
            <v>157.1469520480164</v>
          </cell>
          <cell r="F25">
            <v>254.62582825905557</v>
          </cell>
          <cell r="G25">
            <v>353.10967837966263</v>
          </cell>
          <cell r="H25">
            <v>454.78696154865105</v>
          </cell>
          <cell r="I25">
            <v>534.93520703173112</v>
          </cell>
          <cell r="J25">
            <v>584.4286218122362</v>
          </cell>
          <cell r="K25">
            <v>634.22148894051918</v>
          </cell>
          <cell r="L25">
            <v>678.99752605971992</v>
          </cell>
          <cell r="M25">
            <v>713.2190013731298</v>
          </cell>
          <cell r="N25">
            <v>741.96172712846692</v>
          </cell>
          <cell r="O25">
            <v>771.86278473174434</v>
          </cell>
          <cell r="P25">
            <v>802.96885495643357</v>
          </cell>
          <cell r="Q25">
            <v>835.32849981117783</v>
          </cell>
          <cell r="R25">
            <v>868.9922383535685</v>
          </cell>
          <cell r="S25">
            <v>904.0126255592171</v>
          </cell>
          <cell r="T25">
            <v>940.44433436925351</v>
          </cell>
          <cell r="U25">
            <v>978.34424104433458</v>
          </cell>
          <cell r="V25">
            <v>1017.7715139584216</v>
          </cell>
        </row>
        <row r="26">
          <cell r="A26" t="str">
            <v xml:space="preserve">  Growth</v>
          </cell>
          <cell r="C26">
            <v>0.15735986546246616</v>
          </cell>
          <cell r="D26">
            <v>6.325361149662112E-2</v>
          </cell>
          <cell r="E26">
            <v>5.6545825969781527E-2</v>
          </cell>
          <cell r="F26">
            <v>0.62030395716013897</v>
          </cell>
          <cell r="G26">
            <v>0.38677871288222132</v>
          </cell>
          <cell r="H26">
            <v>0.2879481628358691</v>
          </cell>
          <cell r="I26">
            <v>0.17623250501764032</v>
          </cell>
          <cell r="J26">
            <v>9.2522260883025398E-2</v>
          </cell>
          <cell r="K26">
            <v>8.5199227535916799E-2</v>
          </cell>
          <cell r="L26">
            <v>7.0600000000000218E-2</v>
          </cell>
          <cell r="M26">
            <v>5.04E-2</v>
          </cell>
          <cell r="N26">
            <v>4.0300000000000002E-2</v>
          </cell>
          <cell r="O26">
            <v>4.0300000000000225E-2</v>
          </cell>
          <cell r="P26">
            <v>4.0300000000000002E-2</v>
          </cell>
          <cell r="Q26">
            <v>4.0300000000000002E-2</v>
          </cell>
          <cell r="R26">
            <v>4.0300000000000225E-2</v>
          </cell>
          <cell r="S26">
            <v>4.029999999999978E-2</v>
          </cell>
          <cell r="T26">
            <v>4.0300000000000002E-2</v>
          </cell>
          <cell r="U26">
            <v>4.0300000000000225E-2</v>
          </cell>
          <cell r="V26">
            <v>4.0300000000000225E-2</v>
          </cell>
        </row>
        <row r="27">
          <cell r="A27" t="str">
            <v>Day Tripper Revenue</v>
          </cell>
          <cell r="B27">
            <v>121.08207792628903</v>
          </cell>
          <cell r="C27">
            <v>142.25830575131593</v>
          </cell>
          <cell r="D27">
            <v>152.9772244156004</v>
          </cell>
          <cell r="E27">
            <v>198.21593649597131</v>
          </cell>
          <cell r="F27">
            <v>481.77219417251354</v>
          </cell>
          <cell r="G27">
            <v>905.2513576817903</v>
          </cell>
          <cell r="H27">
            <v>1031.7812496447914</v>
          </cell>
          <cell r="I27">
            <v>1434.6210246765484</v>
          </cell>
          <cell r="J27">
            <v>1694.8939956291697</v>
          </cell>
          <cell r="K27">
            <v>1938.8606063634807</v>
          </cell>
          <cell r="L27">
            <v>2147.4585071009678</v>
          </cell>
          <cell r="M27">
            <v>2351.2548525093598</v>
          </cell>
          <cell r="N27">
            <v>2540.0185681033054</v>
          </cell>
          <cell r="O27">
            <v>2732.8460961583501</v>
          </cell>
          <cell r="P27">
            <v>2931.3206380506454</v>
          </cell>
          <cell r="Q27">
            <v>3139.3188007988947</v>
          </cell>
          <cell r="R27">
            <v>3357.2319860440994</v>
          </cell>
          <cell r="S27">
            <v>3585.4664013014803</v>
          </cell>
          <cell r="T27">
            <v>3824.443591090364</v>
          </cell>
          <cell r="U27">
            <v>4074.6009863973509</v>
          </cell>
          <cell r="V27">
            <v>4336.3924730861345</v>
          </cell>
        </row>
        <row r="28">
          <cell r="A28" t="str">
            <v xml:space="preserve">  Growth</v>
          </cell>
          <cell r="C28">
            <v>0.17489151315951412</v>
          </cell>
          <cell r="D28">
            <v>7.5348280071761753E-2</v>
          </cell>
          <cell r="E28">
            <v>0.29572187790169835</v>
          </cell>
          <cell r="F28">
            <v>1.430542178843957</v>
          </cell>
          <cell r="G28">
            <v>0.8790029159666215</v>
          </cell>
          <cell r="H28">
            <v>0.13977321424518463</v>
          </cell>
          <cell r="I28">
            <v>0.39043137794027705</v>
          </cell>
          <cell r="J28">
            <v>0.18142280537907407</v>
          </cell>
          <cell r="K28">
            <v>0.14394210573844579</v>
          </cell>
          <cell r="L28">
            <v>0.10758787921774982</v>
          </cell>
          <cell r="M28">
            <v>9.490117957320332E-2</v>
          </cell>
          <cell r="N28">
            <v>8.0282116331408693E-2</v>
          </cell>
          <cell r="O28">
            <v>7.5915794662490876E-2</v>
          </cell>
          <cell r="P28">
            <v>7.2625583332810884E-2</v>
          </cell>
          <cell r="Q28">
            <v>7.0957151547423436E-2</v>
          </cell>
          <cell r="R28">
            <v>6.9414162457712258E-2</v>
          </cell>
          <cell r="S28">
            <v>6.7982914557630725E-2</v>
          </cell>
          <cell r="T28">
            <v>6.6651632742155353E-2</v>
          </cell>
          <cell r="U28">
            <v>6.5410141200609617E-2</v>
          </cell>
          <cell r="V28">
            <v>6.4249600773854443E-2</v>
          </cell>
        </row>
        <row r="31">
          <cell r="A31" t="str">
            <v>Hotel Guest Win / Visitor / Day</v>
          </cell>
          <cell r="B31">
            <v>64.286294902844404</v>
          </cell>
          <cell r="C31">
            <v>60.656439743623672</v>
          </cell>
          <cell r="D31">
            <v>58.150893065459762</v>
          </cell>
          <cell r="E31">
            <v>64.169579231118547</v>
          </cell>
          <cell r="F31">
            <v>77.737479061989291</v>
          </cell>
          <cell r="G31">
            <v>92.212939559031355</v>
          </cell>
          <cell r="H31">
            <v>90.924259105957049</v>
          </cell>
          <cell r="I31">
            <v>92.004353055754734</v>
          </cell>
          <cell r="J31">
            <v>96.604570708542482</v>
          </cell>
          <cell r="K31">
            <v>99.502707829798752</v>
          </cell>
          <cell r="L31">
            <v>99.502707829798752</v>
          </cell>
          <cell r="M31">
            <v>99.502707829798752</v>
          </cell>
          <cell r="N31">
            <v>99.502707829798752</v>
          </cell>
          <cell r="O31">
            <v>99.502707829798752</v>
          </cell>
          <cell r="P31">
            <v>99.502707829798752</v>
          </cell>
          <cell r="Q31">
            <v>99.502707829798752</v>
          </cell>
          <cell r="R31">
            <v>99.502707829798752</v>
          </cell>
          <cell r="S31">
            <v>99.502707829798752</v>
          </cell>
          <cell r="T31">
            <v>99.502707829798752</v>
          </cell>
          <cell r="U31">
            <v>99.502707829798752</v>
          </cell>
          <cell r="V31">
            <v>99.502707829798752</v>
          </cell>
        </row>
        <row r="32">
          <cell r="A32" t="str">
            <v xml:space="preserve">  Growth</v>
          </cell>
          <cell r="C32">
            <v>-5.6463903615949773E-2</v>
          </cell>
          <cell r="D32">
            <v>-4.1307183355206667E-2</v>
          </cell>
          <cell r="E32">
            <v>0.10350118198328651</v>
          </cell>
          <cell r="F32">
            <v>0.2114381922624653</v>
          </cell>
          <cell r="G32">
            <v>0.18620954360378827</v>
          </cell>
          <cell r="H32">
            <v>-1.3975050131108113E-2</v>
          </cell>
          <cell r="I32">
            <v>1.1879051426077814E-2</v>
          </cell>
          <cell r="J32">
            <v>5.0000000000000044E-2</v>
          </cell>
          <cell r="K32">
            <v>3.0000000000000027E-2</v>
          </cell>
          <cell r="L32">
            <v>0</v>
          </cell>
          <cell r="M32">
            <v>0</v>
          </cell>
          <cell r="N32">
            <v>0</v>
          </cell>
          <cell r="O32">
            <v>0</v>
          </cell>
          <cell r="P32">
            <v>0</v>
          </cell>
          <cell r="Q32">
            <v>0</v>
          </cell>
          <cell r="R32">
            <v>0</v>
          </cell>
          <cell r="S32">
            <v>0</v>
          </cell>
          <cell r="T32">
            <v>0</v>
          </cell>
          <cell r="U32">
            <v>0</v>
          </cell>
          <cell r="V32">
            <v>0</v>
          </cell>
        </row>
        <row r="33">
          <cell r="A33" t="str">
            <v xml:space="preserve">  Premium/Discount to Total</v>
          </cell>
          <cell r="B33">
            <v>1.4</v>
          </cell>
          <cell r="C33">
            <v>1.4</v>
          </cell>
          <cell r="D33">
            <v>1.4</v>
          </cell>
          <cell r="E33">
            <v>1.4</v>
          </cell>
          <cell r="F33">
            <v>1.3</v>
          </cell>
          <cell r="G33">
            <v>1.1499999999999999</v>
          </cell>
          <cell r="H33">
            <v>1.1499999999999999</v>
          </cell>
          <cell r="I33">
            <v>1.1000000000000001</v>
          </cell>
          <cell r="J33">
            <v>1.1000000000000001</v>
          </cell>
          <cell r="K33">
            <v>1.1000000000000001</v>
          </cell>
          <cell r="L33">
            <v>1.1000000000000001</v>
          </cell>
          <cell r="M33">
            <v>1.1000000000000001</v>
          </cell>
          <cell r="N33">
            <v>1.1000000000000001</v>
          </cell>
          <cell r="O33">
            <v>1.1000000000000001</v>
          </cell>
          <cell r="P33">
            <v>1.1000000000000001</v>
          </cell>
          <cell r="Q33">
            <v>1.1000000000000001</v>
          </cell>
          <cell r="R33">
            <v>1.1000000000000001</v>
          </cell>
          <cell r="S33">
            <v>1.1000000000000001</v>
          </cell>
          <cell r="T33">
            <v>1.1000000000000001</v>
          </cell>
          <cell r="U33">
            <v>1.1000000000000001</v>
          </cell>
          <cell r="V33">
            <v>1.1000000000000001</v>
          </cell>
        </row>
        <row r="34">
          <cell r="A34" t="str">
            <v xml:space="preserve">  Premium/Discount to Day Tripper</v>
          </cell>
          <cell r="B34">
            <v>2.1054058625806835</v>
          </cell>
          <cell r="C34">
            <v>1.8919176093776393</v>
          </cell>
          <cell r="D34">
            <v>1.8875936864601077</v>
          </cell>
          <cell r="E34">
            <v>1.8062384593167644</v>
          </cell>
          <cell r="F34">
            <v>1.3471925896184505</v>
          </cell>
          <cell r="G34">
            <v>0.98779218557086967</v>
          </cell>
          <cell r="H34">
            <v>0.99715877408417064</v>
          </cell>
          <cell r="I34">
            <v>0.90266938137393649</v>
          </cell>
          <cell r="J34">
            <v>0.92065100566860125</v>
          </cell>
          <cell r="K34">
            <v>0.94829300371995295</v>
          </cell>
          <cell r="L34">
            <v>0.99460180458695446</v>
          </cell>
          <cell r="M34">
            <v>1.0258091395150217</v>
          </cell>
          <cell r="N34">
            <v>1.0550929935595657</v>
          </cell>
          <cell r="O34">
            <v>1.0809181893595718</v>
          </cell>
          <cell r="P34">
            <v>1.1041085836396689</v>
          </cell>
          <cell r="Q34">
            <v>1.1255772140410283</v>
          </cell>
          <cell r="R34">
            <v>1.1455128078121373</v>
          </cell>
          <cell r="S34">
            <v>1.1640775559131913</v>
          </cell>
          <cell r="T34">
            <v>1.1814116191178008</v>
          </cell>
          <cell r="U34">
            <v>1.1976367460811164</v>
          </cell>
          <cell r="V34">
            <v>1.2128592010572838</v>
          </cell>
        </row>
        <row r="35">
          <cell r="A35" t="str">
            <v>Hotel Guest Win / Visitor / Trip</v>
          </cell>
          <cell r="B35">
            <v>146.73346811574234</v>
          </cell>
          <cell r="C35">
            <v>139.05488811225726</v>
          </cell>
          <cell r="D35">
            <v>129.62803245842073</v>
          </cell>
          <cell r="E35">
            <v>142.56341519180171</v>
          </cell>
          <cell r="F35">
            <v>169.14379819237837</v>
          </cell>
          <cell r="G35">
            <v>200.63998765719239</v>
          </cell>
          <cell r="H35">
            <v>197.3056422599268</v>
          </cell>
          <cell r="I35">
            <v>209.30510694787603</v>
          </cell>
          <cell r="J35">
            <v>235.62027797754305</v>
          </cell>
          <cell r="K35">
            <v>283.19793587790934</v>
          </cell>
          <cell r="L35">
            <v>315.40037202313931</v>
          </cell>
          <cell r="M35">
            <v>315.40037202313931</v>
          </cell>
          <cell r="N35">
            <v>315.40037202313931</v>
          </cell>
          <cell r="O35">
            <v>315.40037202313931</v>
          </cell>
          <cell r="P35">
            <v>315.40037202313925</v>
          </cell>
          <cell r="Q35">
            <v>315.40037202313931</v>
          </cell>
          <cell r="R35">
            <v>315.40037202313931</v>
          </cell>
          <cell r="S35">
            <v>315.40037202313925</v>
          </cell>
          <cell r="T35">
            <v>315.40037202313925</v>
          </cell>
          <cell r="U35">
            <v>315.40037202313931</v>
          </cell>
          <cell r="V35">
            <v>315.40037202313931</v>
          </cell>
        </row>
        <row r="36">
          <cell r="A36" t="str">
            <v xml:space="preserve">  Growth</v>
          </cell>
          <cell r="C36">
            <v>-5.233012006114568E-2</v>
          </cell>
          <cell r="D36">
            <v>-6.7792335687087424E-2</v>
          </cell>
          <cell r="E36">
            <v>9.9788467726146468E-2</v>
          </cell>
          <cell r="F36">
            <v>0.18644603150686301</v>
          </cell>
          <cell r="G36">
            <v>0.18620954360378805</v>
          </cell>
          <cell r="H36">
            <v>-1.6618548656225807E-2</v>
          </cell>
          <cell r="I36">
            <v>6.0816632259007353E-2</v>
          </cell>
          <cell r="J36">
            <v>0.1257263686175627</v>
          </cell>
          <cell r="K36">
            <v>0.20192514120071148</v>
          </cell>
          <cell r="L36">
            <v>0.11370999596237485</v>
          </cell>
          <cell r="M36">
            <v>0</v>
          </cell>
          <cell r="N36">
            <v>0</v>
          </cell>
          <cell r="O36">
            <v>0</v>
          </cell>
          <cell r="P36">
            <v>0</v>
          </cell>
          <cell r="Q36">
            <v>0</v>
          </cell>
          <cell r="R36">
            <v>0</v>
          </cell>
          <cell r="S36">
            <v>0</v>
          </cell>
          <cell r="T36">
            <v>0</v>
          </cell>
          <cell r="U36">
            <v>0</v>
          </cell>
          <cell r="V36">
            <v>0</v>
          </cell>
        </row>
        <row r="37">
          <cell r="A37" t="str">
            <v xml:space="preserve">  Premium/Discount to Total</v>
          </cell>
          <cell r="B37">
            <v>2.1117152630335791</v>
          </cell>
          <cell r="C37">
            <v>2.1432914722785599</v>
          </cell>
          <cell r="D37">
            <v>2.1032715939604305</v>
          </cell>
          <cell r="E37">
            <v>2.1474007378399844</v>
          </cell>
          <cell r="F37">
            <v>2.0063644344341327</v>
          </cell>
          <cell r="G37">
            <v>1.8003948665131329</v>
          </cell>
          <cell r="H37">
            <v>1.8008816053431491</v>
          </cell>
          <cell r="I37">
            <v>1.77502345878505</v>
          </cell>
          <cell r="J37">
            <v>1.8386667483211592</v>
          </cell>
          <cell r="K37">
            <v>1.9771977446503239</v>
          </cell>
          <cell r="L37">
            <v>2.0640895891082982</v>
          </cell>
          <cell r="M37">
            <v>2.0337894501213953</v>
          </cell>
          <cell r="N37">
            <v>2.0056271087331048</v>
          </cell>
          <cell r="O37">
            <v>1.9827762877221384</v>
          </cell>
          <cell r="P37">
            <v>1.9636687865418254</v>
          </cell>
          <cell r="Q37">
            <v>1.9470078314277195</v>
          </cell>
          <cell r="R37">
            <v>1.9323521276537834</v>
          </cell>
          <cell r="S37">
            <v>1.9193604863537399</v>
          </cell>
          <cell r="T37">
            <v>1.9077649623076571</v>
          </cell>
          <cell r="U37">
            <v>1.8973522009419039</v>
          </cell>
          <cell r="V37">
            <v>1.8879502094950738</v>
          </cell>
        </row>
        <row r="38">
          <cell r="A38" t="str">
            <v xml:space="preserve">  Premium/Discount to Day Tripper</v>
          </cell>
          <cell r="B38">
            <v>4.8055888813404097</v>
          </cell>
          <cell r="C38">
            <v>4.3372211194982375</v>
          </cell>
          <cell r="D38">
            <v>4.2077609260673237</v>
          </cell>
          <cell r="E38">
            <v>4.0128597771154118</v>
          </cell>
          <cell r="F38">
            <v>2.9312665429114784</v>
          </cell>
          <cell r="G38">
            <v>2.1492711637712838</v>
          </cell>
          <cell r="H38">
            <v>2.1638345397626502</v>
          </cell>
          <cell r="I38">
            <v>2.0535257858131026</v>
          </cell>
          <cell r="J38">
            <v>2.245484290079852</v>
          </cell>
          <cell r="K38">
            <v>2.6989679689955874</v>
          </cell>
          <cell r="L38">
            <v>3.1526557017744392</v>
          </cell>
          <cell r="M38">
            <v>3.2515756735102777</v>
          </cell>
          <cell r="N38">
            <v>3.344398659551211</v>
          </cell>
          <cell r="O38">
            <v>3.4262585057859991</v>
          </cell>
          <cell r="P38">
            <v>3.4997666458440264</v>
          </cell>
          <cell r="Q38">
            <v>3.5678171960561711</v>
          </cell>
          <cell r="R38">
            <v>3.6310083777742124</v>
          </cell>
          <cell r="S38">
            <v>3.6898542985063782</v>
          </cell>
          <cell r="T38">
            <v>3.7447992352085855</v>
          </cell>
          <cell r="U38">
            <v>3.7962291027163708</v>
          </cell>
          <cell r="V38">
            <v>3.8444807339262592</v>
          </cell>
        </row>
        <row r="40">
          <cell r="A40" t="str">
            <v>Other Overnight Visitor Win / Visitor / Day</v>
          </cell>
          <cell r="B40">
            <v>32.143147451422202</v>
          </cell>
          <cell r="C40">
            <v>30.328219871811836</v>
          </cell>
          <cell r="D40">
            <v>29.075446532729881</v>
          </cell>
          <cell r="E40">
            <v>32.084789615559274</v>
          </cell>
          <cell r="F40">
            <v>38.868739530994645</v>
          </cell>
          <cell r="G40">
            <v>48.11109890036419</v>
          </cell>
          <cell r="H40">
            <v>50.5166538453824</v>
          </cell>
          <cell r="I40">
            <v>50.5166538453824</v>
          </cell>
          <cell r="J40">
            <v>50.5166538453824</v>
          </cell>
          <cell r="K40">
            <v>50.5166538453824</v>
          </cell>
          <cell r="L40">
            <v>51.021820383836221</v>
          </cell>
          <cell r="M40">
            <v>51.532038587674585</v>
          </cell>
          <cell r="N40">
            <v>52.047358973551333</v>
          </cell>
          <cell r="O40">
            <v>52.567832563286849</v>
          </cell>
          <cell r="P40">
            <v>53.093510888919717</v>
          </cell>
          <cell r="Q40">
            <v>53.624445997808913</v>
          </cell>
          <cell r="R40">
            <v>54.160690457787005</v>
          </cell>
          <cell r="S40">
            <v>54.702297362364874</v>
          </cell>
          <cell r="T40">
            <v>55.249320335988521</v>
          </cell>
          <cell r="U40">
            <v>55.801813539348409</v>
          </cell>
          <cell r="V40">
            <v>56.359831674741891</v>
          </cell>
        </row>
        <row r="41">
          <cell r="A41" t="str">
            <v xml:space="preserve">  Growth</v>
          </cell>
          <cell r="C41">
            <v>-5.6463903615949773E-2</v>
          </cell>
          <cell r="D41">
            <v>-4.1307183355206667E-2</v>
          </cell>
          <cell r="E41">
            <v>0.10350118198328651</v>
          </cell>
          <cell r="F41">
            <v>0.2114381922624653</v>
          </cell>
          <cell r="G41">
            <v>0.23778387158656167</v>
          </cell>
          <cell r="H41">
            <v>0.05</v>
          </cell>
          <cell r="I41">
            <v>0</v>
          </cell>
          <cell r="J41">
            <v>0</v>
          </cell>
          <cell r="K41">
            <v>0</v>
          </cell>
          <cell r="L41">
            <v>0.01</v>
          </cell>
          <cell r="M41">
            <v>0.01</v>
          </cell>
          <cell r="N41">
            <v>0.01</v>
          </cell>
          <cell r="O41">
            <v>0.01</v>
          </cell>
          <cell r="P41">
            <v>0.01</v>
          </cell>
          <cell r="Q41">
            <v>0.01</v>
          </cell>
          <cell r="R41">
            <v>0.01</v>
          </cell>
          <cell r="S41">
            <v>0.01</v>
          </cell>
          <cell r="T41">
            <v>0.01</v>
          </cell>
          <cell r="U41">
            <v>0.01</v>
          </cell>
          <cell r="V41">
            <v>0.01</v>
          </cell>
        </row>
        <row r="42">
          <cell r="A42" t="str">
            <v xml:space="preserve">  Premium/Discount to Total</v>
          </cell>
          <cell r="B42">
            <v>0.7</v>
          </cell>
          <cell r="C42">
            <v>0.7</v>
          </cell>
          <cell r="D42">
            <v>0.7</v>
          </cell>
          <cell r="E42">
            <v>0.7</v>
          </cell>
          <cell r="F42">
            <v>0.65</v>
          </cell>
          <cell r="G42">
            <v>0.6</v>
          </cell>
          <cell r="H42">
            <v>0.63892906572371089</v>
          </cell>
          <cell r="I42">
            <v>0.60397489232108592</v>
          </cell>
          <cell r="J42">
            <v>0.57521418316293904</v>
          </cell>
          <cell r="K42">
            <v>0.55846037200285337</v>
          </cell>
          <cell r="L42">
            <v>0.56404497572288192</v>
          </cell>
          <cell r="M42">
            <v>0.5696854254801107</v>
          </cell>
          <cell r="N42">
            <v>0.57538227973491185</v>
          </cell>
          <cell r="O42">
            <v>0.581136102532261</v>
          </cell>
          <cell r="P42">
            <v>0.58694746355758365</v>
          </cell>
          <cell r="Q42">
            <v>0.5928169381931595</v>
          </cell>
          <cell r="R42">
            <v>0.59874510757509114</v>
          </cell>
          <cell r="S42">
            <v>0.60473255865084197</v>
          </cell>
          <cell r="T42">
            <v>0.61077988423735041</v>
          </cell>
          <cell r="U42">
            <v>0.61688768307972397</v>
          </cell>
          <cell r="V42">
            <v>0.62305655991052111</v>
          </cell>
        </row>
        <row r="43">
          <cell r="A43" t="str">
            <v xml:space="preserve">  Premium/Discount to Day Tripper</v>
          </cell>
          <cell r="B43">
            <v>1.0527029312903418</v>
          </cell>
          <cell r="C43">
            <v>0.94595880468881965</v>
          </cell>
          <cell r="D43">
            <v>0.94379684323005386</v>
          </cell>
          <cell r="E43">
            <v>0.90311922965838221</v>
          </cell>
          <cell r="F43">
            <v>0.67359629480922523</v>
          </cell>
          <cell r="G43">
            <v>0.51536983595001906</v>
          </cell>
          <cell r="H43">
            <v>0.5540119338293914</v>
          </cell>
          <cell r="I43">
            <v>0.49562694765169507</v>
          </cell>
          <cell r="J43">
            <v>0.48142865109436611</v>
          </cell>
          <cell r="K43">
            <v>0.48144005784104377</v>
          </cell>
          <cell r="L43">
            <v>0.51000013702016656</v>
          </cell>
          <cell r="M43">
            <v>0.53126228736909209</v>
          </cell>
          <cell r="N43">
            <v>0.55189255633330503</v>
          </cell>
          <cell r="O43">
            <v>0.57105507610968187</v>
          </cell>
          <cell r="P43">
            <v>0.58913975696314524</v>
          </cell>
          <cell r="Q43">
            <v>0.60660112520708076</v>
          </cell>
          <cell r="R43">
            <v>0.62351835394738431</v>
          </cell>
          <cell r="S43">
            <v>0.6399596353230933</v>
          </cell>
          <cell r="T43">
            <v>0.65598404723766457</v>
          </cell>
          <cell r="U43">
            <v>0.6716430522373813</v>
          </cell>
          <cell r="V43">
            <v>0.68698171042415845</v>
          </cell>
        </row>
        <row r="44">
          <cell r="A44" t="str">
            <v>Other Overnight Visitor Win / Visitor / Trip</v>
          </cell>
          <cell r="B44">
            <v>48.214721177133299</v>
          </cell>
          <cell r="C44">
            <v>45.492329807717752</v>
          </cell>
          <cell r="D44">
            <v>43.61316979909482</v>
          </cell>
          <cell r="E44">
            <v>48.12718442333891</v>
          </cell>
          <cell r="F44">
            <v>58.303109296491961</v>
          </cell>
          <cell r="G44">
            <v>72.166648350546282</v>
          </cell>
          <cell r="H44">
            <v>75.77498076807359</v>
          </cell>
          <cell r="I44">
            <v>75.774980768073604</v>
          </cell>
          <cell r="J44">
            <v>75.774980768073604</v>
          </cell>
          <cell r="K44">
            <v>75.774980768073604</v>
          </cell>
          <cell r="L44">
            <v>76.532730575754343</v>
          </cell>
          <cell r="M44">
            <v>77.29805788151188</v>
          </cell>
          <cell r="N44">
            <v>78.071038460326989</v>
          </cell>
          <cell r="O44">
            <v>78.85174884493027</v>
          </cell>
          <cell r="P44">
            <v>79.640266333379572</v>
          </cell>
          <cell r="Q44">
            <v>80.436668996713365</v>
          </cell>
          <cell r="R44">
            <v>81.241035686680519</v>
          </cell>
          <cell r="S44">
            <v>82.053446043547297</v>
          </cell>
          <cell r="T44">
            <v>82.873980503982764</v>
          </cell>
          <cell r="U44">
            <v>83.70272030902261</v>
          </cell>
          <cell r="V44">
            <v>84.539747512112854</v>
          </cell>
        </row>
        <row r="45">
          <cell r="A45" t="str">
            <v xml:space="preserve">  Growth</v>
          </cell>
          <cell r="C45">
            <v>-5.6463903615949773E-2</v>
          </cell>
          <cell r="D45">
            <v>-4.1307183355206667E-2</v>
          </cell>
          <cell r="E45">
            <v>0.10350118198328651</v>
          </cell>
          <cell r="F45">
            <v>0.21143819226246507</v>
          </cell>
          <cell r="G45">
            <v>0.23778387158656189</v>
          </cell>
          <cell r="H45">
            <v>4.9999999999999822E-2</v>
          </cell>
          <cell r="I45">
            <v>0</v>
          </cell>
          <cell r="J45">
            <v>0</v>
          </cell>
          <cell r="K45">
            <v>0</v>
          </cell>
          <cell r="L45">
            <v>1.0000000000000009E-2</v>
          </cell>
          <cell r="M45">
            <v>1.0000000000000009E-2</v>
          </cell>
          <cell r="N45">
            <v>9.9999999999997868E-3</v>
          </cell>
          <cell r="O45">
            <v>1.0000000000000231E-2</v>
          </cell>
          <cell r="P45">
            <v>1.0000000000000009E-2</v>
          </cell>
          <cell r="Q45">
            <v>1.0000000000000009E-2</v>
          </cell>
          <cell r="R45">
            <v>1.0000000000000231E-2</v>
          </cell>
          <cell r="S45">
            <v>9.9999999999995648E-3</v>
          </cell>
          <cell r="T45">
            <v>1.0000000000000009E-2</v>
          </cell>
          <cell r="U45">
            <v>1.0000000000000231E-2</v>
          </cell>
          <cell r="V45">
            <v>1.0000000000000231E-2</v>
          </cell>
        </row>
        <row r="46">
          <cell r="A46" t="str">
            <v xml:space="preserve">  Premium/Discount to Total</v>
          </cell>
          <cell r="B46">
            <v>0.6938823427273535</v>
          </cell>
          <cell r="C46">
            <v>0.70118586879342193</v>
          </cell>
          <cell r="D46">
            <v>0.7076427792764064</v>
          </cell>
          <cell r="E46">
            <v>0.72492898126631122</v>
          </cell>
          <cell r="F46">
            <v>0.69158482994665615</v>
          </cell>
          <cell r="G46">
            <v>0.64757013166175992</v>
          </cell>
          <cell r="H46">
            <v>0.69162628826743033</v>
          </cell>
          <cell r="I46">
            <v>0.64261388751404058</v>
          </cell>
          <cell r="J46">
            <v>0.59131131958944261</v>
          </cell>
          <cell r="K46">
            <v>0.52903676932217203</v>
          </cell>
          <cell r="L46">
            <v>0.50085677259713379</v>
          </cell>
          <cell r="M46">
            <v>0.49843940774666645</v>
          </cell>
          <cell r="N46">
            <v>0.49645277885559708</v>
          </cell>
          <cell r="O46">
            <v>0.4957044814255292</v>
          </cell>
          <cell r="P46">
            <v>0.4958367808750142</v>
          </cell>
          <cell r="Q46">
            <v>0.4965460993783179</v>
          </cell>
          <cell r="R46">
            <v>0.497736534535339</v>
          </cell>
          <cell r="S46">
            <v>0.4993340403973559</v>
          </cell>
          <cell r="T46">
            <v>0.50128056374285745</v>
          </cell>
          <cell r="U46">
            <v>0.5035299723473291</v>
          </cell>
          <cell r="V46">
            <v>0.50604516729753435</v>
          </cell>
        </row>
        <row r="47">
          <cell r="A47" t="str">
            <v xml:space="preserve">  Premium/Discount to Day Tripper</v>
          </cell>
          <cell r="B47">
            <v>1.5790543969355124</v>
          </cell>
          <cell r="C47">
            <v>1.4189382070332295</v>
          </cell>
          <cell r="D47">
            <v>1.4156952648450807</v>
          </cell>
          <cell r="E47">
            <v>1.3546788444875733</v>
          </cell>
          <cell r="F47">
            <v>1.0103944422138376</v>
          </cell>
          <cell r="G47">
            <v>0.77305475392502854</v>
          </cell>
          <cell r="H47">
            <v>0.83101790074408699</v>
          </cell>
          <cell r="I47">
            <v>0.74344042147754263</v>
          </cell>
          <cell r="J47">
            <v>0.72214297664154914</v>
          </cell>
          <cell r="K47">
            <v>0.72216008676156562</v>
          </cell>
          <cell r="L47">
            <v>0.76500020553024994</v>
          </cell>
          <cell r="M47">
            <v>0.79689343105363819</v>
          </cell>
          <cell r="N47">
            <v>0.82783883449995732</v>
          </cell>
          <cell r="O47">
            <v>0.85658261416452275</v>
          </cell>
          <cell r="P47">
            <v>0.88370963544471781</v>
          </cell>
          <cell r="Q47">
            <v>0.90990168781062108</v>
          </cell>
          <cell r="R47">
            <v>0.93527753092107657</v>
          </cell>
          <cell r="S47">
            <v>0.95993945298463978</v>
          </cell>
          <cell r="T47">
            <v>0.98397607085649663</v>
          </cell>
          <cell r="U47">
            <v>1.0074645783560718</v>
          </cell>
          <cell r="V47">
            <v>1.0304725656362379</v>
          </cell>
        </row>
        <row r="49">
          <cell r="A49" t="str">
            <v>Day Tripper Win / Visitor / Day</v>
          </cell>
          <cell r="B49">
            <v>30.533920345432126</v>
          </cell>
          <cell r="C49">
            <v>32.060825187613254</v>
          </cell>
          <cell r="D49">
            <v>30.80689106060364</v>
          </cell>
          <cell r="E49">
            <v>35.526637637530769</v>
          </cell>
          <cell r="F49">
            <v>57.703315517795396</v>
          </cell>
          <cell r="G49">
            <v>93.352570415141727</v>
          </cell>
          <cell r="H49">
            <v>91.183331550650422</v>
          </cell>
          <cell r="I49">
            <v>101.92475224507626</v>
          </cell>
          <cell r="J49">
            <v>104.93071762669251</v>
          </cell>
          <cell r="K49">
            <v>104.92823150594876</v>
          </cell>
          <cell r="L49">
            <v>100.04275818815849</v>
          </cell>
          <cell r="M49">
            <v>96.999240888847297</v>
          </cell>
          <cell r="N49">
            <v>94.30705012465927</v>
          </cell>
          <cell r="O49">
            <v>92.053874945663225</v>
          </cell>
          <cell r="P49">
            <v>90.120400569471471</v>
          </cell>
          <cell r="Q49">
            <v>88.401494440852986</v>
          </cell>
          <cell r="R49">
            <v>86.863025145780014</v>
          </cell>
          <cell r="S49">
            <v>85.477730692729693</v>
          </cell>
          <cell r="T49">
            <v>84.223573071086534</v>
          </cell>
          <cell r="U49">
            <v>83.082544148206523</v>
          </cell>
          <cell r="V49">
            <v>82.03978478545524</v>
          </cell>
        </row>
        <row r="50">
          <cell r="A50" t="str">
            <v xml:space="preserve">  Growth</v>
          </cell>
          <cell r="C50">
            <v>5.0006839112277657E-2</v>
          </cell>
          <cell r="D50">
            <v>-3.911109959496839E-2</v>
          </cell>
          <cell r="E50">
            <v>0.15320424796005527</v>
          </cell>
          <cell r="F50">
            <v>0.6242267592708215</v>
          </cell>
          <cell r="G50">
            <v>0.61780254006985591</v>
          </cell>
          <cell r="H50">
            <v>-2.3237055550207497E-2</v>
          </cell>
          <cell r="I50">
            <v>0.11780026581348602</v>
          </cell>
          <cell r="J50">
            <v>2.9492005772929986E-2</v>
          </cell>
          <cell r="K50">
            <v>-2.3692973802003081E-5</v>
          </cell>
          <cell r="L50">
            <v>-4.6560141609870764E-2</v>
          </cell>
          <cell r="M50">
            <v>-3.0422165026547932E-2</v>
          </cell>
          <cell r="N50">
            <v>-2.7754761166358444E-2</v>
          </cell>
          <cell r="O50">
            <v>-2.3891906024180565E-2</v>
          </cell>
          <cell r="P50">
            <v>-2.1003726104230069E-2</v>
          </cell>
          <cell r="Q50">
            <v>-1.9073440838663691E-2</v>
          </cell>
          <cell r="R50">
            <v>-1.7403204604219846E-2</v>
          </cell>
          <cell r="S50">
            <v>-1.5948033708536147E-2</v>
          </cell>
          <cell r="T50">
            <v>-1.4672331746282907E-2</v>
          </cell>
          <cell r="U50">
            <v>-1.3547619523538335E-2</v>
          </cell>
          <cell r="V50">
            <v>-1.2550883864258622E-2</v>
          </cell>
        </row>
        <row r="51">
          <cell r="A51" t="str">
            <v xml:space="preserve">  Premium/Discount</v>
          </cell>
          <cell r="B51">
            <v>0.66495492621264085</v>
          </cell>
          <cell r="C51">
            <v>0.73998994092588455</v>
          </cell>
          <cell r="D51">
            <v>0.74168504061140672</v>
          </cell>
          <cell r="E51">
            <v>0.77509145748649944</v>
          </cell>
          <cell r="F51">
            <v>0.96496967843935655</v>
          </cell>
          <cell r="G51">
            <v>1.1642124900344157</v>
          </cell>
          <cell r="H51">
            <v>1.153276719704146</v>
          </cell>
          <cell r="I51">
            <v>1.2186078565395784</v>
          </cell>
          <cell r="J51">
            <v>1.1948067109329348</v>
          </cell>
          <cell r="K51">
            <v>1.1599790314648877</v>
          </cell>
          <cell r="L51">
            <v>1.1059702434954017</v>
          </cell>
          <cell r="M51">
            <v>1.0723242342333332</v>
          </cell>
          <cell r="N51">
            <v>1.0425621312192888</v>
          </cell>
          <cell r="O51">
            <v>1.0176533347558283</v>
          </cell>
          <cell r="P51">
            <v>0.99627882284356051</v>
          </cell>
          <cell r="Q51">
            <v>0.9772763576572403</v>
          </cell>
          <cell r="R51">
            <v>0.96026861725006463</v>
          </cell>
          <cell r="S51">
            <v>0.94495422097291126</v>
          </cell>
          <cell r="T51">
            <v>0.93108953915774628</v>
          </cell>
          <cell r="U51">
            <v>0.91847549233889048</v>
          </cell>
          <cell r="V51">
            <v>0.90694781310237726</v>
          </cell>
        </row>
        <row r="52">
          <cell r="A52" t="str">
            <v xml:space="preserve">  Premium/Discount to non-per Day Figure</v>
          </cell>
          <cell r="B52">
            <v>0.43942903048430654</v>
          </cell>
          <cell r="C52">
            <v>0.49416237107286609</v>
          </cell>
          <cell r="D52">
            <v>0.49985529855808597</v>
          </cell>
          <cell r="E52">
            <v>0.53512977206086521</v>
          </cell>
          <cell r="F52">
            <v>0.68447014458170452</v>
          </cell>
          <cell r="G52">
            <v>0.83767692828205786</v>
          </cell>
          <cell r="H52">
            <v>0.83226400736753503</v>
          </cell>
          <cell r="I52">
            <v>0.86437846120457729</v>
          </cell>
          <cell r="J52">
            <v>0.81882859588199297</v>
          </cell>
          <cell r="K52">
            <v>0.73257547602024031</v>
          </cell>
          <cell r="L52">
            <v>0.65471455952089763</v>
          </cell>
          <cell r="M52">
            <v>0.62547812332652664</v>
          </cell>
          <cell r="N52">
            <v>0.59969737848245708</v>
          </cell>
          <cell r="O52">
            <v>0.57870014313682983</v>
          </cell>
          <cell r="P52">
            <v>0.56108563377323528</v>
          </cell>
          <cell r="Q52">
            <v>0.54571401067855219</v>
          </cell>
          <cell r="R52">
            <v>0.53218057536906715</v>
          </cell>
          <cell r="S52">
            <v>0.52017243258918944</v>
          </cell>
          <cell r="T52">
            <v>0.50944385599389674</v>
          </cell>
          <cell r="U52">
            <v>0.49979918218957442</v>
          </cell>
          <cell r="V52">
            <v>0.49108067907182973</v>
          </cell>
        </row>
        <row r="56">
          <cell r="A56" t="str">
            <v>Hotel Guests</v>
          </cell>
        </row>
        <row r="57">
          <cell r="A57" t="str">
            <v xml:space="preserve">  Existing Visitors</v>
          </cell>
          <cell r="B57">
            <v>2.6898429999999998</v>
          </cell>
          <cell r="C57">
            <v>2.7668530000000002</v>
          </cell>
          <cell r="D57">
            <v>3.154801</v>
          </cell>
          <cell r="E57">
            <v>3.043272</v>
          </cell>
          <cell r="F57">
            <v>3.9561540000000006</v>
          </cell>
          <cell r="G57">
            <v>4.1210880000000003</v>
          </cell>
          <cell r="H57">
            <v>4.3271424000000005</v>
          </cell>
          <cell r="I57">
            <v>4.543499520000001</v>
          </cell>
          <cell r="J57">
            <v>4.7706744960000016</v>
          </cell>
          <cell r="K57">
            <v>5.0092082208000015</v>
          </cell>
          <cell r="L57">
            <v>5.2596686318400021</v>
          </cell>
        </row>
        <row r="58">
          <cell r="A58" t="str">
            <v xml:space="preserve">    Growth</v>
          </cell>
          <cell r="C58">
            <v>2.8629923753914488E-2</v>
          </cell>
          <cell r="D58">
            <v>0.14021272543210639</v>
          </cell>
          <cell r="E58">
            <v>-3.5352150579386787E-2</v>
          </cell>
          <cell r="F58">
            <v>0.2999672720676958</v>
          </cell>
          <cell r="G58">
            <v>4.1690490309527872E-2</v>
          </cell>
          <cell r="H58">
            <v>0.05</v>
          </cell>
          <cell r="I58">
            <v>0.05</v>
          </cell>
          <cell r="J58">
            <v>0.05</v>
          </cell>
          <cell r="K58">
            <v>0.05</v>
          </cell>
          <cell r="L58">
            <v>0.05</v>
          </cell>
        </row>
        <row r="59">
          <cell r="A59" t="str">
            <v xml:space="preserve">  New Visitors</v>
          </cell>
          <cell r="H59">
            <v>0.35371159999999957</v>
          </cell>
          <cell r="I59">
            <v>1.174893427220276</v>
          </cell>
          <cell r="J59">
            <v>2.4770905058330257</v>
          </cell>
          <cell r="K59">
            <v>4.0814087963459276</v>
          </cell>
          <cell r="L59">
            <v>5.8672944437526677</v>
          </cell>
        </row>
        <row r="60">
          <cell r="A60" t="str">
            <v xml:space="preserve">    Growth</v>
          </cell>
          <cell r="I60">
            <v>2.3216140698249008</v>
          </cell>
          <cell r="J60">
            <v>1.1083533607755949</v>
          </cell>
          <cell r="K60">
            <v>0.64766236305660629</v>
          </cell>
          <cell r="L60">
            <v>0.43756598187509121</v>
          </cell>
        </row>
        <row r="62">
          <cell r="A62" t="str">
            <v>Hotel Guest Length of Stay</v>
          </cell>
        </row>
        <row r="63">
          <cell r="A63" t="str">
            <v xml:space="preserve">  Existing Visitors</v>
          </cell>
          <cell r="B63">
            <v>2.2824999999999998</v>
          </cell>
          <cell r="C63">
            <v>2.2925</v>
          </cell>
          <cell r="D63">
            <v>2.229166666666667</v>
          </cell>
          <cell r="E63">
            <v>2.2216666666666667</v>
          </cell>
          <cell r="F63">
            <v>2.1758333333333333</v>
          </cell>
          <cell r="G63">
            <v>2.1758333333333333</v>
          </cell>
          <cell r="H63">
            <v>2.1758333333333333</v>
          </cell>
          <cell r="I63">
            <v>2.1758333333333333</v>
          </cell>
          <cell r="J63">
            <v>2.1758333333333333</v>
          </cell>
          <cell r="K63">
            <v>2.1758333333333333</v>
          </cell>
          <cell r="L63">
            <v>2.1758333333333333</v>
          </cell>
        </row>
        <row r="64">
          <cell r="A64" t="str">
            <v xml:space="preserve">    Growth</v>
          </cell>
          <cell r="C64">
            <v>4.381161007667167E-3</v>
          </cell>
          <cell r="D64">
            <v>-2.7626317702653447E-2</v>
          </cell>
          <cell r="E64">
            <v>-3.3644859813085626E-3</v>
          </cell>
          <cell r="F64">
            <v>-2.0630157539384908E-2</v>
          </cell>
          <cell r="G64">
            <v>0</v>
          </cell>
          <cell r="H64">
            <v>0</v>
          </cell>
          <cell r="I64">
            <v>0</v>
          </cell>
          <cell r="J64">
            <v>0</v>
          </cell>
          <cell r="K64">
            <v>0</v>
          </cell>
          <cell r="L64">
            <v>0</v>
          </cell>
        </row>
        <row r="65">
          <cell r="A65" t="str">
            <v xml:space="preserve">  New Visitors</v>
          </cell>
          <cell r="H65">
            <v>2.0986377263284512</v>
          </cell>
          <cell r="I65">
            <v>2.6582395245193586</v>
          </cell>
          <cell r="J65">
            <v>2.9458899568829842</v>
          </cell>
          <cell r="K65">
            <v>3.6688073166896129</v>
          </cell>
          <cell r="L65">
            <v>4.0607668782228359</v>
          </cell>
        </row>
        <row r="66">
          <cell r="A66" t="str">
            <v xml:space="preserve">    Growth</v>
          </cell>
          <cell r="I66">
            <v>0.26665002309375518</v>
          </cell>
          <cell r="J66">
            <v>0.10821087780478922</v>
          </cell>
          <cell r="K66">
            <v>0.24539863008716734</v>
          </cell>
          <cell r="L66">
            <v>0.10683569010293259</v>
          </cell>
        </row>
        <row r="67">
          <cell r="A67" t="str">
            <v xml:space="preserve">  Existing, Nights</v>
          </cell>
          <cell r="B67">
            <v>1.2824999999999998</v>
          </cell>
          <cell r="C67">
            <v>1.2925</v>
          </cell>
          <cell r="D67">
            <v>1.229166666666667</v>
          </cell>
          <cell r="E67">
            <v>1.2216666666666667</v>
          </cell>
          <cell r="F67">
            <v>1.1758333333333333</v>
          </cell>
          <cell r="G67">
            <v>1.1758333333333333</v>
          </cell>
          <cell r="H67">
            <v>1.1758333333333333</v>
          </cell>
          <cell r="I67">
            <v>1.1758333333333333</v>
          </cell>
          <cell r="J67">
            <v>1.1758333333333333</v>
          </cell>
          <cell r="K67">
            <v>1.1758333333333333</v>
          </cell>
          <cell r="L67">
            <v>1.1758333333333333</v>
          </cell>
        </row>
        <row r="68">
          <cell r="A68" t="str">
            <v xml:space="preserve">  New, Nights</v>
          </cell>
          <cell r="G68">
            <v>1.1758333333333333</v>
          </cell>
          <cell r="H68">
            <v>1.0986377263284512</v>
          </cell>
          <cell r="I68">
            <v>1.6582395245193586</v>
          </cell>
          <cell r="J68">
            <v>1.9458899568829842</v>
          </cell>
          <cell r="K68">
            <v>2.6688073166896129</v>
          </cell>
          <cell r="L68">
            <v>3.0607668782228359</v>
          </cell>
        </row>
        <row r="70">
          <cell r="A70" t="str">
            <v>Hotel Guest Win / Visitor / Day</v>
          </cell>
        </row>
        <row r="71">
          <cell r="A71" t="str">
            <v xml:space="preserve">  Existing Visitors</v>
          </cell>
          <cell r="B71">
            <v>64.286294902844404</v>
          </cell>
          <cell r="C71">
            <v>60.656439743623672</v>
          </cell>
          <cell r="D71">
            <v>58.150893065459762</v>
          </cell>
          <cell r="E71">
            <v>64.169579231118547</v>
          </cell>
          <cell r="F71">
            <v>77.737479061989291</v>
          </cell>
          <cell r="G71">
            <v>92.212939559031355</v>
          </cell>
          <cell r="H71">
            <v>108.81126867965699</v>
          </cell>
          <cell r="I71">
            <v>121.86862092121584</v>
          </cell>
          <cell r="J71">
            <v>136.49285543176174</v>
          </cell>
          <cell r="K71">
            <v>147.41228386630269</v>
          </cell>
          <cell r="L71">
            <v>151.83465238229178</v>
          </cell>
        </row>
        <row r="72">
          <cell r="A72" t="str">
            <v xml:space="preserve">    Growth</v>
          </cell>
          <cell r="C72">
            <v>-5.6463903615949773E-2</v>
          </cell>
          <cell r="D72">
            <v>-4.1307183355206667E-2</v>
          </cell>
          <cell r="E72">
            <v>0.10350118198328651</v>
          </cell>
          <cell r="F72">
            <v>0.2114381922624653</v>
          </cell>
          <cell r="G72">
            <v>0.18620954360378827</v>
          </cell>
          <cell r="H72">
            <v>0.18</v>
          </cell>
          <cell r="I72">
            <v>0.12</v>
          </cell>
          <cell r="J72">
            <v>0.12</v>
          </cell>
          <cell r="K72">
            <v>0.08</v>
          </cell>
          <cell r="L72">
            <v>0.03</v>
          </cell>
        </row>
        <row r="73">
          <cell r="A73" t="str">
            <v xml:space="preserve">  New Visitors</v>
          </cell>
          <cell r="H73">
            <v>-135.94610818926347</v>
          </cell>
          <cell r="I73">
            <v>-2.5268966422716721</v>
          </cell>
          <cell r="J73">
            <v>39.864172688936904</v>
          </cell>
          <cell r="K73">
            <v>64.630291697425235</v>
          </cell>
          <cell r="L73">
            <v>74.366200067595258</v>
          </cell>
        </row>
        <row r="74">
          <cell r="A74" t="str">
            <v xml:space="preserve">    Growth</v>
          </cell>
          <cell r="I74">
            <v>-0.98141251209079305</v>
          </cell>
          <cell r="J74">
            <v>-16.775941137465416</v>
          </cell>
          <cell r="K74">
            <v>0.62126258587479533</v>
          </cell>
          <cell r="L74">
            <v>0.15064001901383772</v>
          </cell>
        </row>
        <row r="75">
          <cell r="I75">
            <v>1.020734596183748</v>
          </cell>
          <cell r="J75">
            <v>0.70793949205006845</v>
          </cell>
          <cell r="K75">
            <v>0.56156780152702579</v>
          </cell>
          <cell r="L75">
            <v>0.51021589010949353</v>
          </cell>
        </row>
        <row r="76">
          <cell r="A76" t="str">
            <v>Hotel Guest Win / Visitor / Trip</v>
          </cell>
        </row>
        <row r="77">
          <cell r="A77" t="str">
            <v xml:space="preserve">  Existing Visitors</v>
          </cell>
          <cell r="B77">
            <v>146.73346811574234</v>
          </cell>
          <cell r="C77">
            <v>139.05488811225726</v>
          </cell>
          <cell r="D77">
            <v>129.62803245842073</v>
          </cell>
          <cell r="E77">
            <v>142.56341519180171</v>
          </cell>
          <cell r="F77">
            <v>169.14379819237837</v>
          </cell>
          <cell r="G77">
            <v>200.63998765719239</v>
          </cell>
          <cell r="H77">
            <v>236.75518543548699</v>
          </cell>
          <cell r="I77">
            <v>265.16580768774543</v>
          </cell>
          <cell r="J77">
            <v>296.98570461027492</v>
          </cell>
          <cell r="K77">
            <v>320.74456097909695</v>
          </cell>
          <cell r="L77">
            <v>330.36689780846984</v>
          </cell>
        </row>
        <row r="78">
          <cell r="A78" t="str">
            <v xml:space="preserve">    Growth</v>
          </cell>
          <cell r="C78">
            <v>-5.233012006114568E-2</v>
          </cell>
          <cell r="D78">
            <v>-6.7792335687087424E-2</v>
          </cell>
          <cell r="E78">
            <v>9.9788467726146468E-2</v>
          </cell>
          <cell r="F78">
            <v>0.18644603150686301</v>
          </cell>
          <cell r="G78">
            <v>0.18620954360378805</v>
          </cell>
          <cell r="H78">
            <v>0.17999999999999994</v>
          </cell>
          <cell r="I78">
            <v>0.11999999999999988</v>
          </cell>
          <cell r="J78">
            <v>0.12000000000000011</v>
          </cell>
          <cell r="K78">
            <v>8.0000000000000071E-2</v>
          </cell>
          <cell r="L78">
            <v>3.0000000000000027E-2</v>
          </cell>
        </row>
        <row r="79">
          <cell r="A79" t="str">
            <v xml:space="preserve">  New Visitors</v>
          </cell>
          <cell r="H79">
            <v>-285.30163139351754</v>
          </cell>
          <cell r="I79">
            <v>-6.7170965288618136</v>
          </cell>
          <cell r="J79">
            <v>117.43546596378818</v>
          </cell>
          <cell r="K79">
            <v>237.11608705929766</v>
          </cell>
          <cell r="L79">
            <v>301.98380209378365</v>
          </cell>
        </row>
        <row r="80">
          <cell r="A80" t="str">
            <v xml:space="preserve">    Growth</v>
          </cell>
          <cell r="I80">
            <v>-0.97645615801054819</v>
          </cell>
          <cell r="J80">
            <v>-18.483069576147237</v>
          </cell>
          <cell r="K80">
            <v>1.0191182034600486</v>
          </cell>
          <cell r="L80">
            <v>0.2735694395052326</v>
          </cell>
        </row>
      </sheetData>
      <sheetData sheetId="8" refreshError="1">
        <row r="1">
          <cell r="B1" t="str">
            <v>Macau Monthly Market Share Data (published)</v>
          </cell>
        </row>
        <row r="3">
          <cell r="B3" t="str">
            <v>Frequency</v>
          </cell>
          <cell r="C3" t="str">
            <v>M</v>
          </cell>
          <cell r="D3" t="str">
            <v>M</v>
          </cell>
          <cell r="E3" t="str">
            <v>M</v>
          </cell>
          <cell r="F3" t="str">
            <v>M</v>
          </cell>
          <cell r="G3" t="str">
            <v>M</v>
          </cell>
          <cell r="H3" t="str">
            <v>M</v>
          </cell>
          <cell r="I3" t="str">
            <v>M</v>
          </cell>
          <cell r="J3" t="str">
            <v>M</v>
          </cell>
          <cell r="K3" t="str">
            <v>M</v>
          </cell>
          <cell r="L3" t="str">
            <v>M</v>
          </cell>
          <cell r="M3" t="str">
            <v>M</v>
          </cell>
          <cell r="N3" t="str">
            <v>M</v>
          </cell>
          <cell r="O3" t="str">
            <v>M</v>
          </cell>
        </row>
        <row r="4">
          <cell r="B4" t="str">
            <v>Date</v>
          </cell>
          <cell r="C4">
            <v>38718</v>
          </cell>
          <cell r="D4">
            <v>38749</v>
          </cell>
          <cell r="E4">
            <v>38777</v>
          </cell>
          <cell r="F4">
            <v>38808</v>
          </cell>
          <cell r="G4">
            <v>38838</v>
          </cell>
          <cell r="H4">
            <v>38869</v>
          </cell>
          <cell r="I4">
            <v>38899</v>
          </cell>
          <cell r="J4">
            <v>38930</v>
          </cell>
          <cell r="K4">
            <v>38961</v>
          </cell>
          <cell r="L4">
            <v>38991</v>
          </cell>
          <cell r="M4">
            <v>39022</v>
          </cell>
          <cell r="N4">
            <v>39052</v>
          </cell>
          <cell r="O4">
            <v>39083</v>
          </cell>
        </row>
        <row r="5">
          <cell r="B5" t="str">
            <v>Year</v>
          </cell>
          <cell r="C5">
            <v>2006</v>
          </cell>
          <cell r="D5">
            <v>2006</v>
          </cell>
          <cell r="E5">
            <v>2006</v>
          </cell>
          <cell r="F5">
            <v>2006</v>
          </cell>
          <cell r="G5">
            <v>2006</v>
          </cell>
          <cell r="H5">
            <v>2006</v>
          </cell>
          <cell r="I5">
            <v>2006</v>
          </cell>
          <cell r="J5">
            <v>2006</v>
          </cell>
          <cell r="K5">
            <v>2006</v>
          </cell>
          <cell r="L5">
            <v>2006</v>
          </cell>
          <cell r="M5">
            <v>2006</v>
          </cell>
          <cell r="N5">
            <v>2006</v>
          </cell>
          <cell r="O5">
            <v>2007</v>
          </cell>
        </row>
        <row r="6">
          <cell r="B6" t="str">
            <v>Quarter</v>
          </cell>
          <cell r="C6" t="str">
            <v>2006q1</v>
          </cell>
          <cell r="D6" t="str">
            <v>2006q1</v>
          </cell>
          <cell r="E6" t="str">
            <v>2006q1</v>
          </cell>
          <cell r="F6" t="str">
            <v>2006q2</v>
          </cell>
          <cell r="G6" t="str">
            <v>2006q2</v>
          </cell>
          <cell r="H6" t="str">
            <v>2006q2</v>
          </cell>
          <cell r="I6" t="str">
            <v>2006q3</v>
          </cell>
          <cell r="J6" t="str">
            <v>2006q3</v>
          </cell>
          <cell r="K6" t="str">
            <v>2006q3</v>
          </cell>
          <cell r="L6" t="str">
            <v>2006q4</v>
          </cell>
          <cell r="M6" t="str">
            <v>2006q4</v>
          </cell>
          <cell r="N6" t="str">
            <v>2006q4</v>
          </cell>
          <cell r="O6" t="str">
            <v>2007q1</v>
          </cell>
        </row>
        <row r="7">
          <cell r="B7" t="str">
            <v>Month</v>
          </cell>
          <cell r="C7" t="str">
            <v>2006m1</v>
          </cell>
          <cell r="D7" t="str">
            <v>2006m2</v>
          </cell>
          <cell r="E7" t="str">
            <v>2006m3</v>
          </cell>
          <cell r="F7" t="str">
            <v>2006m4</v>
          </cell>
          <cell r="G7" t="str">
            <v>2006m5</v>
          </cell>
          <cell r="H7" t="str">
            <v>2006m6</v>
          </cell>
          <cell r="I7" t="str">
            <v>2006m7</v>
          </cell>
          <cell r="J7" t="str">
            <v>2006m8</v>
          </cell>
          <cell r="K7" t="str">
            <v>2006m9</v>
          </cell>
          <cell r="L7" t="str">
            <v>2006m10</v>
          </cell>
          <cell r="M7" t="str">
            <v>2006m11</v>
          </cell>
          <cell r="N7" t="str">
            <v>2006m12</v>
          </cell>
          <cell r="O7" t="str">
            <v>2007m1</v>
          </cell>
        </row>
        <row r="9">
          <cell r="B9" t="str">
            <v>SJM</v>
          </cell>
          <cell r="C9">
            <v>0.7</v>
          </cell>
          <cell r="D9">
            <v>0.75</v>
          </cell>
          <cell r="E9">
            <v>0.75</v>
          </cell>
          <cell r="F9">
            <v>0.73</v>
          </cell>
          <cell r="G9">
            <v>0.71</v>
          </cell>
          <cell r="H9">
            <v>0.59</v>
          </cell>
          <cell r="I9">
            <v>0.62</v>
          </cell>
          <cell r="J9">
            <v>0.59</v>
          </cell>
          <cell r="K9">
            <v>0.59</v>
          </cell>
          <cell r="L9">
            <v>0.54</v>
          </cell>
          <cell r="M9">
            <v>0.51</v>
          </cell>
          <cell r="N9">
            <v>0.49</v>
          </cell>
          <cell r="O9">
            <v>0.45700000000000002</v>
          </cell>
        </row>
        <row r="10">
          <cell r="B10" t="str">
            <v>Venetian</v>
          </cell>
          <cell r="C10">
            <v>0.21</v>
          </cell>
          <cell r="D10">
            <v>0.19</v>
          </cell>
          <cell r="E10">
            <v>0.19</v>
          </cell>
          <cell r="F10">
            <v>0.21</v>
          </cell>
          <cell r="G10">
            <v>0.19</v>
          </cell>
          <cell r="H10">
            <v>0.23</v>
          </cell>
          <cell r="I10">
            <v>0.2</v>
          </cell>
          <cell r="J10">
            <v>0.21</v>
          </cell>
          <cell r="K10">
            <v>0.21</v>
          </cell>
          <cell r="L10">
            <v>0.16</v>
          </cell>
          <cell r="M10">
            <v>0.18</v>
          </cell>
          <cell r="N10">
            <v>0.2</v>
          </cell>
          <cell r="O10">
            <v>0.2</v>
          </cell>
        </row>
        <row r="11">
          <cell r="B11" t="str">
            <v>Galaxy</v>
          </cell>
          <cell r="C11">
            <v>0.09</v>
          </cell>
          <cell r="D11">
            <v>0.06</v>
          </cell>
          <cell r="E11">
            <v>0.06</v>
          </cell>
          <cell r="F11">
            <v>0.06</v>
          </cell>
          <cell r="G11">
            <v>0.1</v>
          </cell>
          <cell r="H11">
            <v>0.18</v>
          </cell>
          <cell r="I11">
            <v>0.17</v>
          </cell>
          <cell r="J11">
            <v>0.2</v>
          </cell>
          <cell r="K11">
            <v>0.12</v>
          </cell>
          <cell r="L11">
            <v>0.17</v>
          </cell>
          <cell r="M11">
            <v>0.15</v>
          </cell>
          <cell r="N11">
            <v>0.19</v>
          </cell>
          <cell r="O11">
            <v>0.21</v>
          </cell>
        </row>
        <row r="12">
          <cell r="B12" t="str">
            <v>Wynn</v>
          </cell>
          <cell r="K12">
            <v>0.09</v>
          </cell>
          <cell r="L12">
            <v>0.12</v>
          </cell>
          <cell r="M12">
            <v>0.16</v>
          </cell>
          <cell r="N12">
            <v>0.12</v>
          </cell>
          <cell r="O12">
            <v>0.13</v>
          </cell>
        </row>
        <row r="13">
          <cell r="B13" t="str">
            <v>PBL</v>
          </cell>
          <cell r="K13">
            <v>0</v>
          </cell>
          <cell r="L13">
            <v>0.01</v>
          </cell>
          <cell r="M13">
            <v>0.01</v>
          </cell>
          <cell r="N13">
            <v>0.01</v>
          </cell>
          <cell r="O13">
            <v>3.0000000000000001E-3</v>
          </cell>
        </row>
        <row r="14">
          <cell r="B14" t="str">
            <v>MGM</v>
          </cell>
        </row>
        <row r="15">
          <cell r="C15" t="str">
            <v xml:space="preserve">            </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cell r="N15" t="str">
            <v xml:space="preserve">            </v>
          </cell>
          <cell r="O15" t="str">
            <v xml:space="preserve">            </v>
          </cell>
        </row>
        <row r="16">
          <cell r="B16" t="str">
            <v>Total</v>
          </cell>
          <cell r="C16">
            <v>0.99999999999999989</v>
          </cell>
          <cell r="D16">
            <v>1</v>
          </cell>
          <cell r="E16">
            <v>1</v>
          </cell>
          <cell r="F16">
            <v>1</v>
          </cell>
          <cell r="G16">
            <v>0.99999999999999989</v>
          </cell>
          <cell r="H16">
            <v>1</v>
          </cell>
          <cell r="I16">
            <v>0.9900000000000001</v>
          </cell>
          <cell r="J16">
            <v>1</v>
          </cell>
          <cell r="K16">
            <v>1.01</v>
          </cell>
          <cell r="L16">
            <v>1</v>
          </cell>
          <cell r="M16">
            <v>1.01</v>
          </cell>
          <cell r="N16">
            <v>1.0099999999999998</v>
          </cell>
          <cell r="O16">
            <v>1</v>
          </cell>
        </row>
      </sheetData>
      <sheetData sheetId="9" refreshError="1">
        <row r="2">
          <cell r="B2" t="str">
            <v>Win per position</v>
          </cell>
        </row>
        <row r="3">
          <cell r="B3" t="str">
            <v>($mm)</v>
          </cell>
          <cell r="C3">
            <v>2004</v>
          </cell>
          <cell r="D3">
            <v>2005</v>
          </cell>
          <cell r="E3" t="str">
            <v>2006E</v>
          </cell>
          <cell r="F3" t="str">
            <v>2007E</v>
          </cell>
          <cell r="G3" t="str">
            <v>2008E</v>
          </cell>
          <cell r="H3" t="str">
            <v>2009E</v>
          </cell>
          <cell r="I3" t="str">
            <v>2010E</v>
          </cell>
        </row>
        <row r="5">
          <cell r="B5" t="str">
            <v>Macau</v>
          </cell>
          <cell r="C5">
            <v>1923.074314419533</v>
          </cell>
          <cell r="D5">
            <v>1133.8513082263344</v>
          </cell>
          <cell r="E5">
            <v>846.84804241168968</v>
          </cell>
          <cell r="F5">
            <v>554.18520300220416</v>
          </cell>
          <cell r="G5">
            <v>420.75875765684395</v>
          </cell>
          <cell r="H5">
            <v>328.00414157503479</v>
          </cell>
          <cell r="I5">
            <v>297.66203483343799</v>
          </cell>
        </row>
        <row r="6">
          <cell r="B6" t="str">
            <v xml:space="preserve">  Growth</v>
          </cell>
          <cell r="C6">
            <v>-5.455387901593356E-2</v>
          </cell>
          <cell r="D6">
            <v>-0.41039651992409887</v>
          </cell>
          <cell r="E6">
            <v>-0.25312248945904503</v>
          </cell>
          <cell r="F6">
            <v>-0.34559073736065793</v>
          </cell>
          <cell r="G6">
            <v>-0.24076147219836452</v>
          </cell>
          <cell r="H6">
            <v>-0.22044607365595603</v>
          </cell>
          <cell r="I6">
            <v>-9.2505254951653404E-2</v>
          </cell>
        </row>
        <row r="8">
          <cell r="B8" t="str">
            <v>Las Vegas Strip</v>
          </cell>
          <cell r="C8">
            <v>200.17086732827966</v>
          </cell>
          <cell r="D8">
            <v>208.5498851863795</v>
          </cell>
          <cell r="E8">
            <v>218.98068870308339</v>
          </cell>
          <cell r="F8">
            <v>236.31424677494363</v>
          </cell>
          <cell r="G8">
            <v>225.75520229159324</v>
          </cell>
          <cell r="H8">
            <v>209.81818702749541</v>
          </cell>
          <cell r="I8">
            <v>220.38051980101446</v>
          </cell>
        </row>
        <row r="9">
          <cell r="B9" t="str">
            <v xml:space="preserve">  Growth</v>
          </cell>
          <cell r="C9">
            <v>0.13958679115325667</v>
          </cell>
          <cell r="D9">
            <v>4.1859327333374052E-2</v>
          </cell>
          <cell r="E9">
            <v>5.0015867941533232E-2</v>
          </cell>
          <cell r="F9">
            <v>7.9155646895251452E-2</v>
          </cell>
          <cell r="G9">
            <v>-4.4682217121705725E-2</v>
          </cell>
          <cell r="H9">
            <v>-7.0594232612690933E-2</v>
          </cell>
          <cell r="I9">
            <v>5.0340406249601788E-2</v>
          </cell>
        </row>
        <row r="11">
          <cell r="C11">
            <v>9.607163820026301</v>
          </cell>
          <cell r="D11">
            <v>5.4368349673893119</v>
          </cell>
          <cell r="E11">
            <v>3.8672270483171856</v>
          </cell>
          <cell r="F11">
            <v>2.345119731735803</v>
          </cell>
          <cell r="G11">
            <v>1.8637832191055219</v>
          </cell>
          <cell r="H11">
            <v>1.5632779322988422</v>
          </cell>
          <cell r="I11">
            <v>1.3506730771948554</v>
          </cell>
        </row>
        <row r="12">
          <cell r="J12" t="str">
            <v>Visitor Volume Growth</v>
          </cell>
        </row>
        <row r="13">
          <cell r="K13">
            <v>1995</v>
          </cell>
          <cell r="L13">
            <v>1996</v>
          </cell>
          <cell r="M13">
            <v>1997</v>
          </cell>
          <cell r="N13">
            <v>1998</v>
          </cell>
          <cell r="O13">
            <v>1999</v>
          </cell>
          <cell r="P13">
            <v>2000</v>
          </cell>
          <cell r="Q13">
            <v>2001</v>
          </cell>
          <cell r="R13">
            <v>2002</v>
          </cell>
          <cell r="S13">
            <v>2003</v>
          </cell>
          <cell r="T13">
            <v>2004</v>
          </cell>
          <cell r="U13">
            <v>2005</v>
          </cell>
          <cell r="V13" t="str">
            <v>2006E</v>
          </cell>
          <cell r="W13" t="str">
            <v>2007E</v>
          </cell>
          <cell r="X13" t="str">
            <v>2008E</v>
          </cell>
          <cell r="Y13" t="str">
            <v>2009E</v>
          </cell>
          <cell r="Z13" t="str">
            <v>2010E</v>
          </cell>
        </row>
        <row r="15">
          <cell r="J15" t="str">
            <v>Total Visitors (mm)</v>
          </cell>
          <cell r="K15">
            <v>7.7525000000000004</v>
          </cell>
          <cell r="L15">
            <v>8.1510999999999996</v>
          </cell>
          <cell r="M15">
            <v>7.0004</v>
          </cell>
          <cell r="N15">
            <v>6.9485000000000001</v>
          </cell>
          <cell r="O15">
            <v>7.4439000000000002</v>
          </cell>
          <cell r="P15">
            <v>9.1622120000000002</v>
          </cell>
          <cell r="Q15">
            <v>10.278973000000001</v>
          </cell>
          <cell r="R15">
            <v>11.530841000000001</v>
          </cell>
          <cell r="S15">
            <v>11.887875999999999</v>
          </cell>
          <cell r="T15">
            <v>16.672556</v>
          </cell>
          <cell r="U15">
            <v>18.711186999999999</v>
          </cell>
          <cell r="V15">
            <v>21.998122000000002</v>
          </cell>
          <cell r="W15">
            <v>26.853211459144823</v>
          </cell>
          <cell r="X15">
            <v>31.112956369452657</v>
          </cell>
          <cell r="Y15">
            <v>35.938386716715485</v>
          </cell>
          <cell r="Z15">
            <v>41.464358695646425</v>
          </cell>
          <cell r="AA15">
            <v>0.17345551240914747</v>
          </cell>
        </row>
        <row r="16">
          <cell r="J16" t="str">
            <v xml:space="preserve">  Growth</v>
          </cell>
          <cell r="K16">
            <v>-1.0378105134162152E-2</v>
          </cell>
          <cell r="L16">
            <v>5.1415672363753551E-2</v>
          </cell>
          <cell r="M16">
            <v>-0.1411711302768951</v>
          </cell>
          <cell r="N16">
            <v>-7.4138620650248122E-3</v>
          </cell>
          <cell r="O16">
            <v>7.1295963157516073E-2</v>
          </cell>
          <cell r="P16">
            <v>0.23083491180698301</v>
          </cell>
          <cell r="Q16">
            <v>0.12188770571997254</v>
          </cell>
          <cell r="R16">
            <v>0.12178920987534458</v>
          </cell>
          <cell r="S16">
            <v>3.0963483062510289E-2</v>
          </cell>
          <cell r="T16">
            <v>0.40248400975918686</v>
          </cell>
          <cell r="U16">
            <v>0.12227465302860563</v>
          </cell>
          <cell r="V16">
            <v>0.17566683503296732</v>
          </cell>
          <cell r="W16">
            <v>0.22070472466444269</v>
          </cell>
          <cell r="X16">
            <v>0.15863074391637366</v>
          </cell>
          <cell r="Y16">
            <v>0.15509391939367534</v>
          </cell>
          <cell r="Z16">
            <v>0.15376238289407484</v>
          </cell>
        </row>
        <row r="18">
          <cell r="J18" t="str">
            <v>China Visitor Growth</v>
          </cell>
          <cell r="K18">
            <v>1.2144313086017124</v>
          </cell>
          <cell r="L18">
            <v>0.1122974963181147</v>
          </cell>
          <cell r="M18">
            <v>-0.12313803376365429</v>
          </cell>
          <cell r="N18">
            <v>0.54171385428463559</v>
          </cell>
          <cell r="O18">
            <v>1.0142017629774731</v>
          </cell>
          <cell r="P18">
            <v>0.3826361536591294</v>
          </cell>
          <cell r="Q18">
            <v>0.32136317856362551</v>
          </cell>
          <cell r="R18">
            <v>0.41079115101130448</v>
          </cell>
          <cell r="S18">
            <v>0.3541113364018782</v>
          </cell>
          <cell r="T18">
            <v>0.65964459296319289</v>
          </cell>
          <cell r="U18">
            <v>9.7927865600516473E-2</v>
          </cell>
          <cell r="V18">
            <v>0.14552766395303207</v>
          </cell>
          <cell r="W18">
            <v>0.20850267108859089</v>
          </cell>
          <cell r="X18">
            <v>0.21775131112272916</v>
          </cell>
          <cell r="Y18">
            <v>0.22220629759693189</v>
          </cell>
          <cell r="Z18">
            <v>0.21586516688115776</v>
          </cell>
          <cell r="AA18">
            <v>1.5051961517361732</v>
          </cell>
        </row>
        <row r="19">
          <cell r="J19" t="str">
            <v xml:space="preserve">  Share of Total Visitors</v>
          </cell>
          <cell r="K19">
            <v>7.0067720090293453E-2</v>
          </cell>
          <cell r="L19">
            <v>7.4124964728686918E-2</v>
          </cell>
          <cell r="M19">
            <v>7.5681389634878013E-2</v>
          </cell>
          <cell r="N19">
            <v>0.11755055047852053</v>
          </cell>
          <cell r="O19">
            <v>0.22101317857574657</v>
          </cell>
          <cell r="P19">
            <v>0.24827115984655232</v>
          </cell>
          <cell r="Q19">
            <v>0.29241462157746689</v>
          </cell>
          <cell r="R19">
            <v>0.36774819807158909</v>
          </cell>
          <cell r="S19">
            <v>0.48301614182382119</v>
          </cell>
          <cell r="T19">
            <v>0.57158236565527198</v>
          </cell>
          <cell r="U19">
            <v>0.55918237576269214</v>
          </cell>
          <cell r="V19">
            <v>0.54484728287260153</v>
          </cell>
          <cell r="W19">
            <v>0.53940103891045388</v>
          </cell>
          <cell r="X19">
            <v>0.56692464428647793</v>
          </cell>
          <cell r="Y19">
            <v>0.59986366379068634</v>
          </cell>
          <cell r="Z19">
            <v>0.63215211771015622</v>
          </cell>
          <cell r="AA19">
            <v>0.84167916011669497</v>
          </cell>
        </row>
        <row r="20">
          <cell r="J20" t="str">
            <v xml:space="preserve">  Share of Growth</v>
          </cell>
          <cell r="L20">
            <v>0.15303562468640242</v>
          </cell>
          <cell r="M20">
            <v>6.4656296167550129E-2</v>
          </cell>
          <cell r="N20">
            <v>-5.529865125240879</v>
          </cell>
          <cell r="O20">
            <v>1.6721840936616859</v>
          </cell>
          <cell r="P20">
            <v>0.36635546978662742</v>
          </cell>
          <cell r="Q20">
            <v>0.65457962804933156</v>
          </cell>
          <cell r="R20">
            <v>0.98630526541136898</v>
          </cell>
          <cell r="S20">
            <v>4.2057221280826873</v>
          </cell>
          <cell r="T20">
            <v>0.79163141526706027</v>
          </cell>
          <cell r="U20">
            <v>0.45777141621019279</v>
          </cell>
          <cell r="V20">
            <v>0.46324341673930247</v>
          </cell>
          <cell r="W20">
            <v>0.51472443096548126</v>
          </cell>
          <cell r="X20">
            <v>0.74043202814224462</v>
          </cell>
          <cell r="Y20">
            <v>0.81224477862085054</v>
          </cell>
          <cell r="Z20">
            <v>0.84214140970567009</v>
          </cell>
          <cell r="AA20">
            <v>4.8524209373717637</v>
          </cell>
        </row>
        <row r="22">
          <cell r="J22" t="str">
            <v>Hong Kong Visitor Growth</v>
          </cell>
          <cell r="K22">
            <v>-7.7343801327113937E-2</v>
          </cell>
          <cell r="L22">
            <v>-7.3324432576769016E-2</v>
          </cell>
          <cell r="M22">
            <v>-9.6645919778699851E-2</v>
          </cell>
          <cell r="N22">
            <v>4.1041998936737212E-3</v>
          </cell>
          <cell r="O22">
            <v>-0.10419755178110046</v>
          </cell>
          <cell r="P22">
            <v>0.17136011158920073</v>
          </cell>
          <cell r="Q22">
            <v>4.8745826873872522E-2</v>
          </cell>
          <cell r="R22">
            <v>-1.8224888648026183E-2</v>
          </cell>
          <cell r="S22">
            <v>-9.3752995479508883E-2</v>
          </cell>
          <cell r="T22">
            <v>9.2555052148291406E-2</v>
          </cell>
          <cell r="U22">
            <v>0.1116266905613259</v>
          </cell>
          <cell r="V22">
            <v>0.23611567239405518</v>
          </cell>
          <cell r="W22">
            <v>0.19999999999999996</v>
          </cell>
          <cell r="X22">
            <v>0.06</v>
          </cell>
          <cell r="Y22">
            <v>0.05</v>
          </cell>
          <cell r="Z22">
            <v>0.05</v>
          </cell>
          <cell r="AA22">
            <v>0.73350389665197513</v>
          </cell>
        </row>
        <row r="23">
          <cell r="J23" t="str">
            <v xml:space="preserve">  Share of Total Visitors</v>
          </cell>
          <cell r="K23">
            <v>0.72460496613995473</v>
          </cell>
          <cell r="L23">
            <v>0.63863772987694911</v>
          </cell>
          <cell r="M23">
            <v>0.67174732872407283</v>
          </cell>
          <cell r="N23">
            <v>0.67954234726919482</v>
          </cell>
          <cell r="O23">
            <v>0.56822364620696142</v>
          </cell>
          <cell r="P23">
            <v>0.54076668385320059</v>
          </cell>
          <cell r="Q23">
            <v>0.50551120233509705</v>
          </cell>
          <cell r="R23">
            <v>0.44241673265636039</v>
          </cell>
          <cell r="S23">
            <v>0.38889722604778187</v>
          </cell>
          <cell r="T23">
            <v>0.30295648729564917</v>
          </cell>
          <cell r="U23">
            <v>0.30008208458394431</v>
          </cell>
          <cell r="V23">
            <v>0.31551129682797469</v>
          </cell>
          <cell r="W23">
            <v>0.3101598187863539</v>
          </cell>
          <cell r="X23">
            <v>0.28375684802065348</v>
          </cell>
          <cell r="Y23">
            <v>0.25793979642632126</v>
          </cell>
          <cell r="Z23">
            <v>0.23474225738602753</v>
          </cell>
          <cell r="AA23">
            <v>0.22011137835777075</v>
          </cell>
        </row>
        <row r="24">
          <cell r="J24" t="str">
            <v xml:space="preserve">  Share of Growth</v>
          </cell>
          <cell r="L24">
            <v>-1.0333667837431022</v>
          </cell>
          <cell r="M24">
            <v>0.43721213174589391</v>
          </cell>
          <cell r="N24">
            <v>-0.37186897880541014</v>
          </cell>
          <cell r="O24">
            <v>-0.99313685910375404</v>
          </cell>
          <cell r="P24">
            <v>0.42182036789593563</v>
          </cell>
          <cell r="Q24">
            <v>0.21626561099465261</v>
          </cell>
          <cell r="R24">
            <v>-7.5646154386884351E-2</v>
          </cell>
          <cell r="S24">
            <v>-1.3395745515145585</v>
          </cell>
          <cell r="T24">
            <v>8.9430641129605123E-2</v>
          </cell>
          <cell r="U24">
            <v>0.27657432855676234</v>
          </cell>
          <cell r="V24">
            <v>0.40334354041074738</v>
          </cell>
          <cell r="W24">
            <v>0.28591258959922577</v>
          </cell>
          <cell r="X24">
            <v>0.1173138867519386</v>
          </cell>
          <cell r="Y24">
            <v>9.1479037066692692E-2</v>
          </cell>
          <cell r="Z24">
            <v>8.3876105316348093E-2</v>
          </cell>
          <cell r="AA24">
            <v>1.2689788597699407</v>
          </cell>
        </row>
        <row r="26">
          <cell r="J26" t="str">
            <v>Other Visitor Growth</v>
          </cell>
          <cell r="K26">
            <v>6.112925804946423E-2</v>
          </cell>
          <cell r="L26">
            <v>0.47085060937303624</v>
          </cell>
          <cell r="M26">
            <v>-0.24482125314995939</v>
          </cell>
          <cell r="N26">
            <v>-0.20259035122447822</v>
          </cell>
          <cell r="O26">
            <v>0.11277395559968784</v>
          </cell>
          <cell r="P26">
            <v>0.23199694053158249</v>
          </cell>
          <cell r="Q26">
            <v>7.4621807872190971E-2</v>
          </cell>
          <cell r="R26">
            <v>5.3845357623434342E-2</v>
          </cell>
          <cell r="S26">
            <v>-0.30438226772738453</v>
          </cell>
          <cell r="T26">
            <v>0.37373627254087838</v>
          </cell>
          <cell r="U26">
            <v>0.25890710110825377</v>
          </cell>
          <cell r="V26">
            <v>0.16652685631001729</v>
          </cell>
          <cell r="W26">
            <v>0.31509527323771458</v>
          </cell>
          <cell r="X26">
            <v>0.15</v>
          </cell>
          <cell r="Y26">
            <v>0.1</v>
          </cell>
          <cell r="Z26">
            <v>0.08</v>
          </cell>
          <cell r="AA26">
            <v>1.0958791610998864</v>
          </cell>
        </row>
        <row r="27">
          <cell r="J27" t="str">
            <v xml:space="preserve">  Share of Total Visitors</v>
          </cell>
          <cell r="K27">
            <v>0.2053273137697518</v>
          </cell>
          <cell r="L27">
            <v>0.28723730539436404</v>
          </cell>
          <cell r="M27">
            <v>0.25257128164104914</v>
          </cell>
          <cell r="N27">
            <v>0.20290710225228473</v>
          </cell>
          <cell r="O27">
            <v>0.21076317521729204</v>
          </cell>
          <cell r="P27">
            <v>0.21096215630024714</v>
          </cell>
          <cell r="Q27">
            <v>0.202074176087436</v>
          </cell>
          <cell r="R27">
            <v>0.18983506927205052</v>
          </cell>
          <cell r="S27">
            <v>0.12808663212839708</v>
          </cell>
          <cell r="T27">
            <v>0.12546114704907874</v>
          </cell>
          <cell r="U27">
            <v>0.14073553965336347</v>
          </cell>
          <cell r="V27">
            <v>0.13964142029942375</v>
          </cell>
          <cell r="W27">
            <v>0.15043914230319225</v>
          </cell>
          <cell r="X27">
            <v>0.14931850769286856</v>
          </cell>
          <cell r="Y27">
            <v>0.14219653978299246</v>
          </cell>
          <cell r="Z27">
            <v>0.13310562490381617</v>
          </cell>
          <cell r="AA27">
            <v>0.15422914513226774</v>
          </cell>
        </row>
        <row r="28">
          <cell r="J28" t="str">
            <v xml:space="preserve">  Share of Growth</v>
          </cell>
          <cell r="L28">
            <v>1.8803311590567</v>
          </cell>
          <cell r="M28">
            <v>0.49813157208655623</v>
          </cell>
          <cell r="N28">
            <v>6.9017341040462838</v>
          </cell>
          <cell r="O28">
            <v>0.32095276544206658</v>
          </cell>
          <cell r="P28">
            <v>0.21182416231743689</v>
          </cell>
          <cell r="Q28">
            <v>0.12915476095601508</v>
          </cell>
          <cell r="R28">
            <v>8.9340888975514829E-2</v>
          </cell>
          <cell r="S28">
            <v>-1.8661475765681284</v>
          </cell>
          <cell r="T28">
            <v>0.11893794360333386</v>
          </cell>
          <cell r="U28">
            <v>0.26565425523304587</v>
          </cell>
          <cell r="V28">
            <v>0.1334130428499502</v>
          </cell>
          <cell r="W28">
            <v>0.19936297943529382</v>
          </cell>
          <cell r="X28">
            <v>0.14225408510581672</v>
          </cell>
          <cell r="Y28">
            <v>9.627618431245713E-2</v>
          </cell>
          <cell r="Z28">
            <v>7.3982484977980628E-2</v>
          </cell>
          <cell r="AA28">
            <v>0.88915678141419618</v>
          </cell>
        </row>
        <row r="30">
          <cell r="J30" t="str">
            <v>Check</v>
          </cell>
          <cell r="K30">
            <v>1</v>
          </cell>
          <cell r="L30">
            <v>1</v>
          </cell>
          <cell r="M30">
            <v>1</v>
          </cell>
          <cell r="N30">
            <v>1.0000000000000002</v>
          </cell>
          <cell r="O30">
            <v>1</v>
          </cell>
          <cell r="P30">
            <v>1</v>
          </cell>
          <cell r="Q30">
            <v>1</v>
          </cell>
          <cell r="R30">
            <v>1</v>
          </cell>
          <cell r="S30">
            <v>1.0000000000000002</v>
          </cell>
          <cell r="T30">
            <v>0.99999999999999989</v>
          </cell>
          <cell r="U30">
            <v>0.99999999999999989</v>
          </cell>
          <cell r="V30">
            <v>0.99999999999999989</v>
          </cell>
          <cell r="W30">
            <v>1</v>
          </cell>
          <cell r="X30">
            <v>1</v>
          </cell>
          <cell r="Y30">
            <v>1</v>
          </cell>
          <cell r="Z30">
            <v>0.99999999999999989</v>
          </cell>
        </row>
        <row r="31">
          <cell r="L31">
            <v>1.0000000000000002</v>
          </cell>
          <cell r="M31">
            <v>1.0000000000000002</v>
          </cell>
          <cell r="N31">
            <v>0.99999999999999467</v>
          </cell>
          <cell r="O31">
            <v>0.99999999999999845</v>
          </cell>
          <cell r="P31">
            <v>1</v>
          </cell>
          <cell r="Q31">
            <v>0.99999999999999922</v>
          </cell>
          <cell r="R31">
            <v>0.99999999999999944</v>
          </cell>
          <cell r="S31">
            <v>1.0000000000000007</v>
          </cell>
          <cell r="T31">
            <v>0.99999999999999922</v>
          </cell>
          <cell r="U31">
            <v>1.0000000000000009</v>
          </cell>
          <cell r="V31">
            <v>1</v>
          </cell>
          <cell r="W31">
            <v>1.0000000000000009</v>
          </cell>
          <cell r="X31">
            <v>1</v>
          </cell>
          <cell r="Y31">
            <v>1.0000000000000004</v>
          </cell>
          <cell r="Z31">
            <v>0.99999999999999889</v>
          </cell>
        </row>
        <row r="32">
          <cell r="AA32" t="str">
            <v>Visitor Volume Distribution</v>
          </cell>
        </row>
        <row r="33">
          <cell r="AB33">
            <v>2000</v>
          </cell>
          <cell r="AD33">
            <v>2005</v>
          </cell>
        </row>
        <row r="34">
          <cell r="AB34" t="str">
            <v>Visitors</v>
          </cell>
          <cell r="AC34" t="str">
            <v>Share</v>
          </cell>
          <cell r="AD34" t="str">
            <v>Visitors</v>
          </cell>
          <cell r="AE34" t="str">
            <v>Share</v>
          </cell>
        </row>
        <row r="36">
          <cell r="AA36" t="str">
            <v>Total</v>
          </cell>
          <cell r="AB36">
            <v>9162212</v>
          </cell>
          <cell r="AC36">
            <v>1</v>
          </cell>
          <cell r="AD36">
            <v>18711187</v>
          </cell>
          <cell r="AE36">
            <v>1</v>
          </cell>
        </row>
        <row r="38">
          <cell r="AA38" t="str">
            <v>Mainland China</v>
          </cell>
          <cell r="AB38">
            <v>2274713</v>
          </cell>
          <cell r="AC38">
            <v>0.24827115984655235</v>
          </cell>
          <cell r="AD38">
            <v>10462966</v>
          </cell>
          <cell r="AE38">
            <v>0.55918237576269214</v>
          </cell>
        </row>
        <row r="39">
          <cell r="AA39" t="str">
            <v>Hong Kong</v>
          </cell>
          <cell r="AB39">
            <v>4954619</v>
          </cell>
          <cell r="AC39">
            <v>0.54076668385320048</v>
          </cell>
          <cell r="AD39">
            <v>5614892</v>
          </cell>
          <cell r="AE39">
            <v>0.30008208458394436</v>
          </cell>
        </row>
        <row r="40">
          <cell r="AA40" t="str">
            <v>Taiwan</v>
          </cell>
          <cell r="AB40">
            <v>1311035</v>
          </cell>
          <cell r="AC40">
            <v>0.14309153728379129</v>
          </cell>
          <cell r="AD40">
            <v>1482483</v>
          </cell>
          <cell r="AE40">
            <v>7.9229767731999037E-2</v>
          </cell>
        </row>
        <row r="41">
          <cell r="AA41" t="str">
            <v>Japan</v>
          </cell>
          <cell r="AB41">
            <v>144888</v>
          </cell>
          <cell r="AC41">
            <v>1.5813648494490195E-2</v>
          </cell>
          <cell r="AD41">
            <v>169115</v>
          </cell>
          <cell r="AE41">
            <v>9.0381759318636495E-3</v>
          </cell>
        </row>
        <row r="42">
          <cell r="AA42" t="str">
            <v>Republic of Korea</v>
          </cell>
          <cell r="AB42">
            <v>45365</v>
          </cell>
          <cell r="AC42">
            <v>4.9513152500727988E-3</v>
          </cell>
          <cell r="AD42">
            <v>120739</v>
          </cell>
          <cell r="AE42">
            <v>6.4527707408407603E-3</v>
          </cell>
        </row>
        <row r="43">
          <cell r="AA43" t="str">
            <v>Malaysia</v>
          </cell>
          <cell r="AB43">
            <v>25753</v>
          </cell>
          <cell r="AC43">
            <v>2.8107841206905055E-3</v>
          </cell>
          <cell r="AD43">
            <v>98450</v>
          </cell>
          <cell r="AE43">
            <v>5.261558232516195E-3</v>
          </cell>
        </row>
        <row r="44">
          <cell r="AA44" t="str">
            <v>Philippines</v>
          </cell>
          <cell r="AB44">
            <v>42111</v>
          </cell>
          <cell r="AC44">
            <v>4.5961608397622755E-3</v>
          </cell>
          <cell r="AD44">
            <v>93878</v>
          </cell>
          <cell r="AE44">
            <v>5.01721243018949E-3</v>
          </cell>
        </row>
        <row r="45">
          <cell r="AA45" t="str">
            <v>Singapore</v>
          </cell>
          <cell r="AB45">
            <v>26026</v>
          </cell>
          <cell r="AC45">
            <v>2.8405804187896983E-3</v>
          </cell>
          <cell r="AD45">
            <v>82298</v>
          </cell>
          <cell r="AE45">
            <v>4.3983313298082052E-3</v>
          </cell>
        </row>
        <row r="46">
          <cell r="AA46" t="str">
            <v>Thailand</v>
          </cell>
          <cell r="AB46">
            <v>24396</v>
          </cell>
          <cell r="AC46">
            <v>2.6626757817871929E-3</v>
          </cell>
          <cell r="AD46">
            <v>57876</v>
          </cell>
          <cell r="AE46">
            <v>3.0931228467761026E-3</v>
          </cell>
        </row>
        <row r="47">
          <cell r="AA47" t="str">
            <v>Indonesia</v>
          </cell>
          <cell r="AB47">
            <v>16920</v>
          </cell>
          <cell r="AC47">
            <v>1.846715618455456E-3</v>
          </cell>
          <cell r="AD47">
            <v>46154</v>
          </cell>
          <cell r="AE47">
            <v>2.4666527035404006E-3</v>
          </cell>
        </row>
        <row r="48">
          <cell r="AA48" t="str">
            <v>Other Asia</v>
          </cell>
          <cell r="AB48">
            <v>17738</v>
          </cell>
          <cell r="AC48">
            <v>1.9359953688039527E-3</v>
          </cell>
          <cell r="AD48">
            <v>33753</v>
          </cell>
          <cell r="AE48">
            <v>1.8038941089092851E-3</v>
          </cell>
        </row>
        <row r="49">
          <cell r="AA49" t="str">
            <v>India</v>
          </cell>
          <cell r="AB49">
            <v>7530</v>
          </cell>
          <cell r="AC49">
            <v>8.2185393658212663E-4</v>
          </cell>
          <cell r="AD49">
            <v>20846</v>
          </cell>
          <cell r="AE49">
            <v>1.1140928686138405E-3</v>
          </cell>
        </row>
        <row r="50">
          <cell r="AB50" t="str">
            <v>______</v>
          </cell>
          <cell r="AC50" t="str">
            <v>______</v>
          </cell>
          <cell r="AD50" t="str">
            <v>______</v>
          </cell>
          <cell r="AE50" t="str">
            <v>______</v>
          </cell>
        </row>
        <row r="51">
          <cell r="AA51" t="str">
            <v>Total Asia</v>
          </cell>
          <cell r="AB51">
            <v>8891094</v>
          </cell>
          <cell r="AC51">
            <v>0.97040911081297831</v>
          </cell>
          <cell r="AD51">
            <v>18283450</v>
          </cell>
          <cell r="AE51">
            <v>0.97714003927169346</v>
          </cell>
        </row>
        <row r="53">
          <cell r="AA53" t="str">
            <v>North America</v>
          </cell>
          <cell r="AB53">
            <v>108626</v>
          </cell>
          <cell r="AC53">
            <v>1.1855870612904395E-2</v>
          </cell>
          <cell r="AD53">
            <v>182769</v>
          </cell>
          <cell r="AE53">
            <v>9.7678998130904249E-3</v>
          </cell>
        </row>
        <row r="54">
          <cell r="AA54" t="str">
            <v>Europe</v>
          </cell>
          <cell r="AB54">
            <v>120907</v>
          </cell>
          <cell r="AC54">
            <v>1.3196267451571738E-2</v>
          </cell>
          <cell r="AD54">
            <v>162564</v>
          </cell>
          <cell r="AE54">
            <v>8.6880645252489855E-3</v>
          </cell>
        </row>
        <row r="55">
          <cell r="AA55" t="str">
            <v>Oceania, Africa, Middle East</v>
          </cell>
          <cell r="AB55">
            <v>41585</v>
          </cell>
          <cell r="AC55">
            <v>4.538751122545516E-3</v>
          </cell>
          <cell r="AD55">
            <v>82404</v>
          </cell>
          <cell r="AE55">
            <v>4.4039963899671353E-3</v>
          </cell>
        </row>
        <row r="57">
          <cell r="AA57" t="str">
            <v>Check</v>
          </cell>
          <cell r="AB57">
            <v>9162212</v>
          </cell>
          <cell r="AC57">
            <v>1</v>
          </cell>
          <cell r="AD57">
            <v>18711187</v>
          </cell>
          <cell r="AE57">
            <v>1</v>
          </cell>
        </row>
        <row r="58">
          <cell r="AF58" t="str">
            <v>Visitation by entry point</v>
          </cell>
        </row>
        <row r="59">
          <cell r="AG59" t="str">
            <v>Number</v>
          </cell>
          <cell r="AH59" t="str">
            <v>Share</v>
          </cell>
        </row>
        <row r="61">
          <cell r="AF61" t="str">
            <v>Macau Border Gate</v>
          </cell>
          <cell r="AG61">
            <v>10341814</v>
          </cell>
          <cell r="AH61">
            <v>0.55270753266481709</v>
          </cell>
        </row>
        <row r="62">
          <cell r="AF62" t="str">
            <v>Cotai Checkpoint</v>
          </cell>
          <cell r="AG62">
            <v>609377</v>
          </cell>
          <cell r="AH62">
            <v>3.2567522306307987E-2</v>
          </cell>
        </row>
        <row r="63">
          <cell r="AF63" t="str">
            <v>Outer Harbour</v>
          </cell>
          <cell r="AG63">
            <v>6503195</v>
          </cell>
          <cell r="AH63">
            <v>0.34755651792694925</v>
          </cell>
        </row>
        <row r="64">
          <cell r="AF64" t="str">
            <v>Inner Harbour</v>
          </cell>
          <cell r="AG64">
            <v>216700</v>
          </cell>
          <cell r="AH64">
            <v>1.1581306947549613E-2</v>
          </cell>
        </row>
        <row r="65">
          <cell r="AF65" t="str">
            <v>Airport</v>
          </cell>
          <cell r="AG65">
            <v>1029540</v>
          </cell>
          <cell r="AH65">
            <v>5.5022698453069813E-2</v>
          </cell>
        </row>
        <row r="66">
          <cell r="AF66" t="str">
            <v>Helicopter</v>
          </cell>
          <cell r="AG66">
            <v>10561</v>
          </cell>
          <cell r="AH66">
            <v>5.6442170130628275E-4</v>
          </cell>
        </row>
        <row r="67">
          <cell r="AG67" t="str">
            <v>______</v>
          </cell>
          <cell r="AH67" t="str">
            <v>______</v>
          </cell>
        </row>
        <row r="68">
          <cell r="AG68">
            <v>18711187</v>
          </cell>
          <cell r="AH68">
            <v>1</v>
          </cell>
        </row>
        <row r="70">
          <cell r="AI70" t="str">
            <v>Las Vegas US penetration</v>
          </cell>
        </row>
        <row r="71">
          <cell r="AI71" t="str">
            <v>(mm)</v>
          </cell>
          <cell r="AJ71">
            <v>1999</v>
          </cell>
          <cell r="AK71">
            <v>2000</v>
          </cell>
          <cell r="AL71">
            <v>2001</v>
          </cell>
          <cell r="AM71">
            <v>2002</v>
          </cell>
          <cell r="AN71">
            <v>2003</v>
          </cell>
          <cell r="AO71">
            <v>2004</v>
          </cell>
          <cell r="AP71">
            <v>2005</v>
          </cell>
        </row>
        <row r="73">
          <cell r="AI73" t="str">
            <v>US Population</v>
          </cell>
          <cell r="AJ73">
            <v>280.46662099999998</v>
          </cell>
          <cell r="AK73">
            <v>283.740343</v>
          </cell>
          <cell r="AL73">
            <v>286.62938600000001</v>
          </cell>
          <cell r="AM73">
            <v>289.475819</v>
          </cell>
          <cell r="AN73">
            <v>292.30278199999998</v>
          </cell>
          <cell r="AO73">
            <v>295.10765700000002</v>
          </cell>
          <cell r="AP73">
            <v>297.82117499999998</v>
          </cell>
        </row>
        <row r="75">
          <cell r="AI75" t="str">
            <v>Las Vegas Visitors</v>
          </cell>
          <cell r="AJ75">
            <v>33.809134</v>
          </cell>
          <cell r="AK75">
            <v>35.849691</v>
          </cell>
          <cell r="AL75">
            <v>35.012</v>
          </cell>
          <cell r="AM75">
            <v>35.071505000000002</v>
          </cell>
          <cell r="AN75">
            <v>35.540126000000001</v>
          </cell>
          <cell r="AO75">
            <v>37.388781000000002</v>
          </cell>
          <cell r="AP75">
            <v>38.566716999999997</v>
          </cell>
        </row>
        <row r="76">
          <cell r="AI76" t="str">
            <v xml:space="preserve">  % International</v>
          </cell>
          <cell r="AJ76">
            <v>0.11</v>
          </cell>
          <cell r="AK76">
            <v>0.13</v>
          </cell>
          <cell r="AL76">
            <v>0.12</v>
          </cell>
          <cell r="AM76">
            <v>0.08</v>
          </cell>
          <cell r="AN76">
            <v>0.09</v>
          </cell>
          <cell r="AO76">
            <v>0.13</v>
          </cell>
          <cell r="AP76">
            <v>0.12</v>
          </cell>
        </row>
        <row r="77">
          <cell r="AI77" t="str">
            <v xml:space="preserve">  Domestic Visitors</v>
          </cell>
          <cell r="AJ77">
            <v>30.090129260000001</v>
          </cell>
          <cell r="AK77">
            <v>31.189231169999999</v>
          </cell>
          <cell r="AL77">
            <v>30.810559999999999</v>
          </cell>
          <cell r="AM77">
            <v>32.265784600000003</v>
          </cell>
          <cell r="AN77">
            <v>32.341514660000001</v>
          </cell>
          <cell r="AO77">
            <v>32.528239470000003</v>
          </cell>
          <cell r="AP77">
            <v>33.938710959999995</v>
          </cell>
        </row>
        <row r="79">
          <cell r="AI79" t="str">
            <v>US Pentration Rate</v>
          </cell>
          <cell r="AJ79">
            <v>0.10728595493008776</v>
          </cell>
          <cell r="AK79">
            <v>0.10992173633200972</v>
          </cell>
          <cell r="AL79">
            <v>0.10749267697206732</v>
          </cell>
          <cell r="AM79">
            <v>0.11146279751953998</v>
          </cell>
          <cell r="AN79">
            <v>0.11064388247936691</v>
          </cell>
          <cell r="AO79">
            <v>0.11022499314546759</v>
          </cell>
          <cell r="AP79">
            <v>0.11395667537743076</v>
          </cell>
        </row>
        <row r="81">
          <cell r="AQ81" t="str">
            <v>Revenue per visitor</v>
          </cell>
        </row>
        <row r="82">
          <cell r="AQ82" t="str">
            <v>($mm)</v>
          </cell>
          <cell r="AR82">
            <v>1999</v>
          </cell>
          <cell r="AS82">
            <v>2000</v>
          </cell>
          <cell r="AT82">
            <v>2001</v>
          </cell>
          <cell r="AU82">
            <v>2002</v>
          </cell>
          <cell r="AV82">
            <v>2003</v>
          </cell>
          <cell r="AW82">
            <v>2004</v>
          </cell>
        </row>
        <row r="84">
          <cell r="AQ84" t="str">
            <v>Gaming Revenue/Visitor</v>
          </cell>
          <cell r="AR84">
            <v>217.86376862885368</v>
          </cell>
          <cell r="AS84">
            <v>216.84155772657923</v>
          </cell>
          <cell r="AT84">
            <v>219.47156798001637</v>
          </cell>
          <cell r="AU84">
            <v>233.6752566583952</v>
          </cell>
          <cell r="AV84">
            <v>292.57303766303806</v>
          </cell>
          <cell r="AW84">
            <v>300.64740025553272</v>
          </cell>
        </row>
        <row r="85">
          <cell r="AQ85" t="str">
            <v xml:space="preserve">  Year-over-Year growth</v>
          </cell>
          <cell r="AR85">
            <v>-0.16593356360145228</v>
          </cell>
          <cell r="AS85">
            <v>-4.6919729182499648E-3</v>
          </cell>
          <cell r="AT85">
            <v>1.212871868755605E-2</v>
          </cell>
          <cell r="AU85">
            <v>6.4717670763039914E-2</v>
          </cell>
          <cell r="AV85">
            <v>0.25204971141101273</v>
          </cell>
          <cell r="AW85">
            <v>2.7597767234430082E-2</v>
          </cell>
        </row>
        <row r="87">
          <cell r="AX87" t="str">
            <v>Gaming Revenue forecast</v>
          </cell>
        </row>
        <row r="88">
          <cell r="AX88" t="str">
            <v>($mm)</v>
          </cell>
          <cell r="AY88">
            <v>2004</v>
          </cell>
          <cell r="AZ88">
            <v>2005</v>
          </cell>
          <cell r="BA88" t="str">
            <v>2006E</v>
          </cell>
          <cell r="BB88" t="str">
            <v>2007E</v>
          </cell>
          <cell r="BC88" t="str">
            <v>2008E</v>
          </cell>
          <cell r="BD88" t="str">
            <v>2009E</v>
          </cell>
          <cell r="BE88" t="str">
            <v>2010E</v>
          </cell>
        </row>
        <row r="90">
          <cell r="AX90" t="str">
            <v>Gaming Revenue</v>
          </cell>
          <cell r="AY90">
            <v>5012.5606170147839</v>
          </cell>
          <cell r="AZ90">
            <v>5583.0517159194042</v>
          </cell>
          <cell r="BA90">
            <v>6872.4190251586988</v>
          </cell>
          <cell r="BB90">
            <v>8711.3099488232911</v>
          </cell>
          <cell r="BC90">
            <v>9975.4970811944731</v>
          </cell>
          <cell r="BD90">
            <v>11495.287373279902</v>
          </cell>
          <cell r="BE90">
            <v>12937.576081668471</v>
          </cell>
        </row>
        <row r="91">
          <cell r="AX91" t="str">
            <v xml:space="preserve">  Year-over-Year growth</v>
          </cell>
          <cell r="AY91">
            <v>0.44118943701053093</v>
          </cell>
          <cell r="AZ91">
            <v>0.11381230921539953</v>
          </cell>
          <cell r="BA91">
            <v>0.23094310689668474</v>
          </cell>
          <cell r="BB91">
            <v>0.26757549516883961</v>
          </cell>
          <cell r="BC91">
            <v>0.14512021036996225</v>
          </cell>
          <cell r="BD91">
            <v>0.15235233690263872</v>
          </cell>
          <cell r="BE91">
            <v>0.12546782534041578</v>
          </cell>
        </row>
        <row r="93">
          <cell r="BF93" t="str">
            <v>Daily win per position forecast</v>
          </cell>
        </row>
        <row r="94">
          <cell r="BF94" t="str">
            <v>($mm)</v>
          </cell>
          <cell r="BG94">
            <v>2004</v>
          </cell>
          <cell r="BH94">
            <v>2005</v>
          </cell>
          <cell r="BI94" t="str">
            <v>2006E</v>
          </cell>
          <cell r="BJ94" t="str">
            <v>2007E</v>
          </cell>
          <cell r="BK94" t="str">
            <v>2008E</v>
          </cell>
          <cell r="BL94" t="str">
            <v>2009E</v>
          </cell>
          <cell r="BM94" t="str">
            <v>2010E</v>
          </cell>
        </row>
        <row r="96">
          <cell r="BF96" t="str">
            <v>Overall Daily Win/Position</v>
          </cell>
          <cell r="BG96">
            <v>1923.074314419533</v>
          </cell>
          <cell r="BH96">
            <v>1133.8513082263344</v>
          </cell>
          <cell r="BI96">
            <v>846.84804241168968</v>
          </cell>
          <cell r="BJ96">
            <v>554.18520300220416</v>
          </cell>
          <cell r="BK96">
            <v>420.75875765684395</v>
          </cell>
          <cell r="BL96">
            <v>328.00414157503479</v>
          </cell>
          <cell r="BM96">
            <v>297.66203483343799</v>
          </cell>
        </row>
        <row r="98">
          <cell r="BF98" t="str">
            <v>Tables</v>
          </cell>
        </row>
        <row r="99">
          <cell r="BF99" t="str">
            <v>Overall Daily Win/Table</v>
          </cell>
          <cell r="BG99">
            <v>20414.826766476152</v>
          </cell>
          <cell r="BH99">
            <v>11887.951376957966</v>
          </cell>
          <cell r="BI99">
            <v>8789.413707071848</v>
          </cell>
          <cell r="BJ99">
            <v>5794.6280674243335</v>
          </cell>
          <cell r="BK99">
            <v>4418.7291130811236</v>
          </cell>
          <cell r="BL99">
            <v>3327.7505285950278</v>
          </cell>
          <cell r="BM99">
            <v>2957.6453872411762</v>
          </cell>
          <cell r="BN99">
            <v>-0.75120647002528251</v>
          </cell>
        </row>
        <row r="100">
          <cell r="BF100" t="str">
            <v>VIP Daily Win/Table</v>
          </cell>
          <cell r="BG100">
            <v>50592.455869262696</v>
          </cell>
          <cell r="BH100">
            <v>33492.743825717982</v>
          </cell>
          <cell r="BI100">
            <v>24840.441493932929</v>
          </cell>
          <cell r="BJ100">
            <v>21145.682313409634</v>
          </cell>
          <cell r="BK100">
            <v>17695.549290114752</v>
          </cell>
          <cell r="BL100">
            <v>13355.530672336219</v>
          </cell>
          <cell r="BM100">
            <v>11132.604799823705</v>
          </cell>
        </row>
        <row r="101">
          <cell r="BF101" t="str">
            <v>Mass Market Daily Win/Table</v>
          </cell>
          <cell r="BG101">
            <v>7793.2971252477782</v>
          </cell>
          <cell r="BH101">
            <v>5486.2206435972312</v>
          </cell>
          <cell r="BI101">
            <v>3765.0870033772258</v>
          </cell>
          <cell r="BJ101">
            <v>2260.7169174700166</v>
          </cell>
          <cell r="BK101">
            <v>1773.6354395919532</v>
          </cell>
          <cell r="BL101">
            <v>1434.3036180858212</v>
          </cell>
          <cell r="BM101">
            <v>1365.3838712194677</v>
          </cell>
        </row>
        <row r="103">
          <cell r="BF103" t="str">
            <v>Slots</v>
          </cell>
        </row>
        <row r="104">
          <cell r="BF104" t="str">
            <v>Daily Win/Slot</v>
          </cell>
          <cell r="BG104">
            <v>136.89300769567095</v>
          </cell>
          <cell r="BH104">
            <v>142.29534428720078</v>
          </cell>
          <cell r="BI104">
            <v>143.3181059766107</v>
          </cell>
          <cell r="BJ104">
            <v>146.39160569190702</v>
          </cell>
          <cell r="BK104">
            <v>149.31943780574517</v>
          </cell>
          <cell r="BL104">
            <v>152.30582656186007</v>
          </cell>
          <cell r="BM104">
            <v>155.35194309309728</v>
          </cell>
        </row>
        <row r="106">
          <cell r="BN106" t="str">
            <v>Overall Macau forecast summary</v>
          </cell>
        </row>
        <row r="107">
          <cell r="BN107" t="str">
            <v>($mm)</v>
          </cell>
          <cell r="BO107">
            <v>2004</v>
          </cell>
          <cell r="BP107">
            <v>2005</v>
          </cell>
          <cell r="BQ107">
            <v>2006</v>
          </cell>
          <cell r="BR107" t="str">
            <v>2007E</v>
          </cell>
          <cell r="BS107" t="str">
            <v>2008E</v>
          </cell>
          <cell r="BT107" t="str">
            <v>2009E</v>
          </cell>
          <cell r="BU107" t="str">
            <v>2010E</v>
          </cell>
        </row>
        <row r="109">
          <cell r="BN109" t="str">
            <v>Visitor Volume</v>
          </cell>
          <cell r="BO109">
            <v>16.672556</v>
          </cell>
          <cell r="BP109">
            <v>18.711186999999999</v>
          </cell>
          <cell r="BQ109">
            <v>21.998122000000002</v>
          </cell>
          <cell r="BR109">
            <v>26.853211459144823</v>
          </cell>
          <cell r="BS109">
            <v>31.112956369452657</v>
          </cell>
          <cell r="BT109">
            <v>35.938386716715485</v>
          </cell>
          <cell r="BU109">
            <v>41.464358695646425</v>
          </cell>
        </row>
        <row r="110">
          <cell r="BN110" t="str">
            <v xml:space="preserve">  Year-over-Year growth</v>
          </cell>
          <cell r="BO110">
            <v>0.40248400975918686</v>
          </cell>
          <cell r="BP110">
            <v>0.12227465302860563</v>
          </cell>
          <cell r="BQ110">
            <v>0.17566683503296732</v>
          </cell>
          <cell r="BR110">
            <v>0.22070472466444269</v>
          </cell>
          <cell r="BS110">
            <v>0.15863074391637366</v>
          </cell>
          <cell r="BT110">
            <v>0.15509391939367534</v>
          </cell>
          <cell r="BU110">
            <v>0.15376238289407484</v>
          </cell>
        </row>
        <row r="112">
          <cell r="BN112" t="str">
            <v>Total Gaming Revenue</v>
          </cell>
          <cell r="BO112">
            <v>5012.5606170147839</v>
          </cell>
          <cell r="BP112">
            <v>5583.0517159194042</v>
          </cell>
          <cell r="BQ112">
            <v>6872.4190251586988</v>
          </cell>
          <cell r="BR112">
            <v>8711.3099488232911</v>
          </cell>
          <cell r="BS112">
            <v>9975.4970811944731</v>
          </cell>
          <cell r="BT112">
            <v>11495.287373279902</v>
          </cell>
          <cell r="BU112">
            <v>12937.576081668471</v>
          </cell>
          <cell r="BV112">
            <v>0.1829627953399644</v>
          </cell>
        </row>
        <row r="113">
          <cell r="BN113" t="str">
            <v xml:space="preserve">  Year-over-Year growth</v>
          </cell>
          <cell r="BO113">
            <v>0.44118943701053093</v>
          </cell>
          <cell r="BP113">
            <v>0.11381230921539953</v>
          </cell>
          <cell r="BQ113">
            <v>0.23094310689668474</v>
          </cell>
          <cell r="BR113">
            <v>0.26757549516883961</v>
          </cell>
          <cell r="BS113">
            <v>0.14512021036996225</v>
          </cell>
          <cell r="BT113">
            <v>0.15235233690263872</v>
          </cell>
          <cell r="BU113">
            <v>0.12546782534041578</v>
          </cell>
        </row>
        <row r="114">
          <cell r="BN114" t="str">
            <v>VIP Revenue</v>
          </cell>
          <cell r="BO114">
            <v>3607.0036807892443</v>
          </cell>
          <cell r="BP114">
            <v>3497.8356344037484</v>
          </cell>
          <cell r="BQ114">
            <v>4462.2919091703079</v>
          </cell>
          <cell r="BR114">
            <v>5544.8648697270928</v>
          </cell>
          <cell r="BS114">
            <v>5988.4540593052607</v>
          </cell>
          <cell r="BT114">
            <v>6347.7613028635769</v>
          </cell>
          <cell r="BU114">
            <v>6601.6717549781206</v>
          </cell>
          <cell r="BV114">
            <v>0.13105156918683147</v>
          </cell>
        </row>
        <row r="115">
          <cell r="BN115" t="str">
            <v xml:space="preserve">  Year-over-Year growth</v>
          </cell>
          <cell r="BO115">
            <v>0.34146712387319189</v>
          </cell>
          <cell r="BP115">
            <v>-3.0265576652145021E-2</v>
          </cell>
          <cell r="BQ115">
            <v>0.27572944402545185</v>
          </cell>
          <cell r="BR115">
            <v>0.24260469341596069</v>
          </cell>
          <cell r="BS115">
            <v>0.08</v>
          </cell>
          <cell r="BT115">
            <v>0.06</v>
          </cell>
          <cell r="BU115">
            <v>3.9999999999999994E-2</v>
          </cell>
        </row>
        <row r="116">
          <cell r="BN116" t="str">
            <v>Mass Market Revenue</v>
          </cell>
          <cell r="BO116">
            <v>1405.5569362255396</v>
          </cell>
          <cell r="BP116">
            <v>2085.2160815156567</v>
          </cell>
          <cell r="BQ116">
            <v>2410.12711598839</v>
          </cell>
          <cell r="BR116">
            <v>3166.4450790961996</v>
          </cell>
          <cell r="BS116">
            <v>3987.0430218892116</v>
          </cell>
          <cell r="BT116">
            <v>5147.5260704163238</v>
          </cell>
          <cell r="BU116">
            <v>6335.90432669035</v>
          </cell>
          <cell r="BV116">
            <v>0.25909458829141108</v>
          </cell>
        </row>
        <row r="117">
          <cell r="BN117" t="str">
            <v xml:space="preserve">  Year-over-Year growth</v>
          </cell>
          <cell r="BO117">
            <v>0.78093957094616173</v>
          </cell>
          <cell r="BP117">
            <v>0.48355148608583787</v>
          </cell>
          <cell r="BQ117">
            <v>0.15581648221155531</v>
          </cell>
          <cell r="BR117">
            <v>0.31380832906717648</v>
          </cell>
          <cell r="BS117">
            <v>0.25915432679073525</v>
          </cell>
          <cell r="BT117">
            <v>0.29106358826728473</v>
          </cell>
          <cell r="BU117">
            <v>0.23086396067109427</v>
          </cell>
        </row>
        <row r="119">
          <cell r="BN119" t="str">
            <v>% VIP</v>
          </cell>
          <cell r="BO119">
            <v>0.71959302966741678</v>
          </cell>
          <cell r="BP119">
            <v>0.6265096245535553</v>
          </cell>
          <cell r="BQ119">
            <v>0.64930439963492537</v>
          </cell>
          <cell r="BR119">
            <v>0.63651332604415989</v>
          </cell>
          <cell r="BS119">
            <v>0.60031635622394453</v>
          </cell>
          <cell r="BT119">
            <v>0.55220553403637074</v>
          </cell>
          <cell r="BU119">
            <v>0.51027114455637257</v>
          </cell>
        </row>
        <row r="120">
          <cell r="BN120" t="str">
            <v>% Mass Market</v>
          </cell>
          <cell r="BO120">
            <v>0.28040697033258322</v>
          </cell>
          <cell r="BP120">
            <v>0.37349037544644492</v>
          </cell>
          <cell r="BQ120">
            <v>0.35069560036507452</v>
          </cell>
          <cell r="BR120">
            <v>0.36348667395584033</v>
          </cell>
          <cell r="BS120">
            <v>0.39968364377605536</v>
          </cell>
          <cell r="BT120">
            <v>0.44779446596362921</v>
          </cell>
          <cell r="BU120">
            <v>0.48972885544362743</v>
          </cell>
        </row>
        <row r="122">
          <cell r="BN122" t="str">
            <v>Daily Win/Table (US$)</v>
          </cell>
          <cell r="BP122">
            <v>11887.951376957966</v>
          </cell>
          <cell r="BQ122">
            <v>8789.413707071848</v>
          </cell>
          <cell r="BR122">
            <v>5794.6280674243335</v>
          </cell>
          <cell r="BS122">
            <v>4418.7291130811236</v>
          </cell>
          <cell r="BT122">
            <v>3327.7505285950278</v>
          </cell>
          <cell r="BU122">
            <v>2957.6453872411762</v>
          </cell>
        </row>
        <row r="123">
          <cell r="BN123" t="str">
            <v>Daily VIP Win/Table (US$)</v>
          </cell>
          <cell r="BP123">
            <v>33492.743825717982</v>
          </cell>
          <cell r="BQ123">
            <v>24840.441493932929</v>
          </cell>
          <cell r="BR123">
            <v>21145.682313409634</v>
          </cell>
          <cell r="BS123">
            <v>17695.549290114752</v>
          </cell>
          <cell r="BT123">
            <v>13355.530672336219</v>
          </cell>
          <cell r="BU123">
            <v>11132.604799823705</v>
          </cell>
        </row>
        <row r="124">
          <cell r="BN124" t="str">
            <v>Daily Mass Market Win/Table (US$)</v>
          </cell>
          <cell r="BP124">
            <v>5486.2206435972312</v>
          </cell>
          <cell r="BQ124">
            <v>3765.0870033772258</v>
          </cell>
          <cell r="BR124">
            <v>2260.7169174700166</v>
          </cell>
          <cell r="BS124">
            <v>1773.6354395919532</v>
          </cell>
          <cell r="BT124">
            <v>1434.3036180858212</v>
          </cell>
          <cell r="BU124">
            <v>1365.3838712194677</v>
          </cell>
        </row>
        <row r="126">
          <cell r="BN126" t="str">
            <v>Average Tables</v>
          </cell>
          <cell r="BO126">
            <v>660.54586717630195</v>
          </cell>
          <cell r="BP126">
            <v>1251.75</v>
          </cell>
          <cell r="BQ126">
            <v>2064.4426328502418</v>
          </cell>
          <cell r="BR126">
            <v>3839.166666666667</v>
          </cell>
          <cell r="BS126">
            <v>5581</v>
          </cell>
          <cell r="BT126">
            <v>8198.5</v>
          </cell>
          <cell r="BU126">
            <v>9966</v>
          </cell>
        </row>
        <row r="127">
          <cell r="BN127" t="str">
            <v>Average Slots</v>
          </cell>
          <cell r="BO127">
            <v>1548.6654323936932</v>
          </cell>
          <cell r="BP127">
            <v>2918.5</v>
          </cell>
          <cell r="BQ127">
            <v>4767.75</v>
          </cell>
          <cell r="BR127">
            <v>11066.615942028986</v>
          </cell>
          <cell r="BS127">
            <v>17875.782608695652</v>
          </cell>
          <cell r="BT127">
            <v>27650.782608695652</v>
          </cell>
          <cell r="BU127">
            <v>38425.782608695648</v>
          </cell>
        </row>
        <row r="129">
          <cell r="BV129" t="str">
            <v>2005 Gaming revenue composition</v>
          </cell>
        </row>
        <row r="130">
          <cell r="BV130" t="str">
            <v>($mm)</v>
          </cell>
          <cell r="BW130" t="str">
            <v>Revenues</v>
          </cell>
          <cell r="BX130" t="str">
            <v>Share of Total Revenue</v>
          </cell>
          <cell r="BY130" t="str">
            <v>Share of Casino Revenue</v>
          </cell>
        </row>
        <row r="132">
          <cell r="BV132" t="str">
            <v>VIP Baccarat</v>
          </cell>
          <cell r="BW132">
            <v>3498.0456748274623</v>
          </cell>
          <cell r="BX132">
            <v>0.61185447981617602</v>
          </cell>
          <cell r="BY132">
            <v>0.62656829373835987</v>
          </cell>
        </row>
        <row r="133">
          <cell r="BV133" t="str">
            <v>Baccarat</v>
          </cell>
          <cell r="BW133">
            <v>1204.3404955340527</v>
          </cell>
          <cell r="BX133">
            <v>0.21065509027491169</v>
          </cell>
          <cell r="BY133">
            <v>0.21572090233041405</v>
          </cell>
        </row>
        <row r="134">
          <cell r="BV134" t="str">
            <v>Other Table Games</v>
          </cell>
          <cell r="BW134">
            <v>728.9378871205115</v>
          </cell>
          <cell r="BX134">
            <v>0.1275008828363631</v>
          </cell>
          <cell r="BY134">
            <v>0.13056701102019538</v>
          </cell>
        </row>
        <row r="135">
          <cell r="BV135" t="str">
            <v>Slot Machines</v>
          </cell>
          <cell r="BW135">
            <v>151.54010877941423</v>
          </cell>
          <cell r="BX135">
            <v>2.6506370427278242E-2</v>
          </cell>
          <cell r="BY135">
            <v>2.7143792911030629E-2</v>
          </cell>
        </row>
        <row r="136">
          <cell r="BW136" t="str">
            <v>______</v>
          </cell>
          <cell r="BX136" t="str">
            <v>______</v>
          </cell>
          <cell r="BY136" t="str">
            <v>______</v>
          </cell>
        </row>
        <row r="137">
          <cell r="BV137" t="str">
            <v>Total Casino Games</v>
          </cell>
          <cell r="BW137">
            <v>5582.8641662614409</v>
          </cell>
          <cell r="BX137">
            <v>0.976516823354729</v>
          </cell>
          <cell r="BY137">
            <v>1</v>
          </cell>
        </row>
        <row r="138">
          <cell r="BV138" t="str">
            <v>Racing Lottery, etc.</v>
          </cell>
          <cell r="BW138">
            <v>134.25614619979413</v>
          </cell>
          <cell r="BX138">
            <v>2.3483176645271005E-2</v>
          </cell>
          <cell r="BY138" t="str">
            <v>N.M.</v>
          </cell>
        </row>
        <row r="139">
          <cell r="BW139" t="str">
            <v>______</v>
          </cell>
          <cell r="BX139" t="str">
            <v>______</v>
          </cell>
          <cell r="BY139" t="str">
            <v>______</v>
          </cell>
        </row>
        <row r="140">
          <cell r="BV140" t="str">
            <v>Total Gaming Revenue</v>
          </cell>
          <cell r="BW140">
            <v>5717.1203124612348</v>
          </cell>
          <cell r="BX140">
            <v>1</v>
          </cell>
          <cell r="BY140" t="str">
            <v>N.M.</v>
          </cell>
        </row>
        <row r="142">
          <cell r="BZ142" t="str">
            <v>Impact of win rate on EBITDA</v>
          </cell>
        </row>
        <row r="143">
          <cell r="CA143" t="str">
            <v>Win Rate</v>
          </cell>
        </row>
        <row r="144">
          <cell r="CA144">
            <v>2.4500000000000001E-2</v>
          </cell>
          <cell r="CB144">
            <v>2.5500000000000002E-2</v>
          </cell>
          <cell r="CC144">
            <v>2.6500000000000003E-2</v>
          </cell>
          <cell r="CD144">
            <v>2.7500000000000004E-2</v>
          </cell>
          <cell r="CE144">
            <v>2.8500000000000004E-2</v>
          </cell>
          <cell r="CF144">
            <v>2.9500000000000005E-2</v>
          </cell>
        </row>
        <row r="146">
          <cell r="BZ146" t="str">
            <v>Rolling Chip Volume</v>
          </cell>
          <cell r="CA146">
            <v>1000</v>
          </cell>
          <cell r="CB146">
            <v>1000</v>
          </cell>
          <cell r="CC146">
            <v>1000</v>
          </cell>
          <cell r="CD146">
            <v>1000</v>
          </cell>
          <cell r="CE146">
            <v>1000</v>
          </cell>
          <cell r="CF146">
            <v>1000</v>
          </cell>
        </row>
        <row r="148">
          <cell r="BZ148" t="str">
            <v>Gross Gaming Revenue</v>
          </cell>
          <cell r="CA148">
            <v>24.5</v>
          </cell>
          <cell r="CB148">
            <v>25.500000000000004</v>
          </cell>
          <cell r="CC148">
            <v>26.500000000000004</v>
          </cell>
          <cell r="CD148">
            <v>27.500000000000004</v>
          </cell>
          <cell r="CE148">
            <v>28.500000000000004</v>
          </cell>
          <cell r="CF148">
            <v>29.500000000000007</v>
          </cell>
        </row>
        <row r="149">
          <cell r="BZ149" t="str">
            <v>0.8% Rebate to Player</v>
          </cell>
          <cell r="CA149">
            <v>-8</v>
          </cell>
          <cell r="CB149">
            <v>-8</v>
          </cell>
          <cell r="CC149">
            <v>-8</v>
          </cell>
          <cell r="CD149">
            <v>-8</v>
          </cell>
          <cell r="CE149">
            <v>-8</v>
          </cell>
          <cell r="CF149">
            <v>-8</v>
          </cell>
        </row>
        <row r="150">
          <cell r="CA150" t="str">
            <v xml:space="preserve">_____ </v>
          </cell>
          <cell r="CB150" t="str">
            <v xml:space="preserve">_____ </v>
          </cell>
          <cell r="CC150" t="str">
            <v xml:space="preserve">_____ </v>
          </cell>
          <cell r="CD150" t="str">
            <v xml:space="preserve">_____ </v>
          </cell>
          <cell r="CE150" t="str">
            <v xml:space="preserve">_____ </v>
          </cell>
          <cell r="CF150" t="str">
            <v xml:space="preserve">_____ </v>
          </cell>
        </row>
        <row r="151">
          <cell r="BZ151" t="str">
            <v>Net Gaming Revenue</v>
          </cell>
          <cell r="CA151">
            <v>16.5</v>
          </cell>
          <cell r="CB151">
            <v>17.500000000000004</v>
          </cell>
          <cell r="CC151">
            <v>18.500000000000004</v>
          </cell>
          <cell r="CD151">
            <v>19.500000000000004</v>
          </cell>
          <cell r="CE151">
            <v>20.500000000000004</v>
          </cell>
          <cell r="CF151">
            <v>21.500000000000007</v>
          </cell>
        </row>
        <row r="153">
          <cell r="BZ153" t="str">
            <v>Taxes (39% of gross revenue)</v>
          </cell>
          <cell r="CA153">
            <v>9.5549999999999997</v>
          </cell>
          <cell r="CB153">
            <v>9.9450000000000021</v>
          </cell>
          <cell r="CC153">
            <v>10.335000000000001</v>
          </cell>
          <cell r="CD153">
            <v>10.725000000000001</v>
          </cell>
          <cell r="CE153">
            <v>11.115000000000002</v>
          </cell>
          <cell r="CF153">
            <v>11.505000000000003</v>
          </cell>
        </row>
        <row r="154">
          <cell r="BZ154" t="str">
            <v>Junket Commission (0.3% of rolling)</v>
          </cell>
          <cell r="CA154">
            <v>3</v>
          </cell>
          <cell r="CB154">
            <v>3</v>
          </cell>
          <cell r="CC154">
            <v>3</v>
          </cell>
          <cell r="CD154">
            <v>3</v>
          </cell>
          <cell r="CE154">
            <v>3</v>
          </cell>
          <cell r="CF154">
            <v>3</v>
          </cell>
        </row>
        <row r="155">
          <cell r="BZ155" t="str">
            <v>Operating Expense (0.2% of rolling)</v>
          </cell>
          <cell r="CA155">
            <v>2</v>
          </cell>
          <cell r="CB155">
            <v>2</v>
          </cell>
          <cell r="CC155">
            <v>2</v>
          </cell>
          <cell r="CD155">
            <v>2</v>
          </cell>
          <cell r="CE155">
            <v>2</v>
          </cell>
          <cell r="CF155">
            <v>2</v>
          </cell>
        </row>
        <row r="156">
          <cell r="CA156" t="str">
            <v xml:space="preserve">_____ </v>
          </cell>
          <cell r="CB156" t="str">
            <v xml:space="preserve">_____ </v>
          </cell>
          <cell r="CC156" t="str">
            <v xml:space="preserve">_____ </v>
          </cell>
          <cell r="CD156" t="str">
            <v xml:space="preserve">_____ </v>
          </cell>
          <cell r="CE156" t="str">
            <v xml:space="preserve">_____ </v>
          </cell>
          <cell r="CF156" t="str">
            <v xml:space="preserve">_____ </v>
          </cell>
        </row>
        <row r="157">
          <cell r="BZ157" t="str">
            <v>Total Expenses</v>
          </cell>
          <cell r="CA157">
            <v>14.555</v>
          </cell>
          <cell r="CB157">
            <v>14.945000000000002</v>
          </cell>
          <cell r="CC157">
            <v>15.335000000000001</v>
          </cell>
          <cell r="CD157">
            <v>15.725000000000001</v>
          </cell>
          <cell r="CE157">
            <v>16.115000000000002</v>
          </cell>
          <cell r="CF157">
            <v>16.505000000000003</v>
          </cell>
        </row>
        <row r="159">
          <cell r="BZ159" t="str">
            <v>EBITDA</v>
          </cell>
          <cell r="CA159">
            <v>1.9450000000000003</v>
          </cell>
          <cell r="CB159">
            <v>2.5550000000000015</v>
          </cell>
          <cell r="CC159">
            <v>3.1650000000000027</v>
          </cell>
          <cell r="CD159">
            <v>3.7750000000000021</v>
          </cell>
          <cell r="CE159">
            <v>4.3850000000000016</v>
          </cell>
          <cell r="CF159">
            <v>4.9950000000000045</v>
          </cell>
        </row>
        <row r="160">
          <cell r="BZ160" t="str">
            <v xml:space="preserve">  Margin</v>
          </cell>
          <cell r="CA160">
            <v>0.1178787878787879</v>
          </cell>
          <cell r="CB160">
            <v>0.14600000000000005</v>
          </cell>
          <cell r="CC160">
            <v>0.17108108108108119</v>
          </cell>
          <cell r="CD160">
            <v>0.19358974358974365</v>
          </cell>
          <cell r="CE160">
            <v>0.2139024390243903</v>
          </cell>
          <cell r="CF160">
            <v>0.23232558139534898</v>
          </cell>
        </row>
        <row r="161">
          <cell r="CG161" t="str">
            <v>Impact of junket commission on EBITDA</v>
          </cell>
        </row>
        <row r="162">
          <cell r="CH162" t="str">
            <v>Rebate Rate</v>
          </cell>
        </row>
        <row r="163">
          <cell r="CH163">
            <v>6.0000000000000001E-3</v>
          </cell>
          <cell r="CI163">
            <v>7.0000000000000001E-3</v>
          </cell>
          <cell r="CJ163">
            <v>8.0000000000000002E-3</v>
          </cell>
          <cell r="CK163">
            <v>9.0000000000000011E-3</v>
          </cell>
          <cell r="CL163">
            <v>1.0000000000000002E-2</v>
          </cell>
          <cell r="CM163">
            <v>1.1000000000000003E-2</v>
          </cell>
        </row>
        <row r="165">
          <cell r="CG165" t="str">
            <v>Rolling Chip Volume</v>
          </cell>
          <cell r="CH165">
            <v>1000</v>
          </cell>
          <cell r="CI165">
            <v>1000</v>
          </cell>
          <cell r="CJ165">
            <v>1000</v>
          </cell>
          <cell r="CK165">
            <v>1000</v>
          </cell>
          <cell r="CL165">
            <v>1000</v>
          </cell>
          <cell r="CM165">
            <v>1000</v>
          </cell>
        </row>
        <row r="167">
          <cell r="CG167" t="str">
            <v>Gross Gaming Revenue @ 2.65% Win</v>
          </cell>
          <cell r="CH167">
            <v>26.5</v>
          </cell>
          <cell r="CI167">
            <v>26.5</v>
          </cell>
          <cell r="CJ167">
            <v>26.5</v>
          </cell>
          <cell r="CK167">
            <v>26.5</v>
          </cell>
          <cell r="CL167">
            <v>26.5</v>
          </cell>
          <cell r="CM167">
            <v>26.5</v>
          </cell>
        </row>
        <row r="168">
          <cell r="CG168" t="str">
            <v>Rebate to Player</v>
          </cell>
          <cell r="CH168">
            <v>-6</v>
          </cell>
          <cell r="CI168">
            <v>-7</v>
          </cell>
          <cell r="CJ168">
            <v>-8</v>
          </cell>
          <cell r="CK168">
            <v>-9.0000000000000018</v>
          </cell>
          <cell r="CL168">
            <v>-10.000000000000002</v>
          </cell>
          <cell r="CM168">
            <v>-11.000000000000004</v>
          </cell>
        </row>
        <row r="169">
          <cell r="CH169" t="str">
            <v xml:space="preserve">_____ </v>
          </cell>
          <cell r="CI169" t="str">
            <v xml:space="preserve">_____ </v>
          </cell>
          <cell r="CJ169" t="str">
            <v xml:space="preserve">_____ </v>
          </cell>
          <cell r="CK169" t="str">
            <v xml:space="preserve">_____ </v>
          </cell>
          <cell r="CL169" t="str">
            <v xml:space="preserve">_____ </v>
          </cell>
          <cell r="CM169" t="str">
            <v xml:space="preserve">_____ </v>
          </cell>
        </row>
        <row r="170">
          <cell r="CG170" t="str">
            <v>Net Gaming Revenue</v>
          </cell>
          <cell r="CH170">
            <v>20.5</v>
          </cell>
          <cell r="CI170">
            <v>19.5</v>
          </cell>
          <cell r="CJ170">
            <v>18.5</v>
          </cell>
          <cell r="CK170">
            <v>17.5</v>
          </cell>
          <cell r="CL170">
            <v>16.5</v>
          </cell>
          <cell r="CM170">
            <v>15.499999999999996</v>
          </cell>
        </row>
        <row r="172">
          <cell r="CG172" t="str">
            <v>Taxes (39% of gross revenue)</v>
          </cell>
          <cell r="CH172">
            <v>10.335000000000001</v>
          </cell>
          <cell r="CI172">
            <v>10.335000000000001</v>
          </cell>
          <cell r="CJ172">
            <v>10.335000000000001</v>
          </cell>
          <cell r="CK172">
            <v>10.335000000000001</v>
          </cell>
          <cell r="CL172">
            <v>10.335000000000001</v>
          </cell>
          <cell r="CM172">
            <v>10.335000000000001</v>
          </cell>
        </row>
        <row r="173">
          <cell r="CG173" t="str">
            <v>Junket Commission (0.3% of rolling)</v>
          </cell>
          <cell r="CH173">
            <v>3</v>
          </cell>
          <cell r="CI173">
            <v>3</v>
          </cell>
          <cell r="CJ173">
            <v>3</v>
          </cell>
          <cell r="CK173">
            <v>3</v>
          </cell>
          <cell r="CL173">
            <v>3</v>
          </cell>
          <cell r="CM173">
            <v>3</v>
          </cell>
        </row>
        <row r="174">
          <cell r="CG174" t="str">
            <v>Operating Expense (0.2% of rolling)</v>
          </cell>
          <cell r="CH174">
            <v>2</v>
          </cell>
          <cell r="CI174">
            <v>2</v>
          </cell>
          <cell r="CJ174">
            <v>2</v>
          </cell>
          <cell r="CK174">
            <v>2</v>
          </cell>
          <cell r="CL174">
            <v>2</v>
          </cell>
          <cell r="CM174">
            <v>2</v>
          </cell>
        </row>
        <row r="175">
          <cell r="CH175" t="str">
            <v xml:space="preserve">_____ </v>
          </cell>
          <cell r="CI175" t="str">
            <v xml:space="preserve">_____ </v>
          </cell>
          <cell r="CJ175" t="str">
            <v xml:space="preserve">_____ </v>
          </cell>
          <cell r="CK175" t="str">
            <v xml:space="preserve">_____ </v>
          </cell>
          <cell r="CL175" t="str">
            <v xml:space="preserve">_____ </v>
          </cell>
          <cell r="CM175" t="str">
            <v xml:space="preserve">_____ </v>
          </cell>
        </row>
        <row r="176">
          <cell r="CG176" t="str">
            <v>Total Expenses</v>
          </cell>
          <cell r="CH176">
            <v>15.335000000000001</v>
          </cell>
          <cell r="CI176">
            <v>15.335000000000001</v>
          </cell>
          <cell r="CJ176">
            <v>15.335000000000001</v>
          </cell>
          <cell r="CK176">
            <v>15.335000000000001</v>
          </cell>
          <cell r="CL176">
            <v>15.335000000000001</v>
          </cell>
          <cell r="CM176">
            <v>15.335000000000001</v>
          </cell>
        </row>
        <row r="178">
          <cell r="CG178" t="str">
            <v>EBITDA</v>
          </cell>
          <cell r="CH178">
            <v>5.1649999999999991</v>
          </cell>
          <cell r="CI178">
            <v>4.1649999999999991</v>
          </cell>
          <cell r="CJ178">
            <v>3.1649999999999991</v>
          </cell>
          <cell r="CK178">
            <v>2.1649999999999991</v>
          </cell>
          <cell r="CL178">
            <v>1.1649999999999991</v>
          </cell>
          <cell r="CM178">
            <v>0.16499999999999559</v>
          </cell>
        </row>
        <row r="179">
          <cell r="CG179" t="str">
            <v xml:space="preserve">  Margin</v>
          </cell>
          <cell r="CH179">
            <v>0.25195121951219507</v>
          </cell>
          <cell r="CI179">
            <v>0.21358974358974356</v>
          </cell>
          <cell r="CJ179">
            <v>0.17108108108108103</v>
          </cell>
          <cell r="CK179">
            <v>0.12371428571428567</v>
          </cell>
          <cell r="CL179">
            <v>7.0606060606060561E-2</v>
          </cell>
          <cell r="CM179">
            <v>1.0645161290322299E-2</v>
          </cell>
        </row>
        <row r="180">
          <cell r="CN180" t="str">
            <v>Key economic statistics</v>
          </cell>
        </row>
        <row r="181">
          <cell r="CO181">
            <v>2002</v>
          </cell>
          <cell r="CP181">
            <v>2003</v>
          </cell>
          <cell r="CQ181">
            <v>2004</v>
          </cell>
          <cell r="CR181">
            <v>2005</v>
          </cell>
        </row>
        <row r="183">
          <cell r="CN183" t="str">
            <v>National Accounts ($mm)</v>
          </cell>
        </row>
        <row r="184">
          <cell r="CN184" t="str">
            <v>GDP</v>
          </cell>
          <cell r="CO184">
            <v>6854.6131571655751</v>
          </cell>
          <cell r="CP184">
            <v>7935.6799084544746</v>
          </cell>
          <cell r="CQ184">
            <v>10341.427496691658</v>
          </cell>
          <cell r="CR184">
            <v>11557.711331616067</v>
          </cell>
        </row>
        <row r="185">
          <cell r="CN185" t="str">
            <v xml:space="preserve">  per Capita (US$)</v>
          </cell>
          <cell r="CO185">
            <v>15522.221823291611</v>
          </cell>
          <cell r="CP185">
            <v>17693.823653187232</v>
          </cell>
          <cell r="CQ185">
            <v>22223.713978358846</v>
          </cell>
          <cell r="CR185">
            <v>23678.982445433448</v>
          </cell>
        </row>
        <row r="187">
          <cell r="CN187" t="str">
            <v>Imports</v>
          </cell>
          <cell r="CO187">
            <v>4368.1363640185109</v>
          </cell>
          <cell r="CP187">
            <v>4859.5650665725107</v>
          </cell>
          <cell r="CQ187">
            <v>6026.0472981240991</v>
          </cell>
          <cell r="CR187">
            <v>6810.3582896180096</v>
          </cell>
        </row>
        <row r="188">
          <cell r="CN188" t="str">
            <v>Exports</v>
          </cell>
          <cell r="CO188">
            <v>7148.1193288764835</v>
          </cell>
          <cell r="CP188">
            <v>8200.9809797102116</v>
          </cell>
          <cell r="CQ188">
            <v>10887.088945279127</v>
          </cell>
          <cell r="CR188">
            <v>11112.352152157848</v>
          </cell>
        </row>
        <row r="189">
          <cell r="CN189" t="str">
            <v xml:space="preserve">  Gaming Exports</v>
          </cell>
          <cell r="CO189">
            <v>2898.5192774708762</v>
          </cell>
          <cell r="CP189">
            <v>3731.9247650699435</v>
          </cell>
          <cell r="CQ189">
            <v>5364.4769010373138</v>
          </cell>
          <cell r="CR189">
            <v>5779.8238138162442</v>
          </cell>
        </row>
        <row r="191">
          <cell r="CN191" t="str">
            <v>Employment (thousands)</v>
          </cell>
        </row>
        <row r="193">
          <cell r="CN193" t="str">
            <v>Population</v>
          </cell>
          <cell r="CO193">
            <v>441.6</v>
          </cell>
          <cell r="CP193">
            <v>448.5</v>
          </cell>
          <cell r="CQ193">
            <v>465.33300000000003</v>
          </cell>
          <cell r="CR193">
            <v>488.1</v>
          </cell>
        </row>
        <row r="194">
          <cell r="CN194" t="str">
            <v>Unemployment Rate</v>
          </cell>
          <cell r="CO194">
            <v>6.275E-2</v>
          </cell>
          <cell r="CP194">
            <v>6.0249999999999998E-2</v>
          </cell>
          <cell r="CQ194">
            <v>4.8250000000000001E-2</v>
          </cell>
          <cell r="CR194">
            <v>4.1000000000000002E-2</v>
          </cell>
        </row>
        <row r="196">
          <cell r="CN196" t="str">
            <v>Total Employment</v>
          </cell>
          <cell r="CO196">
            <v>200.6</v>
          </cell>
          <cell r="CP196">
            <v>202.6</v>
          </cell>
          <cell r="CQ196">
            <v>217.97499999999999</v>
          </cell>
          <cell r="CR196">
            <v>237.8</v>
          </cell>
        </row>
        <row r="197">
          <cell r="CN197" t="str">
            <v xml:space="preserve">  Gaming Employees</v>
          </cell>
          <cell r="CO197" t="str">
            <v>NA</v>
          </cell>
          <cell r="CP197" t="str">
            <v>NA</v>
          </cell>
          <cell r="CQ197">
            <v>24.486499999999999</v>
          </cell>
          <cell r="CR197">
            <v>30.371499999999997</v>
          </cell>
        </row>
        <row r="198">
          <cell r="CN198" t="str">
            <v xml:space="preserve">  Hotel Employees</v>
          </cell>
          <cell r="CO198">
            <v>6.203125</v>
          </cell>
          <cell r="CP198">
            <v>6.4450000000000003</v>
          </cell>
          <cell r="CQ198">
            <v>7.4593749999999996</v>
          </cell>
          <cell r="CR198">
            <v>9.004249999999999</v>
          </cell>
        </row>
        <row r="199">
          <cell r="CN199" t="str">
            <v xml:space="preserve">  Construction Employees</v>
          </cell>
          <cell r="CO199" t="str">
            <v>NA</v>
          </cell>
          <cell r="CP199" t="str">
            <v>NA</v>
          </cell>
          <cell r="CQ199">
            <v>18.100000000000001</v>
          </cell>
          <cell r="CR199">
            <v>23.2</v>
          </cell>
        </row>
        <row r="201">
          <cell r="CN201" t="str">
            <v>Resident Employment</v>
          </cell>
          <cell r="CO201">
            <v>177.1</v>
          </cell>
          <cell r="CP201">
            <v>177.63</v>
          </cell>
          <cell r="CQ201">
            <v>190.239</v>
          </cell>
          <cell r="CR201">
            <v>198.38900000000001</v>
          </cell>
        </row>
        <row r="202">
          <cell r="CN202" t="str">
            <v>Non-resident Employment</v>
          </cell>
          <cell r="CO202">
            <v>23.5</v>
          </cell>
          <cell r="CP202">
            <v>24.97</v>
          </cell>
          <cell r="CQ202">
            <v>27.736000000000001</v>
          </cell>
          <cell r="CR202">
            <v>39.411000000000001</v>
          </cell>
        </row>
        <row r="204">
          <cell r="CS204" t="str">
            <v>Mass Market Revenue forecast</v>
          </cell>
        </row>
        <row r="205">
          <cell r="CS205" t="str">
            <v>($mm)</v>
          </cell>
          <cell r="CT205">
            <v>2005</v>
          </cell>
          <cell r="CU205" t="str">
            <v>2006E</v>
          </cell>
          <cell r="CV205" t="str">
            <v>2007E</v>
          </cell>
          <cell r="CW205" t="str">
            <v>2008E</v>
          </cell>
          <cell r="CX205" t="str">
            <v>2009E</v>
          </cell>
          <cell r="CY205" t="str">
            <v>2010E</v>
          </cell>
        </row>
        <row r="207">
          <cell r="CS207" t="str">
            <v>Visitor Volume (A)</v>
          </cell>
          <cell r="CT207">
            <v>18.711186999999999</v>
          </cell>
          <cell r="CU207">
            <v>21.998122000000002</v>
          </cell>
          <cell r="CV207">
            <v>26.853211459144823</v>
          </cell>
          <cell r="CW207">
            <v>31.112956369452657</v>
          </cell>
          <cell r="CX207">
            <v>35.938386716715485</v>
          </cell>
          <cell r="CY207">
            <v>41.464358695646425</v>
          </cell>
        </row>
        <row r="208">
          <cell r="CS208" t="str">
            <v xml:space="preserve">  Year-over-Year growth</v>
          </cell>
          <cell r="CT208">
            <v>0.12227465302860563</v>
          </cell>
          <cell r="CU208">
            <v>0.17566683503296732</v>
          </cell>
          <cell r="CV208">
            <v>0.22070472466444269</v>
          </cell>
          <cell r="CW208">
            <v>0.15863074391637366</v>
          </cell>
          <cell r="CX208">
            <v>0.15509391939367534</v>
          </cell>
          <cell r="CY208">
            <v>0.15376238289407484</v>
          </cell>
        </row>
        <row r="210">
          <cell r="CS210" t="str">
            <v>Avg Days Stayed (B)</v>
          </cell>
          <cell r="CT210">
            <v>1.3898108575367241</v>
          </cell>
          <cell r="CU210">
            <v>1.3857101947157124</v>
          </cell>
          <cell r="CV210">
            <v>1.409808216231297</v>
          </cell>
          <cell r="CW210">
            <v>1.4591658339019791</v>
          </cell>
          <cell r="CX210">
            <v>1.5834259669277251</v>
          </cell>
          <cell r="CY210">
            <v>1.6892403375063489</v>
          </cell>
        </row>
        <row r="211">
          <cell r="CS211" t="str">
            <v xml:space="preserve">  Year-over-Year growth</v>
          </cell>
          <cell r="CT211">
            <v>-1.4182455828152141E-2</v>
          </cell>
          <cell r="CU211">
            <v>-2.9505186254477067E-3</v>
          </cell>
          <cell r="CV211">
            <v>1.7390376146094955E-2</v>
          </cell>
          <cell r="CW211">
            <v>3.5010164575877578E-2</v>
          </cell>
          <cell r="CX211">
            <v>8.5158335083449721E-2</v>
          </cell>
          <cell r="CY211">
            <v>6.6826219089947347E-2</v>
          </cell>
        </row>
        <row r="213">
          <cell r="CS213" t="str">
            <v xml:space="preserve">Revenue / Visitor / Day (C) </v>
          </cell>
          <cell r="CT213">
            <v>80.18516483394032</v>
          </cell>
          <cell r="CU213">
            <v>79.064573135614836</v>
          </cell>
          <cell r="CV213">
            <v>83.640320959777029</v>
          </cell>
          <cell r="CW213">
            <v>87.822337007765881</v>
          </cell>
          <cell r="CX213">
            <v>90.457007117998856</v>
          </cell>
          <cell r="CY213">
            <v>90.457007117998856</v>
          </cell>
        </row>
        <row r="214">
          <cell r="CS214" t="str">
            <v xml:space="preserve">  Year-over-Year growth</v>
          </cell>
          <cell r="CT214">
            <v>0.34093252755210868</v>
          </cell>
          <cell r="CU214">
            <v>-1.3975050131108113E-2</v>
          </cell>
          <cell r="CV214">
            <v>5.7873553763626573E-2</v>
          </cell>
          <cell r="CW214">
            <v>0.05</v>
          </cell>
          <cell r="CX214">
            <v>0.03</v>
          </cell>
          <cell r="CY214">
            <v>0</v>
          </cell>
        </row>
        <row r="216">
          <cell r="CS216" t="str">
            <v>Mass Market Revenue (A x B x C)</v>
          </cell>
          <cell r="CT216">
            <v>2085.2160815156567</v>
          </cell>
          <cell r="CU216">
            <v>2410.12711598839</v>
          </cell>
          <cell r="CV216">
            <v>3166.4450790961996</v>
          </cell>
          <cell r="CW216">
            <v>3987.0430218892116</v>
          </cell>
          <cell r="CX216">
            <v>5147.5260704163238</v>
          </cell>
          <cell r="CY216">
            <v>6335.90432669035</v>
          </cell>
        </row>
        <row r="217">
          <cell r="CS217" t="str">
            <v xml:space="preserve">  Year-over-Year growth</v>
          </cell>
          <cell r="CT217">
            <v>0.48355148608583787</v>
          </cell>
          <cell r="CU217">
            <v>0.15581648221155531</v>
          </cell>
          <cell r="CV217">
            <v>0.31380832906717648</v>
          </cell>
          <cell r="CW217">
            <v>0.25915432679073525</v>
          </cell>
          <cell r="CX217">
            <v>0.29106358826728473</v>
          </cell>
          <cell r="CY217">
            <v>0.23086396067109427</v>
          </cell>
        </row>
        <row r="219">
          <cell r="CS219" t="str">
            <v>Mass Market Share of Total</v>
          </cell>
          <cell r="CT219">
            <v>0.37349037544644492</v>
          </cell>
          <cell r="CU219">
            <v>0.35069560036507452</v>
          </cell>
          <cell r="CV219">
            <v>0.36348667395584033</v>
          </cell>
          <cell r="CW219">
            <v>0.39968364377605536</v>
          </cell>
          <cell r="CX219">
            <v>0.44779446596362921</v>
          </cell>
          <cell r="CY219">
            <v>0.48972885544362743</v>
          </cell>
        </row>
        <row r="221">
          <cell r="CS221" t="str">
            <v>check</v>
          </cell>
          <cell r="CT221">
            <v>0</v>
          </cell>
          <cell r="CU221">
            <v>0</v>
          </cell>
          <cell r="CV221">
            <v>0</v>
          </cell>
          <cell r="CW221">
            <v>0</v>
          </cell>
          <cell r="CX221">
            <v>0</v>
          </cell>
          <cell r="CY221">
            <v>0</v>
          </cell>
        </row>
        <row r="222">
          <cell r="CZ222" t="str">
            <v>VIP Revenue forecast</v>
          </cell>
        </row>
        <row r="223">
          <cell r="CZ223" t="str">
            <v>($mm)</v>
          </cell>
          <cell r="DA223">
            <v>2004</v>
          </cell>
          <cell r="DB223">
            <v>2005</v>
          </cell>
          <cell r="DC223" t="str">
            <v>2006E</v>
          </cell>
          <cell r="DD223" t="str">
            <v>2007E</v>
          </cell>
          <cell r="DE223" t="str">
            <v>2008E</v>
          </cell>
          <cell r="DF223" t="str">
            <v>2009E</v>
          </cell>
          <cell r="DG223" t="str">
            <v>2010E</v>
          </cell>
        </row>
        <row r="225">
          <cell r="CZ225" t="str">
            <v>VIP Revenue</v>
          </cell>
          <cell r="DA225">
            <v>3607.0036807892443</v>
          </cell>
          <cell r="DB225">
            <v>3497.8356344037484</v>
          </cell>
          <cell r="DC225">
            <v>4462.2919091703079</v>
          </cell>
          <cell r="DD225">
            <v>5544.8648697270928</v>
          </cell>
          <cell r="DE225">
            <v>5988.4540593052607</v>
          </cell>
          <cell r="DF225">
            <v>6347.7613028635769</v>
          </cell>
          <cell r="DG225">
            <v>6601.6717549781206</v>
          </cell>
        </row>
        <row r="226">
          <cell r="CZ226" t="str">
            <v xml:space="preserve">  Year-over-Year growth</v>
          </cell>
          <cell r="DA226">
            <v>0.34146712387319189</v>
          </cell>
          <cell r="DB226">
            <v>-3.0265576652145021E-2</v>
          </cell>
          <cell r="DC226">
            <v>0.27572944402545185</v>
          </cell>
          <cell r="DD226">
            <v>0.24260469341596069</v>
          </cell>
          <cell r="DE226">
            <v>0.08</v>
          </cell>
          <cell r="DF226">
            <v>0.06</v>
          </cell>
          <cell r="DG226">
            <v>3.9999999999999994E-2</v>
          </cell>
        </row>
        <row r="228">
          <cell r="CZ228" t="str">
            <v>VIP Share of Total</v>
          </cell>
          <cell r="DA228">
            <v>0.71959302966741678</v>
          </cell>
          <cell r="DB228">
            <v>0.6265096245535553</v>
          </cell>
          <cell r="DC228">
            <v>0.64930439963492537</v>
          </cell>
          <cell r="DD228">
            <v>0.63651332604415989</v>
          </cell>
          <cell r="DE228">
            <v>0.60031635622394453</v>
          </cell>
          <cell r="DF228">
            <v>0.55220553403637074</v>
          </cell>
          <cell r="DG228">
            <v>0.51027114455637257</v>
          </cell>
        </row>
        <row r="230">
          <cell r="DH230" t="str">
            <v>Mass Market market shares</v>
          </cell>
        </row>
        <row r="231">
          <cell r="DI231">
            <v>2005</v>
          </cell>
          <cell r="DJ231" t="str">
            <v>2006E</v>
          </cell>
          <cell r="DK231" t="str">
            <v>2007E</v>
          </cell>
          <cell r="DL231" t="str">
            <v>2008E</v>
          </cell>
          <cell r="DM231" t="str">
            <v>2009E</v>
          </cell>
          <cell r="DN231" t="str">
            <v>2010E</v>
          </cell>
        </row>
        <row r="233">
          <cell r="DH233" t="str">
            <v>Sands Macao</v>
          </cell>
          <cell r="DI233">
            <v>0.34588086116991928</v>
          </cell>
          <cell r="DJ233">
            <v>0.35498371240437149</v>
          </cell>
          <cell r="DK233">
            <v>0.228694873391485</v>
          </cell>
          <cell r="DL233">
            <v>0.16410273156577451</v>
          </cell>
          <cell r="DM233">
            <v>0.10996424984008536</v>
          </cell>
          <cell r="DN233">
            <v>8.8708320238230498E-2</v>
          </cell>
        </row>
        <row r="234">
          <cell r="DH234" t="str">
            <v>Venetian Macao</v>
          </cell>
          <cell r="DK234">
            <v>9.7125563095070658E-2</v>
          </cell>
          <cell r="DL234">
            <v>0.17602135083589143</v>
          </cell>
          <cell r="DM234">
            <v>0.12356755155694032</v>
          </cell>
          <cell r="DN234">
            <v>9.9682123512939425E-2</v>
          </cell>
        </row>
        <row r="235">
          <cell r="DH235" t="str">
            <v>LVS Cotai Strip, non-Venetian</v>
          </cell>
          <cell r="DL235">
            <v>8.7605096268554269E-2</v>
          </cell>
          <cell r="DM235">
            <v>0.1684181639591753</v>
          </cell>
          <cell r="DN235">
            <v>0.1841756341201316</v>
          </cell>
        </row>
        <row r="236">
          <cell r="DH236" t="str">
            <v>Wynn Macau</v>
          </cell>
          <cell r="DJ236">
            <v>5.3355499445208295E-2</v>
          </cell>
          <cell r="DK236">
            <v>0.16743861775519664</v>
          </cell>
          <cell r="DL236">
            <v>0.14350291592468326</v>
          </cell>
          <cell r="DM236">
            <v>0.10729480420038999</v>
          </cell>
          <cell r="DN236">
            <v>8.7371429979581888E-2</v>
          </cell>
        </row>
        <row r="237">
          <cell r="DH237" t="str">
            <v>Wynn Cotai</v>
          </cell>
          <cell r="DN237">
            <v>5.8464588570638965E-2</v>
          </cell>
        </row>
        <row r="238">
          <cell r="DH238" t="str">
            <v>MGM Grand</v>
          </cell>
          <cell r="DK238">
            <v>2.5948781820280369E-2</v>
          </cell>
          <cell r="DL238">
            <v>0.11481134560973306</v>
          </cell>
          <cell r="DM238">
            <v>8.5482655167983035E-2</v>
          </cell>
          <cell r="DN238">
            <v>6.8958982219068654E-2</v>
          </cell>
        </row>
        <row r="239">
          <cell r="DH239" t="str">
            <v>Other</v>
          </cell>
          <cell r="DI239">
            <v>0.65411913883008077</v>
          </cell>
          <cell r="DJ239">
            <v>0.59166078815042022</v>
          </cell>
          <cell r="DK239">
            <v>0.48079216393796742</v>
          </cell>
          <cell r="DL239">
            <v>0.31395655979536363</v>
          </cell>
          <cell r="DM239">
            <v>0.40527257527542576</v>
          </cell>
          <cell r="DN239">
            <v>0.35417433278877003</v>
          </cell>
        </row>
        <row r="240">
          <cell r="DI240" t="str">
            <v>______</v>
          </cell>
          <cell r="DJ240" t="str">
            <v>______</v>
          </cell>
          <cell r="DK240" t="str">
            <v>______</v>
          </cell>
          <cell r="DL240" t="str">
            <v>______</v>
          </cell>
          <cell r="DM240" t="str">
            <v>______</v>
          </cell>
          <cell r="DN240" t="str">
            <v>______</v>
          </cell>
        </row>
        <row r="241">
          <cell r="DH241" t="str">
            <v>Total</v>
          </cell>
          <cell r="DI241">
            <v>1</v>
          </cell>
          <cell r="DJ241">
            <v>1</v>
          </cell>
          <cell r="DK241">
            <v>1</v>
          </cell>
          <cell r="DL241">
            <v>1</v>
          </cell>
          <cell r="DM241">
            <v>0.99999999999999978</v>
          </cell>
          <cell r="DN241">
            <v>0.94153541142936104</v>
          </cell>
        </row>
        <row r="243">
          <cell r="DO243" t="str">
            <v>VIP revenue and market shares</v>
          </cell>
        </row>
        <row r="244">
          <cell r="DP244">
            <v>2005</v>
          </cell>
          <cell r="DQ244" t="str">
            <v>2006E</v>
          </cell>
          <cell r="DR244" t="str">
            <v>2007E</v>
          </cell>
          <cell r="DS244" t="str">
            <v>2008E</v>
          </cell>
          <cell r="DT244" t="str">
            <v>2009E</v>
          </cell>
          <cell r="DU244" t="str">
            <v>2010E</v>
          </cell>
        </row>
        <row r="246">
          <cell r="DO246" t="str">
            <v>VIP Revenue</v>
          </cell>
        </row>
        <row r="247">
          <cell r="DO247" t="str">
            <v>Sands Macao</v>
          </cell>
          <cell r="DP247">
            <v>241.00369999999998</v>
          </cell>
          <cell r="DQ247">
            <v>542.87</v>
          </cell>
          <cell r="DR247">
            <v>534.36095940395705</v>
          </cell>
          <cell r="DS247">
            <v>359.30724355831563</v>
          </cell>
          <cell r="DT247">
            <v>317.38806514317889</v>
          </cell>
          <cell r="DU247">
            <v>264.06687019912482</v>
          </cell>
        </row>
        <row r="248">
          <cell r="DO248" t="str">
            <v>Venetian Macao</v>
          </cell>
          <cell r="DR248">
            <v>338.17951756676723</v>
          </cell>
          <cell r="DS248">
            <v>778.4990277096839</v>
          </cell>
          <cell r="DT248">
            <v>888.68658240090087</v>
          </cell>
          <cell r="DU248">
            <v>726.18389304759341</v>
          </cell>
        </row>
        <row r="249">
          <cell r="DO249" t="str">
            <v>LVS Cotai Strip</v>
          </cell>
          <cell r="DS249">
            <v>179.65362177915785</v>
          </cell>
          <cell r="DT249">
            <v>406.25672338326893</v>
          </cell>
          <cell r="DU249">
            <v>580.94711443807455</v>
          </cell>
        </row>
        <row r="250">
          <cell r="DO250" t="str">
            <v>Wynn Macau</v>
          </cell>
          <cell r="DQ250">
            <v>199.35</v>
          </cell>
          <cell r="DR250">
            <v>637.96180045470976</v>
          </cell>
          <cell r="DS250">
            <v>569.2296633049815</v>
          </cell>
          <cell r="DT250">
            <v>666.86105613191614</v>
          </cell>
          <cell r="DU250">
            <v>495.48534572784922</v>
          </cell>
        </row>
        <row r="251">
          <cell r="DO251" t="str">
            <v>Wynn Cotai</v>
          </cell>
          <cell r="DU251">
            <v>264.06687019912482</v>
          </cell>
        </row>
        <row r="252">
          <cell r="DO252" t="str">
            <v>MGM Grand</v>
          </cell>
          <cell r="DR252">
            <v>75.407061847509823</v>
          </cell>
          <cell r="DS252">
            <v>538.96086533747348</v>
          </cell>
          <cell r="DT252">
            <v>507.82090422908618</v>
          </cell>
          <cell r="DU252">
            <v>528.13374039824964</v>
          </cell>
        </row>
        <row r="253">
          <cell r="DO253" t="str">
            <v>Other</v>
          </cell>
          <cell r="DP253">
            <v>3256.8319344037482</v>
          </cell>
          <cell r="DQ253">
            <v>3720.0719091703086</v>
          </cell>
          <cell r="DR253">
            <v>3958.9555304541482</v>
          </cell>
          <cell r="DS253">
            <v>3562.8036376156483</v>
          </cell>
          <cell r="DT253">
            <v>3560.7479715752261</v>
          </cell>
          <cell r="DU253">
            <v>3478.7210507689792</v>
          </cell>
        </row>
        <row r="254">
          <cell r="DP254" t="str">
            <v>______</v>
          </cell>
          <cell r="DQ254" t="str">
            <v>______</v>
          </cell>
          <cell r="DR254" t="str">
            <v>______</v>
          </cell>
          <cell r="DS254" t="str">
            <v>______</v>
          </cell>
          <cell r="DT254" t="str">
            <v>______</v>
          </cell>
          <cell r="DU254" t="str">
            <v>______</v>
          </cell>
        </row>
        <row r="255">
          <cell r="DO255" t="str">
            <v>Total</v>
          </cell>
          <cell r="DP255">
            <v>3497.8356344037484</v>
          </cell>
          <cell r="DQ255">
            <v>4462.2919091703088</v>
          </cell>
          <cell r="DR255">
            <v>5544.8648697270919</v>
          </cell>
          <cell r="DS255">
            <v>5988.4540593052607</v>
          </cell>
          <cell r="DT255">
            <v>6347.7613028635769</v>
          </cell>
          <cell r="DU255">
            <v>6337.6048847789953</v>
          </cell>
        </row>
        <row r="257">
          <cell r="DO257" t="str">
            <v>VIP Market Share</v>
          </cell>
        </row>
        <row r="258">
          <cell r="DO258" t="str">
            <v>Sands Macao</v>
          </cell>
          <cell r="DP258">
            <v>6.8900807582138485E-2</v>
          </cell>
          <cell r="DQ258">
            <v>0.12165721361356163</v>
          </cell>
          <cell r="DR258">
            <v>9.6370420552783886E-2</v>
          </cell>
          <cell r="DS258">
            <v>0.06</v>
          </cell>
          <cell r="DT258">
            <v>0.05</v>
          </cell>
          <cell r="DU258">
            <v>0.04</v>
          </cell>
        </row>
        <row r="259">
          <cell r="DO259" t="str">
            <v>Venetian Macao</v>
          </cell>
          <cell r="DR259">
            <v>6.0989677027676929E-2</v>
          </cell>
          <cell r="DS259">
            <v>0.13</v>
          </cell>
          <cell r="DT259">
            <v>0.14000000000000001</v>
          </cell>
          <cell r="DU259">
            <v>0.11000000000000001</v>
          </cell>
        </row>
        <row r="260">
          <cell r="DO260" t="str">
            <v>LVS Cotai Strip</v>
          </cell>
          <cell r="DS260">
            <v>3.0000000000000002E-2</v>
          </cell>
          <cell r="DT260">
            <v>6.4000000000000001E-2</v>
          </cell>
          <cell r="DU260">
            <v>8.7999999999999995E-2</v>
          </cell>
        </row>
        <row r="261">
          <cell r="DO261" t="str">
            <v>Wynn Macau</v>
          </cell>
          <cell r="DQ261">
            <v>4.4674352117198425E-2</v>
          </cell>
          <cell r="DR261">
            <v>0.11505452620455096</v>
          </cell>
          <cell r="DS261">
            <v>9.505452620455096E-2</v>
          </cell>
          <cell r="DT261">
            <v>0.10505452620455095</v>
          </cell>
          <cell r="DU261">
            <v>7.5054526204550956E-2</v>
          </cell>
        </row>
        <row r="262">
          <cell r="DO262" t="str">
            <v>Wynn Cotai</v>
          </cell>
          <cell r="DU262">
            <v>0.04</v>
          </cell>
        </row>
        <row r="263">
          <cell r="DO263" t="str">
            <v>MGM Grand</v>
          </cell>
          <cell r="DR263">
            <v>1.3599440855484946E-2</v>
          </cell>
          <cell r="DS263">
            <v>0.09</v>
          </cell>
          <cell r="DT263">
            <v>0.08</v>
          </cell>
          <cell r="DU263">
            <v>0.08</v>
          </cell>
        </row>
        <row r="264">
          <cell r="DO264" t="str">
            <v>Other</v>
          </cell>
          <cell r="DP264">
            <v>0.93109919241786143</v>
          </cell>
          <cell r="DQ264">
            <v>0.83366843426923987</v>
          </cell>
          <cell r="DR264">
            <v>0.71398593535950328</v>
          </cell>
          <cell r="DS264">
            <v>0.59494547379544904</v>
          </cell>
          <cell r="DT264">
            <v>0.56094547379544901</v>
          </cell>
          <cell r="DU264">
            <v>0.52694547379544898</v>
          </cell>
        </row>
        <row r="265">
          <cell r="DP265" t="str">
            <v>______</v>
          </cell>
          <cell r="DQ265" t="str">
            <v>______</v>
          </cell>
          <cell r="DR265" t="str">
            <v>______</v>
          </cell>
          <cell r="DS265" t="str">
            <v>______</v>
          </cell>
          <cell r="DT265" t="str">
            <v>______</v>
          </cell>
          <cell r="DU265" t="str">
            <v>______</v>
          </cell>
        </row>
        <row r="266">
          <cell r="DO266" t="str">
            <v>Total</v>
          </cell>
          <cell r="DP266">
            <v>0.99999999999999989</v>
          </cell>
          <cell r="DQ266">
            <v>0.99999999999999989</v>
          </cell>
          <cell r="DR266">
            <v>1</v>
          </cell>
          <cell r="DS266">
            <v>1</v>
          </cell>
          <cell r="DT266">
            <v>1</v>
          </cell>
          <cell r="DU266">
            <v>0.96</v>
          </cell>
        </row>
        <row r="268">
          <cell r="DO268" t="str">
            <v>Check</v>
          </cell>
          <cell r="DP268">
            <v>0</v>
          </cell>
          <cell r="DQ268">
            <v>0</v>
          </cell>
          <cell r="DR268">
            <v>0</v>
          </cell>
          <cell r="DS268">
            <v>0</v>
          </cell>
          <cell r="DT268">
            <v>0</v>
          </cell>
          <cell r="DU268">
            <v>264.06687019912533</v>
          </cell>
        </row>
        <row r="269">
          <cell r="DV269" t="str">
            <v>US operator revenue summary</v>
          </cell>
        </row>
        <row r="270">
          <cell r="DW270">
            <v>2005</v>
          </cell>
          <cell r="DX270" t="str">
            <v>2006E</v>
          </cell>
          <cell r="DY270" t="str">
            <v>2007E</v>
          </cell>
          <cell r="DZ270" t="str">
            <v>2008E</v>
          </cell>
          <cell r="EA270" t="str">
            <v>2009E</v>
          </cell>
          <cell r="EB270" t="str">
            <v>2010E</v>
          </cell>
        </row>
        <row r="272">
          <cell r="DV272" t="str">
            <v>Sands Macao</v>
          </cell>
        </row>
        <row r="273">
          <cell r="DV273" t="str">
            <v>Mass Market Revenue</v>
          </cell>
          <cell r="DW273">
            <v>721.23633399999994</v>
          </cell>
          <cell r="DX273">
            <v>855.55587099999991</v>
          </cell>
          <cell r="DY273">
            <v>724.14975646499602</v>
          </cell>
          <cell r="DZ273">
            <v>654.28465076227974</v>
          </cell>
          <cell r="EA273">
            <v>566.04384286561344</v>
          </cell>
          <cell r="EB273">
            <v>562.04743001083773</v>
          </cell>
        </row>
        <row r="274">
          <cell r="DV274" t="str">
            <v>VIP Revenue</v>
          </cell>
          <cell r="DW274">
            <v>241.00369999999998</v>
          </cell>
          <cell r="DX274">
            <v>542.87</v>
          </cell>
          <cell r="DY274">
            <v>534.36095940395705</v>
          </cell>
          <cell r="DZ274">
            <v>359.30724355831563</v>
          </cell>
          <cell r="EA274">
            <v>317.38806514317889</v>
          </cell>
          <cell r="EB274">
            <v>264.06687019912482</v>
          </cell>
        </row>
        <row r="275">
          <cell r="DV275" t="str">
            <v>Total Revenue</v>
          </cell>
          <cell r="DW275">
            <v>962.24003399999992</v>
          </cell>
          <cell r="DX275">
            <v>1398.4258709999999</v>
          </cell>
          <cell r="DY275">
            <v>1258.510715868953</v>
          </cell>
          <cell r="DZ275">
            <v>1013.5918943205954</v>
          </cell>
          <cell r="EA275">
            <v>883.43190800879233</v>
          </cell>
          <cell r="EB275">
            <v>826.11430020996249</v>
          </cell>
        </row>
        <row r="277">
          <cell r="DV277" t="str">
            <v>Venetian Macao</v>
          </cell>
        </row>
        <row r="278">
          <cell r="DV278" t="str">
            <v>Mass Market Revenue</v>
          </cell>
          <cell r="DW278">
            <v>0</v>
          </cell>
          <cell r="DX278">
            <v>0</v>
          </cell>
          <cell r="DY278">
            <v>307.54276131683389</v>
          </cell>
          <cell r="DZ278">
            <v>701.80469855375372</v>
          </cell>
          <cell r="EA278">
            <v>636.06719309686355</v>
          </cell>
          <cell r="EB278">
            <v>631.57639765931481</v>
          </cell>
        </row>
        <row r="279">
          <cell r="DV279" t="str">
            <v>VIP Revenue</v>
          </cell>
          <cell r="DW279">
            <v>0</v>
          </cell>
          <cell r="DX279">
            <v>0</v>
          </cell>
          <cell r="DY279">
            <v>338.17951756676723</v>
          </cell>
          <cell r="DZ279">
            <v>778.4990277096839</v>
          </cell>
          <cell r="EA279">
            <v>888.68658240090087</v>
          </cell>
          <cell r="EB279">
            <v>726.18389304759341</v>
          </cell>
        </row>
        <row r="280">
          <cell r="DV280" t="str">
            <v>Total Revenue</v>
          </cell>
          <cell r="DW280">
            <v>0</v>
          </cell>
          <cell r="DX280">
            <v>0</v>
          </cell>
          <cell r="DY280">
            <v>645.72227888360112</v>
          </cell>
          <cell r="DZ280">
            <v>1480.3037262634375</v>
          </cell>
          <cell r="EA280">
            <v>1524.7537754977643</v>
          </cell>
          <cell r="EB280">
            <v>1357.7602907069081</v>
          </cell>
        </row>
        <row r="282">
          <cell r="DV282" t="str">
            <v>LVS Cotai Strip</v>
          </cell>
        </row>
        <row r="283">
          <cell r="DV283" t="str">
            <v>Mass Market Revenue</v>
          </cell>
          <cell r="DW283">
            <v>0</v>
          </cell>
          <cell r="DX283">
            <v>0</v>
          </cell>
          <cell r="DY283">
            <v>0</v>
          </cell>
          <cell r="DZ283">
            <v>349.28528775947194</v>
          </cell>
          <cell r="EA283">
            <v>866.93688971150573</v>
          </cell>
          <cell r="EB283">
            <v>1166.9191970926806</v>
          </cell>
        </row>
        <row r="284">
          <cell r="DV284" t="str">
            <v>VIP Revenue</v>
          </cell>
          <cell r="DW284">
            <v>0</v>
          </cell>
          <cell r="DX284">
            <v>0</v>
          </cell>
          <cell r="DY284">
            <v>0</v>
          </cell>
          <cell r="DZ284">
            <v>179.65362177915785</v>
          </cell>
          <cell r="EA284">
            <v>406.25672338326893</v>
          </cell>
          <cell r="EB284">
            <v>580.94711443807455</v>
          </cell>
        </row>
        <row r="285">
          <cell r="DV285" t="str">
            <v>Total Revenue</v>
          </cell>
          <cell r="DW285">
            <v>0</v>
          </cell>
          <cell r="DX285">
            <v>0</v>
          </cell>
          <cell r="DY285">
            <v>0</v>
          </cell>
          <cell r="DZ285">
            <v>528.93890953862979</v>
          </cell>
          <cell r="EA285">
            <v>1273.1936130947747</v>
          </cell>
          <cell r="EB285">
            <v>1747.8663115307552</v>
          </cell>
        </row>
        <row r="287">
          <cell r="DV287" t="str">
            <v>Wynn Macau</v>
          </cell>
        </row>
        <row r="288">
          <cell r="DV288" t="str">
            <v>Mass Market Revenue</v>
          </cell>
          <cell r="DW288">
            <v>0</v>
          </cell>
          <cell r="DX288">
            <v>128.593536</v>
          </cell>
          <cell r="DY288">
            <v>530.18518724161186</v>
          </cell>
          <cell r="DZ288">
            <v>572.1522995582626</v>
          </cell>
          <cell r="EA288">
            <v>552.30280184172238</v>
          </cell>
          <cell r="EB288">
            <v>553.57702123675585</v>
          </cell>
        </row>
        <row r="289">
          <cell r="DV289" t="str">
            <v>VIP Revenue</v>
          </cell>
          <cell r="DW289">
            <v>0</v>
          </cell>
          <cell r="DX289">
            <v>199.35</v>
          </cell>
          <cell r="DY289">
            <v>637.96180045470976</v>
          </cell>
          <cell r="DZ289">
            <v>569.2296633049815</v>
          </cell>
          <cell r="EA289">
            <v>666.86105613191614</v>
          </cell>
          <cell r="EB289">
            <v>495.48534572784922</v>
          </cell>
        </row>
        <row r="290">
          <cell r="DV290" t="str">
            <v>Total Revenue</v>
          </cell>
          <cell r="DW290">
            <v>0</v>
          </cell>
          <cell r="DX290">
            <v>327.94353599999999</v>
          </cell>
          <cell r="DY290">
            <v>1168.1469876963215</v>
          </cell>
          <cell r="DZ290">
            <v>1141.3819628632441</v>
          </cell>
          <cell r="EA290">
            <v>1219.1638579736386</v>
          </cell>
          <cell r="EB290">
            <v>1049.0623669646052</v>
          </cell>
        </row>
        <row r="292">
          <cell r="DV292" t="str">
            <v>Wynn Cotai</v>
          </cell>
        </row>
        <row r="293">
          <cell r="DV293" t="str">
            <v>Mass Market Revenue</v>
          </cell>
          <cell r="DW293">
            <v>0</v>
          </cell>
          <cell r="DX293">
            <v>0</v>
          </cell>
          <cell r="DY293">
            <v>0</v>
          </cell>
          <cell r="DZ293">
            <v>0</v>
          </cell>
          <cell r="EA293">
            <v>0</v>
          </cell>
          <cell r="EB293">
            <v>370.42603968288262</v>
          </cell>
        </row>
        <row r="294">
          <cell r="DV294" t="str">
            <v>VIP Revenue</v>
          </cell>
          <cell r="DW294">
            <v>0</v>
          </cell>
          <cell r="DX294">
            <v>0</v>
          </cell>
          <cell r="DY294">
            <v>0</v>
          </cell>
          <cell r="DZ294">
            <v>0</v>
          </cell>
          <cell r="EA294">
            <v>0</v>
          </cell>
          <cell r="EB294">
            <v>264.06687019912482</v>
          </cell>
        </row>
        <row r="295">
          <cell r="DV295" t="str">
            <v>Total Revenue</v>
          </cell>
          <cell r="DW295">
            <v>0</v>
          </cell>
          <cell r="DX295">
            <v>0</v>
          </cell>
          <cell r="DY295">
            <v>0</v>
          </cell>
          <cell r="DZ295">
            <v>0</v>
          </cell>
          <cell r="EA295">
            <v>0</v>
          </cell>
          <cell r="EB295">
            <v>634.49290988200744</v>
          </cell>
        </row>
        <row r="297">
          <cell r="DV297" t="str">
            <v>MGM Grand Macau</v>
          </cell>
        </row>
        <row r="298">
          <cell r="DV298" t="str">
            <v>Mass Market Revenue</v>
          </cell>
          <cell r="DW298">
            <v>0</v>
          </cell>
          <cell r="DX298">
            <v>0</v>
          </cell>
          <cell r="DY298">
            <v>82.165392503367684</v>
          </cell>
          <cell r="DZ298">
            <v>457.75777434699677</v>
          </cell>
          <cell r="EA298">
            <v>440.0241960456014</v>
          </cell>
          <cell r="EB298">
            <v>436.91751380596003</v>
          </cell>
        </row>
        <row r="299">
          <cell r="DV299" t="str">
            <v>VIP Revenue</v>
          </cell>
          <cell r="DW299">
            <v>0</v>
          </cell>
          <cell r="DX299">
            <v>0</v>
          </cell>
          <cell r="DY299">
            <v>75.407061847509823</v>
          </cell>
          <cell r="DZ299">
            <v>538.96086533747348</v>
          </cell>
          <cell r="EA299">
            <v>507.82090422908618</v>
          </cell>
          <cell r="EB299">
            <v>528.13374039824964</v>
          </cell>
        </row>
        <row r="300">
          <cell r="DV300" t="str">
            <v>Total Revenue</v>
          </cell>
          <cell r="DW300">
            <v>0</v>
          </cell>
          <cell r="DX300">
            <v>0</v>
          </cell>
          <cell r="DY300">
            <v>157.57245435087751</v>
          </cell>
          <cell r="DZ300">
            <v>996.71863968447019</v>
          </cell>
          <cell r="EA300">
            <v>947.84510027468764</v>
          </cell>
          <cell r="EB300">
            <v>965.05125420420973</v>
          </cell>
        </row>
        <row r="302">
          <cell r="DV302" t="str">
            <v>check</v>
          </cell>
          <cell r="DW302">
            <v>0</v>
          </cell>
          <cell r="DX302">
            <v>0</v>
          </cell>
          <cell r="DY302">
            <v>0</v>
          </cell>
          <cell r="DZ302">
            <v>0</v>
          </cell>
          <cell r="EA302">
            <v>0</v>
          </cell>
          <cell r="EB302">
            <v>634.49290988200619</v>
          </cell>
        </row>
        <row r="303">
          <cell r="EC303" t="str">
            <v>Future Properties</v>
          </cell>
        </row>
        <row r="304">
          <cell r="EC304" t="str">
            <v>Property</v>
          </cell>
          <cell r="ED304" t="str">
            <v>Open Date</v>
          </cell>
          <cell r="EE304" t="str">
            <v>Investment ($mm)</v>
          </cell>
          <cell r="EF304" t="str">
            <v>Total Tables</v>
          </cell>
          <cell r="EG304" t="str">
            <v>Mass Tables</v>
          </cell>
          <cell r="EH304" t="str">
            <v>VIP Tables</v>
          </cell>
          <cell r="EI304" t="str">
            <v>Mass %</v>
          </cell>
          <cell r="EJ304" t="str">
            <v>Slots</v>
          </cell>
          <cell r="EK304" t="str">
            <v>Location</v>
          </cell>
          <cell r="EL304" t="str">
            <v>Casino Operator</v>
          </cell>
        </row>
        <row r="306">
          <cell r="EC306" t="str">
            <v>Grand Lisboa</v>
          </cell>
          <cell r="ED306">
            <v>39124</v>
          </cell>
          <cell r="EE306">
            <v>625</v>
          </cell>
          <cell r="EF306">
            <v>270</v>
          </cell>
          <cell r="EG306">
            <v>240</v>
          </cell>
          <cell r="EH306">
            <v>30</v>
          </cell>
          <cell r="EI306">
            <v>0.88888888888888884</v>
          </cell>
          <cell r="EJ306">
            <v>484</v>
          </cell>
          <cell r="EK306" t="str">
            <v>Macau</v>
          </cell>
          <cell r="EL306" t="str">
            <v>SJM</v>
          </cell>
        </row>
        <row r="307">
          <cell r="EC307" t="str">
            <v>Crown Macau</v>
          </cell>
          <cell r="ED307">
            <v>39211</v>
          </cell>
          <cell r="EE307">
            <v>583.6</v>
          </cell>
          <cell r="EF307">
            <v>220</v>
          </cell>
          <cell r="EG307">
            <v>160</v>
          </cell>
          <cell r="EH307">
            <v>60</v>
          </cell>
          <cell r="EI307">
            <v>0.72727272727272729</v>
          </cell>
          <cell r="EJ307">
            <v>500</v>
          </cell>
          <cell r="EK307" t="str">
            <v>Taipa</v>
          </cell>
          <cell r="EL307" t="str">
            <v>PBL/Melco</v>
          </cell>
        </row>
        <row r="308">
          <cell r="EC308" t="str">
            <v>Venetian Macao</v>
          </cell>
          <cell r="ED308" t="str">
            <v>3Q07</v>
          </cell>
          <cell r="EE308">
            <v>2600</v>
          </cell>
          <cell r="EF308">
            <v>1150</v>
          </cell>
          <cell r="EG308">
            <v>1000</v>
          </cell>
          <cell r="EH308">
            <v>150</v>
          </cell>
          <cell r="EI308">
            <v>0.86956521739130432</v>
          </cell>
          <cell r="EJ308">
            <v>7000</v>
          </cell>
          <cell r="EK308" t="str">
            <v>Cotai</v>
          </cell>
          <cell r="EL308" t="str">
            <v>LVS</v>
          </cell>
        </row>
        <row r="309">
          <cell r="EC309" t="str">
            <v>Ponte 16</v>
          </cell>
          <cell r="ED309" t="str">
            <v>3Q07</v>
          </cell>
          <cell r="EE309">
            <v>287</v>
          </cell>
          <cell r="EF309">
            <v>174</v>
          </cell>
          <cell r="EG309">
            <v>150</v>
          </cell>
          <cell r="EH309">
            <v>24</v>
          </cell>
          <cell r="EI309">
            <v>0.86206896551724133</v>
          </cell>
          <cell r="EJ309">
            <v>300</v>
          </cell>
          <cell r="EK309" t="str">
            <v>Macau</v>
          </cell>
          <cell r="EL309" t="str">
            <v>SJM</v>
          </cell>
        </row>
        <row r="310">
          <cell r="EC310" t="str">
            <v>MGM Grand</v>
          </cell>
          <cell r="ED310" t="str">
            <v>4Q07</v>
          </cell>
          <cell r="EE310">
            <v>1100</v>
          </cell>
          <cell r="EF310">
            <v>347</v>
          </cell>
          <cell r="EG310">
            <v>302</v>
          </cell>
          <cell r="EH310">
            <v>45</v>
          </cell>
          <cell r="EI310">
            <v>0.87031700288184433</v>
          </cell>
          <cell r="EJ310">
            <v>1037</v>
          </cell>
          <cell r="EK310" t="str">
            <v>Macau</v>
          </cell>
          <cell r="EL310" t="str">
            <v>MGM</v>
          </cell>
        </row>
        <row r="311">
          <cell r="EC311" t="str">
            <v>Cotai Site 2 - Four Seasons</v>
          </cell>
          <cell r="ED311" t="str">
            <v>1Q08</v>
          </cell>
          <cell r="EE311">
            <v>400</v>
          </cell>
          <cell r="EF311">
            <v>130</v>
          </cell>
          <cell r="EG311">
            <v>115</v>
          </cell>
          <cell r="EH311">
            <v>15</v>
          </cell>
          <cell r="EI311">
            <v>0.88461538461538458</v>
          </cell>
          <cell r="EJ311">
            <v>400</v>
          </cell>
          <cell r="EK311" t="str">
            <v>Cotai</v>
          </cell>
          <cell r="EL311" t="str">
            <v>LVS</v>
          </cell>
        </row>
        <row r="312">
          <cell r="EC312" t="str">
            <v>Galaxy Cotai Mega Resort</v>
          </cell>
          <cell r="ED312" t="str">
            <v>2Q08</v>
          </cell>
          <cell r="EE312">
            <v>375</v>
          </cell>
          <cell r="EF312">
            <v>450</v>
          </cell>
          <cell r="EG312">
            <v>400</v>
          </cell>
          <cell r="EH312">
            <v>50</v>
          </cell>
          <cell r="EI312">
            <v>0.88888888888888884</v>
          </cell>
          <cell r="EJ312">
            <v>1000</v>
          </cell>
          <cell r="EK312" t="str">
            <v>Cotai</v>
          </cell>
          <cell r="EL312" t="str">
            <v>Galaxy</v>
          </cell>
        </row>
        <row r="313">
          <cell r="EC313" t="str">
            <v>Cotai Site 5 - Shangri-La</v>
          </cell>
          <cell r="ED313" t="str">
            <v>mid-2008</v>
          </cell>
          <cell r="EE313">
            <v>1512.5</v>
          </cell>
          <cell r="EF313">
            <v>325</v>
          </cell>
          <cell r="EG313">
            <v>250</v>
          </cell>
          <cell r="EH313">
            <v>75</v>
          </cell>
          <cell r="EI313">
            <v>0.76923076923076927</v>
          </cell>
          <cell r="EJ313">
            <v>1750</v>
          </cell>
          <cell r="EK313" t="str">
            <v>Cotai</v>
          </cell>
          <cell r="EL313" t="str">
            <v>LVS</v>
          </cell>
        </row>
        <row r="314">
          <cell r="EC314" t="str">
            <v>Cotai Site 6 - Starwood</v>
          </cell>
          <cell r="ED314" t="str">
            <v>mid-2008</v>
          </cell>
          <cell r="EE314">
            <v>1512.5</v>
          </cell>
          <cell r="EF314">
            <v>325</v>
          </cell>
          <cell r="EG314">
            <v>250</v>
          </cell>
          <cell r="EH314">
            <v>75</v>
          </cell>
          <cell r="EI314">
            <v>0.76923076923076927</v>
          </cell>
          <cell r="EJ314">
            <v>1750</v>
          </cell>
          <cell r="EK314" t="str">
            <v>Cotai</v>
          </cell>
          <cell r="EL314" t="str">
            <v>LVS</v>
          </cell>
        </row>
        <row r="315">
          <cell r="EC315" t="str">
            <v>Cotai Site 7 - Hilton</v>
          </cell>
          <cell r="ED315" t="str">
            <v>mid-2009</v>
          </cell>
          <cell r="EE315">
            <v>1512.5</v>
          </cell>
          <cell r="EF315">
            <v>325</v>
          </cell>
          <cell r="EG315">
            <v>250</v>
          </cell>
          <cell r="EH315">
            <v>75</v>
          </cell>
          <cell r="EI315">
            <v>0.76923076923076927</v>
          </cell>
          <cell r="EJ315">
            <v>1750</v>
          </cell>
          <cell r="EK315" t="str">
            <v>Cotai</v>
          </cell>
          <cell r="EL315" t="str">
            <v>LVS</v>
          </cell>
        </row>
        <row r="316">
          <cell r="EC316" t="str">
            <v>Cotai Site 8 - Fairmont/Raffles</v>
          </cell>
          <cell r="ED316" t="str">
            <v>mid-2009</v>
          </cell>
          <cell r="EE316">
            <v>1512.5</v>
          </cell>
          <cell r="EF316">
            <v>325</v>
          </cell>
          <cell r="EG316">
            <v>250</v>
          </cell>
          <cell r="EH316">
            <v>75</v>
          </cell>
          <cell r="EI316">
            <v>0.76923076923076927</v>
          </cell>
          <cell r="EJ316">
            <v>1750</v>
          </cell>
          <cell r="EK316" t="str">
            <v>Cotai</v>
          </cell>
          <cell r="EL316" t="str">
            <v>LVS</v>
          </cell>
        </row>
        <row r="317">
          <cell r="EC317" t="str">
            <v>Cotai Site 3 - Far East</v>
          </cell>
          <cell r="ED317" t="str">
            <v>mid-2009</v>
          </cell>
          <cell r="EE317">
            <v>1775</v>
          </cell>
          <cell r="EF317">
            <v>325</v>
          </cell>
          <cell r="EG317">
            <v>285</v>
          </cell>
          <cell r="EH317">
            <v>40</v>
          </cell>
          <cell r="EI317">
            <v>0.87692307692307692</v>
          </cell>
          <cell r="EJ317">
            <v>1750</v>
          </cell>
          <cell r="EK317" t="str">
            <v>Cotai</v>
          </cell>
          <cell r="EL317" t="str">
            <v>LVS</v>
          </cell>
        </row>
        <row r="318">
          <cell r="EC318" t="str">
            <v>Arc de Triomphe</v>
          </cell>
          <cell r="ED318">
            <v>2008</v>
          </cell>
          <cell r="EE318">
            <v>125</v>
          </cell>
          <cell r="EF318">
            <v>100</v>
          </cell>
          <cell r="EG318">
            <v>60</v>
          </cell>
          <cell r="EH318">
            <v>40</v>
          </cell>
          <cell r="EI318">
            <v>0.6</v>
          </cell>
          <cell r="EJ318">
            <v>200</v>
          </cell>
          <cell r="EK318" t="str">
            <v>Macau</v>
          </cell>
          <cell r="EL318" t="str">
            <v>SJM</v>
          </cell>
        </row>
        <row r="319">
          <cell r="EC319" t="str">
            <v>PBL/Melco NAPE Project</v>
          </cell>
          <cell r="ED319">
            <v>2009</v>
          </cell>
          <cell r="EE319">
            <v>675</v>
          </cell>
          <cell r="EF319">
            <v>200</v>
          </cell>
          <cell r="EG319">
            <v>160</v>
          </cell>
          <cell r="EH319">
            <v>40</v>
          </cell>
          <cell r="EI319">
            <v>0.8</v>
          </cell>
          <cell r="EJ319">
            <v>500</v>
          </cell>
          <cell r="EK319" t="str">
            <v>Macau</v>
          </cell>
          <cell r="EL319" t="str">
            <v>PBL/Melco</v>
          </cell>
        </row>
        <row r="320">
          <cell r="EC320" t="str">
            <v>City of Dreams</v>
          </cell>
          <cell r="ED320">
            <v>2009</v>
          </cell>
          <cell r="EE320">
            <v>2100</v>
          </cell>
          <cell r="EF320">
            <v>450</v>
          </cell>
          <cell r="EG320">
            <v>400</v>
          </cell>
          <cell r="EH320">
            <v>50</v>
          </cell>
          <cell r="EI320">
            <v>0.88888888888888884</v>
          </cell>
          <cell r="EJ320">
            <v>2500</v>
          </cell>
          <cell r="EK320" t="str">
            <v>Cotai</v>
          </cell>
          <cell r="EL320" t="str">
            <v>PBL/Melco</v>
          </cell>
        </row>
        <row r="321">
          <cell r="EC321" t="str">
            <v>Macau Studio City (eSun)</v>
          </cell>
          <cell r="ED321">
            <v>2009</v>
          </cell>
          <cell r="EE321">
            <v>2000</v>
          </cell>
          <cell r="EF321">
            <v>650</v>
          </cell>
          <cell r="EG321">
            <v>585</v>
          </cell>
          <cell r="EH321">
            <v>65</v>
          </cell>
          <cell r="EI321">
            <v>0.9</v>
          </cell>
          <cell r="EJ321">
            <v>1600</v>
          </cell>
          <cell r="EK321" t="str">
            <v>Cotai</v>
          </cell>
          <cell r="EL321" t="str">
            <v>TBD</v>
          </cell>
        </row>
        <row r="322">
          <cell r="EC322" t="str">
            <v>Wynn Cotai</v>
          </cell>
          <cell r="ED322">
            <v>2010</v>
          </cell>
          <cell r="EE322">
            <v>1500</v>
          </cell>
          <cell r="EF322">
            <v>500</v>
          </cell>
          <cell r="EG322">
            <v>425</v>
          </cell>
          <cell r="EH322">
            <v>75</v>
          </cell>
          <cell r="EI322">
            <v>0.85</v>
          </cell>
          <cell r="EJ322">
            <v>3500</v>
          </cell>
          <cell r="EK322" t="str">
            <v>Cotai</v>
          </cell>
          <cell r="EL322" t="str">
            <v>WYNN</v>
          </cell>
        </row>
        <row r="323">
          <cell r="EC323" t="str">
            <v>Wynn Cotai #2</v>
          </cell>
          <cell r="ED323">
            <v>2010</v>
          </cell>
          <cell r="EE323">
            <v>1500</v>
          </cell>
          <cell r="EF323">
            <v>500</v>
          </cell>
          <cell r="EG323">
            <v>425</v>
          </cell>
          <cell r="EH323">
            <v>75</v>
          </cell>
          <cell r="EI323">
            <v>0.85</v>
          </cell>
          <cell r="EJ323">
            <v>3500</v>
          </cell>
          <cell r="EK323" t="str">
            <v>Cotai</v>
          </cell>
          <cell r="EL323" t="str">
            <v>WYNN</v>
          </cell>
        </row>
        <row r="324">
          <cell r="EC324" t="str">
            <v>Shun Tak Nam Van</v>
          </cell>
          <cell r="ED324">
            <v>2010</v>
          </cell>
          <cell r="EE324">
            <v>550</v>
          </cell>
          <cell r="EF324">
            <v>180</v>
          </cell>
          <cell r="EG324">
            <v>150</v>
          </cell>
          <cell r="EH324">
            <v>30</v>
          </cell>
          <cell r="EI324">
            <v>0.83333333333333337</v>
          </cell>
          <cell r="EJ324">
            <v>300</v>
          </cell>
          <cell r="EK324" t="str">
            <v>Macau</v>
          </cell>
          <cell r="EL324" t="str">
            <v>SJM</v>
          </cell>
        </row>
        <row r="325">
          <cell r="EC325" t="str">
            <v>Shun Tak Cotai</v>
          </cell>
          <cell r="ED325">
            <v>2011</v>
          </cell>
          <cell r="EE325">
            <v>300</v>
          </cell>
          <cell r="EF325">
            <v>600</v>
          </cell>
          <cell r="EG325">
            <v>500</v>
          </cell>
          <cell r="EH325">
            <v>100</v>
          </cell>
          <cell r="EI325">
            <v>0.83333333333333337</v>
          </cell>
          <cell r="EJ325">
            <v>1000</v>
          </cell>
          <cell r="EK325" t="str">
            <v>Cotai</v>
          </cell>
          <cell r="EL325" t="str">
            <v>SJM</v>
          </cell>
        </row>
        <row r="326">
          <cell r="EC326" t="str">
            <v>MGM Cotai</v>
          </cell>
          <cell r="ED326">
            <v>2011</v>
          </cell>
          <cell r="EE326">
            <v>1500</v>
          </cell>
          <cell r="EF326">
            <v>500</v>
          </cell>
          <cell r="EG326">
            <v>400</v>
          </cell>
          <cell r="EH326">
            <v>100</v>
          </cell>
          <cell r="EI326">
            <v>0.8</v>
          </cell>
          <cell r="EJ326">
            <v>3000</v>
          </cell>
          <cell r="EK326" t="str">
            <v>Cotai</v>
          </cell>
          <cell r="EL326" t="str">
            <v>MGM</v>
          </cell>
        </row>
        <row r="327">
          <cell r="EC327" t="str">
            <v>Mocha Slot Lounges</v>
          </cell>
          <cell r="ED327" t="str">
            <v>2006-2009</v>
          </cell>
          <cell r="EE327" t="str">
            <v>N/A</v>
          </cell>
          <cell r="EF327">
            <v>0</v>
          </cell>
          <cell r="EG327">
            <v>0</v>
          </cell>
          <cell r="EH327">
            <v>0</v>
          </cell>
          <cell r="EI327" t="str">
            <v>N.M.</v>
          </cell>
          <cell r="EJ327">
            <v>3000</v>
          </cell>
          <cell r="EL327" t="str">
            <v>PBL/Melco</v>
          </cell>
        </row>
        <row r="328">
          <cell r="EF328" t="str">
            <v>______</v>
          </cell>
          <cell r="EG328" t="str">
            <v>______</v>
          </cell>
          <cell r="EH328" t="str">
            <v>______</v>
          </cell>
          <cell r="EI328" t="str">
            <v>______</v>
          </cell>
          <cell r="EJ328" t="str">
            <v>______</v>
          </cell>
        </row>
        <row r="329">
          <cell r="EC329" t="str">
            <v>Total</v>
          </cell>
          <cell r="EF329">
            <v>8046</v>
          </cell>
          <cell r="EG329">
            <v>6757</v>
          </cell>
          <cell r="EH329">
            <v>1289</v>
          </cell>
          <cell r="EI329">
            <v>0.83979617201093715</v>
          </cell>
          <cell r="EJ329">
            <v>38571</v>
          </cell>
        </row>
        <row r="333">
          <cell r="EM333" t="str">
            <v>Current Properies</v>
          </cell>
        </row>
        <row r="334">
          <cell r="EM334" t="str">
            <v>Property</v>
          </cell>
          <cell r="EN334" t="str">
            <v>Tables</v>
          </cell>
          <cell r="EO334" t="str">
            <v>Slots</v>
          </cell>
          <cell r="EP334" t="str">
            <v>Location</v>
          </cell>
          <cell r="EQ334" t="str">
            <v>Casino Operator</v>
          </cell>
        </row>
        <row r="336">
          <cell r="EM336" t="str">
            <v>Mass Market Focus</v>
          </cell>
        </row>
        <row r="337">
          <cell r="EM337" t="str">
            <v>Sands Macao</v>
          </cell>
          <cell r="EN337">
            <v>772</v>
          </cell>
          <cell r="EO337">
            <v>1233</v>
          </cell>
          <cell r="EP337" t="str">
            <v>Macau</v>
          </cell>
          <cell r="EQ337" t="str">
            <v>LVS</v>
          </cell>
        </row>
        <row r="338">
          <cell r="EM338" t="str">
            <v>Wynn Macau</v>
          </cell>
          <cell r="EN338">
            <v>224</v>
          </cell>
          <cell r="EO338">
            <v>366</v>
          </cell>
          <cell r="EP338" t="str">
            <v>Macau</v>
          </cell>
          <cell r="EQ338" t="str">
            <v>WYNN</v>
          </cell>
        </row>
        <row r="339">
          <cell r="EM339" t="str">
            <v>Mocha Slot Lounges</v>
          </cell>
          <cell r="EN339">
            <v>0</v>
          </cell>
          <cell r="EO339">
            <v>937</v>
          </cell>
          <cell r="EQ339" t="str">
            <v>PBL/Melco</v>
          </cell>
        </row>
        <row r="340">
          <cell r="EM340" t="str">
            <v>Greek Mythology Casino</v>
          </cell>
          <cell r="EN340">
            <v>228</v>
          </cell>
          <cell r="EO340">
            <v>100</v>
          </cell>
          <cell r="EP340" t="str">
            <v>Taipa</v>
          </cell>
          <cell r="EQ340" t="str">
            <v>SJM</v>
          </cell>
        </row>
        <row r="341">
          <cell r="EM341" t="str">
            <v>Hotel Emperor Casino</v>
          </cell>
          <cell r="EN341">
            <v>86</v>
          </cell>
          <cell r="EO341">
            <v>333</v>
          </cell>
          <cell r="EP341" t="str">
            <v>Macau</v>
          </cell>
          <cell r="EQ341" t="str">
            <v>SJM</v>
          </cell>
        </row>
        <row r="342">
          <cell r="EM342" t="str">
            <v>Grand Waldo</v>
          </cell>
          <cell r="EN342">
            <v>168</v>
          </cell>
          <cell r="EO342">
            <v>334</v>
          </cell>
          <cell r="EP342" t="str">
            <v>Cotai</v>
          </cell>
          <cell r="EQ342" t="str">
            <v>Galaxy</v>
          </cell>
        </row>
        <row r="343">
          <cell r="EN343" t="str">
            <v>______</v>
          </cell>
          <cell r="EO343" t="str">
            <v>______</v>
          </cell>
        </row>
        <row r="344">
          <cell r="EM344" t="str">
            <v>Total</v>
          </cell>
          <cell r="EN344">
            <v>1478</v>
          </cell>
          <cell r="EO344">
            <v>3303</v>
          </cell>
        </row>
        <row r="346">
          <cell r="EM346" t="str">
            <v>VIP Focus</v>
          </cell>
        </row>
        <row r="347">
          <cell r="EM347" t="str">
            <v>Casa Real Casino</v>
          </cell>
          <cell r="EN347">
            <v>49</v>
          </cell>
          <cell r="EO347">
            <v>123</v>
          </cell>
          <cell r="EP347" t="str">
            <v>Macau</v>
          </cell>
          <cell r="EQ347" t="str">
            <v>SJM</v>
          </cell>
        </row>
        <row r="348">
          <cell r="EM348" t="str">
            <v>Casino Lisboa</v>
          </cell>
          <cell r="EN348">
            <v>260</v>
          </cell>
          <cell r="EO348">
            <v>217</v>
          </cell>
          <cell r="EP348" t="str">
            <v>Macau</v>
          </cell>
          <cell r="EQ348" t="str">
            <v>SJM</v>
          </cell>
        </row>
        <row r="349">
          <cell r="EM349" t="str">
            <v>Casino Macau Palace</v>
          </cell>
          <cell r="EN349">
            <v>25</v>
          </cell>
          <cell r="EO349">
            <v>51</v>
          </cell>
          <cell r="EP349" t="str">
            <v>Macau</v>
          </cell>
          <cell r="EQ349" t="str">
            <v>SJM</v>
          </cell>
        </row>
        <row r="350">
          <cell r="EM350" t="str">
            <v>Casino Marina</v>
          </cell>
          <cell r="EN350">
            <v>20</v>
          </cell>
          <cell r="EO350">
            <v>37</v>
          </cell>
          <cell r="EP350" t="str">
            <v>Taipa</v>
          </cell>
          <cell r="EQ350" t="str">
            <v>SJM</v>
          </cell>
        </row>
        <row r="351">
          <cell r="EM351" t="str">
            <v>Casino Taipa</v>
          </cell>
          <cell r="EN351">
            <v>8</v>
          </cell>
          <cell r="EO351">
            <v>10</v>
          </cell>
          <cell r="EP351" t="str">
            <v>Taipa</v>
          </cell>
          <cell r="EQ351" t="str">
            <v>SJM</v>
          </cell>
        </row>
        <row r="352">
          <cell r="EM352" t="str">
            <v>Diamond Casino</v>
          </cell>
          <cell r="EN352">
            <v>54</v>
          </cell>
          <cell r="EO352">
            <v>47</v>
          </cell>
          <cell r="EP352" t="str">
            <v>Macau</v>
          </cell>
          <cell r="EQ352" t="str">
            <v>SJM</v>
          </cell>
        </row>
        <row r="353">
          <cell r="EM353" t="str">
            <v>Golden Dragon</v>
          </cell>
          <cell r="EN353">
            <v>90</v>
          </cell>
          <cell r="EO353">
            <v>123</v>
          </cell>
          <cell r="EP353" t="str">
            <v>Macau</v>
          </cell>
          <cell r="EQ353" t="str">
            <v>SJM</v>
          </cell>
        </row>
        <row r="354">
          <cell r="EM354" t="str">
            <v>Hotel Fortuna Casino</v>
          </cell>
          <cell r="EN354">
            <v>40</v>
          </cell>
          <cell r="EO354">
            <v>0</v>
          </cell>
          <cell r="EP354" t="str">
            <v>Macau</v>
          </cell>
          <cell r="EQ354" t="str">
            <v>SJM</v>
          </cell>
        </row>
        <row r="355">
          <cell r="EM355" t="str">
            <v>Jai Alai Casino</v>
          </cell>
          <cell r="EN355">
            <v>116</v>
          </cell>
          <cell r="EO355">
            <v>208</v>
          </cell>
          <cell r="EP355" t="str">
            <v>Macau</v>
          </cell>
          <cell r="EQ355" t="str">
            <v>SJM</v>
          </cell>
        </row>
        <row r="356">
          <cell r="EM356" t="str">
            <v>Kam Pek Casino</v>
          </cell>
          <cell r="EN356">
            <v>67</v>
          </cell>
          <cell r="EO356">
            <v>71</v>
          </cell>
          <cell r="EP356" t="str">
            <v>Macau</v>
          </cell>
          <cell r="EQ356" t="str">
            <v>SJM</v>
          </cell>
        </row>
        <row r="357">
          <cell r="EM357" t="str">
            <v>Kingsway Hotel &amp; Casino</v>
          </cell>
          <cell r="EN357">
            <v>9</v>
          </cell>
          <cell r="EO357">
            <v>20</v>
          </cell>
          <cell r="EP357" t="str">
            <v>Macau</v>
          </cell>
          <cell r="EQ357" t="str">
            <v>SJM</v>
          </cell>
        </row>
        <row r="358">
          <cell r="EM358" t="str">
            <v>Macau Jockey Club Casino</v>
          </cell>
          <cell r="EN358">
            <v>21</v>
          </cell>
          <cell r="EO358">
            <v>0</v>
          </cell>
          <cell r="EP358" t="str">
            <v>Taipa</v>
          </cell>
          <cell r="EQ358" t="str">
            <v>SJM</v>
          </cell>
        </row>
        <row r="359">
          <cell r="EM359" t="str">
            <v>Mandarin Oriental Casino</v>
          </cell>
          <cell r="EN359">
            <v>13</v>
          </cell>
          <cell r="EO359">
            <v>59</v>
          </cell>
          <cell r="EP359" t="str">
            <v>Macau</v>
          </cell>
          <cell r="EQ359" t="str">
            <v>SJM</v>
          </cell>
        </row>
        <row r="360">
          <cell r="EM360" t="str">
            <v>Pharaoh's Palace</v>
          </cell>
          <cell r="EN360">
            <v>103</v>
          </cell>
          <cell r="EO360">
            <v>383</v>
          </cell>
          <cell r="EP360" t="str">
            <v>Macau</v>
          </cell>
          <cell r="EQ360" t="str">
            <v>SJM</v>
          </cell>
        </row>
        <row r="361">
          <cell r="EM361" t="str">
            <v>Galaxy Waldo</v>
          </cell>
          <cell r="EN361">
            <v>63</v>
          </cell>
          <cell r="EO361">
            <v>75</v>
          </cell>
          <cell r="EP361" t="str">
            <v>Macau</v>
          </cell>
          <cell r="EQ361" t="str">
            <v>Galaxy</v>
          </cell>
        </row>
        <row r="362">
          <cell r="EM362" t="str">
            <v>Galaxy Rio</v>
          </cell>
          <cell r="EN362">
            <v>90</v>
          </cell>
          <cell r="EO362">
            <v>150</v>
          </cell>
          <cell r="EP362" t="str">
            <v>Macau</v>
          </cell>
          <cell r="EQ362" t="str">
            <v>Galaxy</v>
          </cell>
        </row>
        <row r="363">
          <cell r="EM363" t="str">
            <v>Hotel Presidente Casino</v>
          </cell>
          <cell r="EN363">
            <v>75</v>
          </cell>
          <cell r="EO363">
            <v>0</v>
          </cell>
          <cell r="EP363" t="str">
            <v>Macau</v>
          </cell>
          <cell r="EQ363" t="str">
            <v>Galaxy</v>
          </cell>
        </row>
        <row r="364">
          <cell r="EN364" t="str">
            <v>______</v>
          </cell>
          <cell r="EO364" t="str">
            <v>______</v>
          </cell>
        </row>
        <row r="365">
          <cell r="EM365" t="str">
            <v>Total</v>
          </cell>
          <cell r="EN365">
            <v>1103</v>
          </cell>
          <cell r="EO365">
            <v>1574</v>
          </cell>
        </row>
        <row r="367">
          <cell r="EM367" t="str">
            <v>total</v>
          </cell>
          <cell r="EN367">
            <v>2581</v>
          </cell>
          <cell r="EO367">
            <v>4877</v>
          </cell>
        </row>
        <row r="368">
          <cell r="ER368" t="str">
            <v>Future Hotel Properties</v>
          </cell>
        </row>
        <row r="369">
          <cell r="ER369" t="str">
            <v>Property</v>
          </cell>
          <cell r="ES369" t="str">
            <v>Rooms</v>
          </cell>
          <cell r="ET369" t="str">
            <v>Open Date</v>
          </cell>
          <cell r="EU369" t="str">
            <v>Location</v>
          </cell>
          <cell r="EV369" t="str">
            <v>Casino Operator</v>
          </cell>
        </row>
        <row r="371">
          <cell r="ER371" t="str">
            <v>Galaxy StarWorld</v>
          </cell>
          <cell r="ES371">
            <v>507</v>
          </cell>
          <cell r="ET371" t="str">
            <v>4Q06</v>
          </cell>
          <cell r="EU371" t="str">
            <v>Macau</v>
          </cell>
          <cell r="EV371" t="str">
            <v>Galaxy</v>
          </cell>
        </row>
        <row r="372">
          <cell r="ER372" t="str">
            <v>Grand Lisboa</v>
          </cell>
          <cell r="ES372">
            <v>650</v>
          </cell>
          <cell r="ET372" t="str">
            <v>4Q06</v>
          </cell>
          <cell r="EU372" t="str">
            <v>Macau</v>
          </cell>
          <cell r="EV372" t="str">
            <v>SJM</v>
          </cell>
        </row>
        <row r="373">
          <cell r="ER373" t="str">
            <v>Crown Macau</v>
          </cell>
          <cell r="ES373">
            <v>248</v>
          </cell>
          <cell r="ET373" t="str">
            <v>2Q07</v>
          </cell>
          <cell r="EU373" t="str">
            <v>Taipa</v>
          </cell>
          <cell r="EV373" t="str">
            <v>Melco/PBL</v>
          </cell>
        </row>
        <row r="374">
          <cell r="ER374" t="str">
            <v>Sands Macao</v>
          </cell>
          <cell r="ES374">
            <v>180</v>
          </cell>
          <cell r="ET374" t="str">
            <v>3Q07</v>
          </cell>
          <cell r="EU374" t="str">
            <v>Macau</v>
          </cell>
          <cell r="EV374" t="str">
            <v>LVS</v>
          </cell>
        </row>
        <row r="375">
          <cell r="ER375" t="str">
            <v>Venetian Macao</v>
          </cell>
          <cell r="ES375">
            <v>3000</v>
          </cell>
          <cell r="ET375" t="str">
            <v>3Q07</v>
          </cell>
          <cell r="EU375" t="str">
            <v>Cotai</v>
          </cell>
          <cell r="EV375" t="str">
            <v>LVS</v>
          </cell>
        </row>
        <row r="376">
          <cell r="ER376" t="str">
            <v>MGM Grand</v>
          </cell>
          <cell r="ES376">
            <v>600</v>
          </cell>
          <cell r="ET376" t="str">
            <v>4Q07</v>
          </cell>
          <cell r="EU376" t="str">
            <v>Macau</v>
          </cell>
          <cell r="EV376" t="str">
            <v>MGM</v>
          </cell>
        </row>
        <row r="377">
          <cell r="ER377" t="str">
            <v>Cotai Site 2 - Four Seasons</v>
          </cell>
          <cell r="ES377">
            <v>400</v>
          </cell>
          <cell r="ET377" t="str">
            <v>1Q08</v>
          </cell>
          <cell r="EU377" t="str">
            <v>Cotai</v>
          </cell>
          <cell r="EV377" t="str">
            <v>LVS</v>
          </cell>
        </row>
        <row r="378">
          <cell r="ER378" t="str">
            <v>Ponte 16</v>
          </cell>
          <cell r="ES378">
            <v>420</v>
          </cell>
          <cell r="ET378" t="str">
            <v>1Q08</v>
          </cell>
          <cell r="EU378" t="str">
            <v>Macau</v>
          </cell>
          <cell r="EV378" t="str">
            <v>SJM</v>
          </cell>
        </row>
        <row r="379">
          <cell r="ER379" t="str">
            <v>Arc de Triomphe</v>
          </cell>
          <cell r="ES379">
            <v>400</v>
          </cell>
          <cell r="ET379" t="str">
            <v>1Q08</v>
          </cell>
          <cell r="EU379" t="str">
            <v>Macau</v>
          </cell>
          <cell r="EV379" t="str">
            <v>SJM</v>
          </cell>
        </row>
        <row r="380">
          <cell r="ER380" t="str">
            <v>Cotai Site 5 - Shangri-La</v>
          </cell>
          <cell r="ES380">
            <v>2200</v>
          </cell>
          <cell r="ET380" t="str">
            <v>2Q08</v>
          </cell>
          <cell r="EU380" t="str">
            <v>Cotai</v>
          </cell>
          <cell r="EV380" t="str">
            <v>LVS</v>
          </cell>
        </row>
        <row r="381">
          <cell r="ER381" t="str">
            <v>Cotai Site 6 - Sheraton</v>
          </cell>
          <cell r="ES381">
            <v>4000</v>
          </cell>
          <cell r="ET381" t="str">
            <v>2Q08</v>
          </cell>
          <cell r="EU381" t="str">
            <v>Cotai</v>
          </cell>
          <cell r="EV381" t="str">
            <v>LVS</v>
          </cell>
        </row>
        <row r="382">
          <cell r="ER382" t="str">
            <v>Galaxy Cotai Mega Resort</v>
          </cell>
          <cell r="ES382">
            <v>1500</v>
          </cell>
          <cell r="ET382" t="str">
            <v>2Q08</v>
          </cell>
          <cell r="EU382" t="str">
            <v>Cotai</v>
          </cell>
          <cell r="EV382" t="str">
            <v>Galaxy</v>
          </cell>
        </row>
        <row r="383">
          <cell r="ER383" t="str">
            <v>Cotai Site 3 - Far East</v>
          </cell>
          <cell r="ES383">
            <v>3600</v>
          </cell>
          <cell r="ET383" t="str">
            <v>4Q08</v>
          </cell>
          <cell r="EU383" t="str">
            <v>Cotai</v>
          </cell>
          <cell r="EV383" t="str">
            <v>LVS</v>
          </cell>
        </row>
        <row r="384">
          <cell r="ER384" t="str">
            <v>Cotai Site 7 - Hilton</v>
          </cell>
          <cell r="ES384">
            <v>3000</v>
          </cell>
          <cell r="ET384" t="str">
            <v>4Q08</v>
          </cell>
          <cell r="EU384" t="str">
            <v>Cotai</v>
          </cell>
          <cell r="EV384" t="str">
            <v>LVS</v>
          </cell>
        </row>
        <row r="385">
          <cell r="ER385" t="str">
            <v>Cotai Site 8 - FHR/Raffles</v>
          </cell>
          <cell r="ES385">
            <v>3000</v>
          </cell>
          <cell r="ET385" t="str">
            <v>4Q08</v>
          </cell>
          <cell r="EU385" t="str">
            <v>Cotai</v>
          </cell>
          <cell r="EV385" t="str">
            <v>LVS</v>
          </cell>
        </row>
        <row r="386">
          <cell r="ER386" t="str">
            <v>Oceanus</v>
          </cell>
          <cell r="ES386">
            <v>600</v>
          </cell>
          <cell r="ET386">
            <v>2009</v>
          </cell>
          <cell r="EU386" t="str">
            <v>Macau</v>
          </cell>
          <cell r="EV386" t="str">
            <v>SJM</v>
          </cell>
        </row>
        <row r="387">
          <cell r="ER387" t="str">
            <v>Penninsula Project</v>
          </cell>
          <cell r="ES387">
            <v>150</v>
          </cell>
          <cell r="ET387">
            <v>2009</v>
          </cell>
          <cell r="EU387" t="str">
            <v>Macau</v>
          </cell>
          <cell r="EV387" t="str">
            <v>Melco/PBL</v>
          </cell>
        </row>
        <row r="388">
          <cell r="ER388" t="str">
            <v>City of Dreams</v>
          </cell>
          <cell r="ES388">
            <v>1640</v>
          </cell>
          <cell r="ET388">
            <v>2009</v>
          </cell>
          <cell r="EU388" t="str">
            <v>Cotai</v>
          </cell>
          <cell r="EV388" t="str">
            <v>Melco/PBL</v>
          </cell>
        </row>
        <row r="389">
          <cell r="ER389" t="str">
            <v>eSun Casino</v>
          </cell>
          <cell r="ES389">
            <v>1500</v>
          </cell>
          <cell r="ET389">
            <v>2009</v>
          </cell>
          <cell r="EU389" t="str">
            <v>Cotai</v>
          </cell>
          <cell r="EV389" t="str">
            <v>TBD</v>
          </cell>
        </row>
        <row r="390">
          <cell r="ER390" t="str">
            <v>Mandarin Oriental</v>
          </cell>
          <cell r="ES390">
            <v>210</v>
          </cell>
          <cell r="ET390">
            <v>2009</v>
          </cell>
          <cell r="EU390" t="str">
            <v>Macau</v>
          </cell>
          <cell r="EV390" t="str">
            <v>None</v>
          </cell>
        </row>
        <row r="391">
          <cell r="ER391" t="str">
            <v>Wynn Cotai</v>
          </cell>
          <cell r="ES391">
            <v>3000</v>
          </cell>
          <cell r="ET391">
            <v>2010</v>
          </cell>
          <cell r="EU391" t="str">
            <v>Cotai</v>
          </cell>
          <cell r="EV391" t="str">
            <v>WYNN</v>
          </cell>
        </row>
        <row r="392">
          <cell r="ER392" t="str">
            <v>Nova de Taipa Phase 5</v>
          </cell>
          <cell r="ES392">
            <v>600</v>
          </cell>
          <cell r="ET392">
            <v>2010</v>
          </cell>
          <cell r="EU392" t="str">
            <v>Macau</v>
          </cell>
          <cell r="EV392" t="str">
            <v>None</v>
          </cell>
        </row>
        <row r="393">
          <cell r="ER393" t="str">
            <v>Shun Tak Nam Van</v>
          </cell>
          <cell r="ES393">
            <v>500</v>
          </cell>
          <cell r="ET393">
            <v>2010</v>
          </cell>
          <cell r="EU393" t="str">
            <v>Macau</v>
          </cell>
          <cell r="EV393" t="str">
            <v>SJM</v>
          </cell>
        </row>
        <row r="394">
          <cell r="ER394" t="str">
            <v>Shun Tak Cotai</v>
          </cell>
          <cell r="ES394">
            <v>2000</v>
          </cell>
          <cell r="ET394">
            <v>2011</v>
          </cell>
          <cell r="EU394" t="str">
            <v>Cotai</v>
          </cell>
          <cell r="EV394" t="str">
            <v>SJM</v>
          </cell>
        </row>
        <row r="395">
          <cell r="ES395" t="str">
            <v>_____</v>
          </cell>
        </row>
        <row r="396">
          <cell r="ER396" t="str">
            <v>Total</v>
          </cell>
          <cell r="ES396">
            <v>33905</v>
          </cell>
        </row>
        <row r="398">
          <cell r="ER398" t="str">
            <v>Note: excludes Cotai hotel expansions</v>
          </cell>
        </row>
        <row r="399">
          <cell r="EW399" t="str">
            <v>Infrastructure Projects</v>
          </cell>
        </row>
        <row r="400">
          <cell r="EW400" t="str">
            <v>Project</v>
          </cell>
          <cell r="EX400" t="str">
            <v>Completion</v>
          </cell>
          <cell r="EY400" t="str">
            <v>Status</v>
          </cell>
          <cell r="EZ400" t="str">
            <v>Details</v>
          </cell>
          <cell r="FA400" t="str">
            <v>Est. Cost</v>
          </cell>
        </row>
        <row r="402">
          <cell r="EW402" t="str">
            <v>Land reclamation</v>
          </cell>
          <cell r="EX402" t="str">
            <v>2026</v>
          </cell>
          <cell r="EY402" t="str">
            <v>Proposed</v>
          </cell>
          <cell r="EZ402" t="str">
            <v>Add 1,000 acres to Macau land, helping traffic and housing</v>
          </cell>
        </row>
        <row r="403">
          <cell r="EW403" t="str">
            <v>Roundabout</v>
          </cell>
          <cell r="EX403" t="str">
            <v>1Q07</v>
          </cell>
          <cell r="EY403" t="str">
            <v>In Process</v>
          </cell>
          <cell r="EZ403" t="str">
            <v>Make traffic and pedestrian flow easier by Casino Lisboa</v>
          </cell>
        </row>
        <row r="404">
          <cell r="EW404" t="str">
            <v>New Taipa tunnel</v>
          </cell>
          <cell r="EX404" t="str">
            <v>2009</v>
          </cell>
          <cell r="EY404" t="str">
            <v>In Process</v>
          </cell>
          <cell r="EZ404" t="str">
            <v>Add 4th link to Macau-Taipa crossing</v>
          </cell>
        </row>
        <row r="405">
          <cell r="EW405" t="str">
            <v>Hong Kong-Macau-Zhuhai bridge</v>
          </cell>
          <cell r="EX405" t="str">
            <v>2011</v>
          </cell>
          <cell r="EY405" t="str">
            <v>Proposed</v>
          </cell>
          <cell r="EZ405" t="str">
            <v>Shorten HK to Macau drive time to 1/2 hour from 4.5 hours</v>
          </cell>
          <cell r="FA405" t="str">
            <v>$4-5b</v>
          </cell>
        </row>
        <row r="406">
          <cell r="EW406" t="str">
            <v>Gongbei Expansion</v>
          </cell>
          <cell r="EY406" t="str">
            <v>Proposed</v>
          </cell>
          <cell r="EZ406" t="str">
            <v>Double border gate capacity to 600,000 people per day</v>
          </cell>
        </row>
        <row r="407">
          <cell r="EW407" t="str">
            <v>Expansion of airport</v>
          </cell>
          <cell r="EX407" t="str">
            <v>2009</v>
          </cell>
          <cell r="EY407" t="str">
            <v>Proposed</v>
          </cell>
          <cell r="EZ407" t="str">
            <v>Double passenger capacity to 12 million annually</v>
          </cell>
        </row>
        <row r="408">
          <cell r="EW408" t="str">
            <v>Lotus Bridge Expansion</v>
          </cell>
          <cell r="EX408" t="str">
            <v>Late '06/ early '07</v>
          </cell>
          <cell r="EY408" t="str">
            <v>In Process</v>
          </cell>
          <cell r="EZ408" t="str">
            <v>Make link to Cotai more usable for bus traffic</v>
          </cell>
        </row>
        <row r="409">
          <cell r="EW409" t="str">
            <v>New Taipa ferry terminal</v>
          </cell>
          <cell r="EX409">
            <v>2007</v>
          </cell>
          <cell r="EY409" t="str">
            <v>In Process</v>
          </cell>
          <cell r="EZ409" t="str">
            <v>Make Cotai a 5 mintue drive from terminal, bypassing old Macau</v>
          </cell>
          <cell r="FA409" t="str">
            <v>$60mm</v>
          </cell>
        </row>
        <row r="410">
          <cell r="EW410" t="str">
            <v>Subway to Wanzi</v>
          </cell>
          <cell r="EY410" t="str">
            <v>Proposed</v>
          </cell>
          <cell r="EZ410" t="str">
            <v>Pedestrian link between Zhuhai and Inner Harbor</v>
          </cell>
        </row>
        <row r="411">
          <cell r="EW411" t="str">
            <v>Internal Macau light rail system</v>
          </cell>
          <cell r="EX411" t="str">
            <v>Phase I 2009</v>
          </cell>
          <cell r="EY411" t="str">
            <v>Proposed</v>
          </cell>
          <cell r="EZ411" t="str">
            <v>3 lines, 17 miles, linking peninsula to Cotai, city loop line</v>
          </cell>
          <cell r="FA411" t="str">
            <v>$2-2.5b</v>
          </cell>
        </row>
        <row r="412">
          <cell r="EW412" t="str">
            <v>Expansion/ modernization of China road/rail network</v>
          </cell>
          <cell r="EX412" t="str">
            <v>2020</v>
          </cell>
          <cell r="EY412" t="str">
            <v>In Process</v>
          </cell>
          <cell r="EZ412" t="str">
            <v>10,000 km rail, 30,000 km road construction in Southern China</v>
          </cell>
        </row>
        <row r="414">
          <cell r="FB414" t="str">
            <v>Gaming &amp; Hotel employees needed</v>
          </cell>
        </row>
        <row r="415">
          <cell r="FC415">
            <v>2004</v>
          </cell>
          <cell r="FD415">
            <v>2005</v>
          </cell>
          <cell r="FE415" t="str">
            <v>2006E</v>
          </cell>
          <cell r="FF415" t="str">
            <v>2007E</v>
          </cell>
          <cell r="FG415" t="str">
            <v>2008E</v>
          </cell>
          <cell r="FH415" t="str">
            <v>2009E</v>
          </cell>
          <cell r="FI415" t="str">
            <v>2010E</v>
          </cell>
        </row>
        <row r="417">
          <cell r="FB417" t="str">
            <v>Gaming Tables</v>
          </cell>
          <cell r="FC417">
            <v>660.54586717630195</v>
          </cell>
          <cell r="FD417">
            <v>1251.75</v>
          </cell>
          <cell r="FE417">
            <v>2064.4426328502418</v>
          </cell>
          <cell r="FF417">
            <v>3839.166666666667</v>
          </cell>
          <cell r="FG417">
            <v>5581</v>
          </cell>
          <cell r="FH417">
            <v>8198.5</v>
          </cell>
          <cell r="FI417">
            <v>9966</v>
          </cell>
        </row>
        <row r="418">
          <cell r="FB418" t="str">
            <v xml:space="preserve">  Employees/Table</v>
          </cell>
          <cell r="FC418">
            <v>37.070097955006155</v>
          </cell>
          <cell r="FD418">
            <v>24.26323147593369</v>
          </cell>
          <cell r="FE418">
            <v>20.437357965580738</v>
          </cell>
          <cell r="FF418">
            <v>20.047988212869072</v>
          </cell>
          <cell r="FG418">
            <v>17.454695707879562</v>
          </cell>
          <cell r="FH418">
            <v>15.709226137091607</v>
          </cell>
          <cell r="FI418">
            <v>14.138303523382445</v>
          </cell>
        </row>
        <row r="419">
          <cell r="FB419" t="str">
            <v>Gaming Employees</v>
          </cell>
          <cell r="FC419">
            <v>20518</v>
          </cell>
          <cell r="FD419">
            <v>24136.249999999996</v>
          </cell>
          <cell r="FE419">
            <v>42191.753086966361</v>
          </cell>
          <cell r="FF419">
            <v>76967.568080573183</v>
          </cell>
          <cell r="FG419">
            <v>97414.656745675835</v>
          </cell>
          <cell r="FH419">
            <v>128792.09048494554</v>
          </cell>
          <cell r="FI419">
            <v>140902.33291402945</v>
          </cell>
          <cell r="FJ419">
            <v>73278.406745675835</v>
          </cell>
          <cell r="FK419">
            <v>116766.08291402945</v>
          </cell>
        </row>
        <row r="420">
          <cell r="FB420" t="str">
            <v xml:space="preserve">  % Change</v>
          </cell>
          <cell r="FD420">
            <v>0.17634516034701231</v>
          </cell>
          <cell r="FE420">
            <v>0.74806579675659512</v>
          </cell>
          <cell r="FF420">
            <v>0.82423252055742546</v>
          </cell>
          <cell r="FG420">
            <v>0.26565849974235523</v>
          </cell>
          <cell r="FH420">
            <v>0.32210177387564953</v>
          </cell>
          <cell r="FI420">
            <v>9.4029395621150202E-2</v>
          </cell>
        </row>
        <row r="421">
          <cell r="FB421" t="str">
            <v xml:space="preserve"> </v>
          </cell>
        </row>
        <row r="422">
          <cell r="FB422" t="str">
            <v>Hotel Rooms</v>
          </cell>
          <cell r="FC422">
            <v>9232.5</v>
          </cell>
          <cell r="FD422">
            <v>10534.833333333332</v>
          </cell>
          <cell r="FE422">
            <v>11819.416666666666</v>
          </cell>
          <cell r="FF422">
            <v>15220.325250836122</v>
          </cell>
          <cell r="FG422">
            <v>21337.818840579712</v>
          </cell>
          <cell r="FH422">
            <v>33922.818840579712</v>
          </cell>
          <cell r="FI422">
            <v>48497.818840579712</v>
          </cell>
        </row>
        <row r="423">
          <cell r="FB423" t="str">
            <v xml:space="preserve">  Employees/Room</v>
          </cell>
          <cell r="FC423">
            <v>0.80794746818304897</v>
          </cell>
          <cell r="FD423">
            <v>0.85471214542232909</v>
          </cell>
          <cell r="FE423">
            <v>0.77858858359416339</v>
          </cell>
          <cell r="FF423">
            <v>0.678779490405788</v>
          </cell>
          <cell r="FG423">
            <v>0.61090154136520936</v>
          </cell>
          <cell r="FH423">
            <v>0.54981138722868839</v>
          </cell>
          <cell r="FI423">
            <v>0.49483024850581958</v>
          </cell>
        </row>
        <row r="424">
          <cell r="FB424" t="str">
            <v>Hotel Employees</v>
          </cell>
          <cell r="FC424">
            <v>7459.375</v>
          </cell>
          <cell r="FD424">
            <v>9004.2499999999982</v>
          </cell>
          <cell r="FE424">
            <v>9202.4628814092484</v>
          </cell>
          <cell r="FF424">
            <v>10331.244617572891</v>
          </cell>
          <cell r="FG424">
            <v>13035.306419081749</v>
          </cell>
          <cell r="FH424">
            <v>18651.152085446618</v>
          </cell>
          <cell r="FI424">
            <v>23998.187748874279</v>
          </cell>
          <cell r="FJ424">
            <v>131760.02066290373</v>
          </cell>
        </row>
        <row r="425">
          <cell r="FB425" t="str">
            <v xml:space="preserve">  % Change</v>
          </cell>
          <cell r="FD425">
            <v>0.20710515291160436</v>
          </cell>
          <cell r="FE425">
            <v>2.2013258340144892E-2</v>
          </cell>
          <cell r="FF425">
            <v>0.12266083011798945</v>
          </cell>
          <cell r="FG425">
            <v>0.26173630589574803</v>
          </cell>
          <cell r="FH425">
            <v>0.43081807867163802</v>
          </cell>
          <cell r="FI425">
            <v>0.28668661533246098</v>
          </cell>
        </row>
        <row r="427">
          <cell r="FJ427" t="str">
            <v>Macau spend per visitor</v>
          </cell>
        </row>
        <row r="428">
          <cell r="FK428">
            <v>1999</v>
          </cell>
          <cell r="FL428">
            <v>2000</v>
          </cell>
          <cell r="FM428">
            <v>2001</v>
          </cell>
          <cell r="FN428">
            <v>2002</v>
          </cell>
          <cell r="FO428">
            <v>2003</v>
          </cell>
          <cell r="FP428">
            <v>2004</v>
          </cell>
          <cell r="FQ428">
            <v>2005</v>
          </cell>
          <cell r="FR428" t="str">
            <v>2006E</v>
          </cell>
          <cell r="FS428" t="str">
            <v>2007E</v>
          </cell>
          <cell r="FT428" t="str">
            <v>2008E</v>
          </cell>
          <cell r="FU428" t="str">
            <v>2009E</v>
          </cell>
          <cell r="FV428" t="str">
            <v>2010E</v>
          </cell>
        </row>
        <row r="430">
          <cell r="FJ430" t="str">
            <v>Total Gaming Revenue/Visitor</v>
          </cell>
          <cell r="FK430">
            <v>217.86376862885368</v>
          </cell>
          <cell r="FL430">
            <v>216.84155772657923</v>
          </cell>
          <cell r="FM430">
            <v>219.47156798001637</v>
          </cell>
          <cell r="FN430">
            <v>233.6752566583952</v>
          </cell>
          <cell r="FO430">
            <v>292.57303766303806</v>
          </cell>
          <cell r="FP430">
            <v>300.64740025553272</v>
          </cell>
          <cell r="FQ430">
            <v>298.38041359532156</v>
          </cell>
          <cell r="FR430">
            <v>312.40935136002508</v>
          </cell>
          <cell r="FS430">
            <v>324.40477229611457</v>
          </cell>
          <cell r="FT430">
            <v>320.62196092006934</v>
          </cell>
          <cell r="FU430">
            <v>319.86097383534667</v>
          </cell>
          <cell r="FV430">
            <v>312.01678956696031</v>
          </cell>
        </row>
        <row r="431">
          <cell r="FJ431" t="str">
            <v xml:space="preserve">  % Change</v>
          </cell>
          <cell r="FK431">
            <v>-0.16593356360145228</v>
          </cell>
          <cell r="FL431">
            <v>-4.6919729182499648E-3</v>
          </cell>
          <cell r="FM431">
            <v>1.212871868755605E-2</v>
          </cell>
          <cell r="FN431">
            <v>6.4717670763039914E-2</v>
          </cell>
          <cell r="FO431">
            <v>0.25204971141101273</v>
          </cell>
          <cell r="FP431">
            <v>2.7597767234430082E-2</v>
          </cell>
          <cell r="FQ431">
            <v>-7.5403501187250033E-3</v>
          </cell>
          <cell r="FR431">
            <v>4.7016952606447893E-2</v>
          </cell>
          <cell r="FS431">
            <v>3.8396484880715898E-2</v>
          </cell>
          <cell r="FT431">
            <v>-1.1660775978327154E-2</v>
          </cell>
          <cell r="FU431">
            <v>-2.373471494400814E-3</v>
          </cell>
          <cell r="FV431">
            <v>-2.4523730339245042E-2</v>
          </cell>
        </row>
        <row r="433">
          <cell r="FJ433" t="str">
            <v>Mass Market Gaming Revenue/Visitor</v>
          </cell>
          <cell r="FK433">
            <v>74.093968535002972</v>
          </cell>
          <cell r="FL433">
            <v>69.485441851167352</v>
          </cell>
          <cell r="FM433">
            <v>64.879130958528137</v>
          </cell>
          <cell r="FN433">
            <v>61.631618489333086</v>
          </cell>
          <cell r="FO433">
            <v>66.388826584460716</v>
          </cell>
          <cell r="FP433">
            <v>84.303626644021449</v>
          </cell>
          <cell r="FQ433">
            <v>111.44221269958217</v>
          </cell>
          <cell r="FR433">
            <v>109.56058503486751</v>
          </cell>
          <cell r="FS433">
            <v>117.91681169731642</v>
          </cell>
          <cell r="FT433">
            <v>128.14735361515733</v>
          </cell>
          <cell r="FU433">
            <v>143.23197396120545</v>
          </cell>
          <cell r="FV433">
            <v>152.8036252338226</v>
          </cell>
        </row>
        <row r="434">
          <cell r="FJ434" t="str">
            <v xml:space="preserve">  % Change</v>
          </cell>
          <cell r="FK434">
            <v>-0.22325466096502977</v>
          </cell>
          <cell r="FL434">
            <v>-6.2198405281240876E-2</v>
          </cell>
          <cell r="FM434">
            <v>-6.6291740685848866E-2</v>
          </cell>
          <cell r="FN434">
            <v>-5.0054808398573014E-2</v>
          </cell>
          <cell r="FO434">
            <v>7.7187784642569257E-2</v>
          </cell>
          <cell r="FP434">
            <v>0.26984661397455634</v>
          </cell>
          <cell r="FQ434">
            <v>0.32191481121156862</v>
          </cell>
          <cell r="FR434">
            <v>-1.6884335110852633E-2</v>
          </cell>
          <cell r="FS434">
            <v>7.6270372778582285E-2</v>
          </cell>
          <cell r="FT434">
            <v>8.6760672804671257E-2</v>
          </cell>
          <cell r="FU434">
            <v>0.11771308513595335</v>
          </cell>
          <cell r="FV434">
            <v>6.6826219089947347E-2</v>
          </cell>
        </row>
        <row r="436">
          <cell r="FJ436" t="str">
            <v>Las Vegas Gaming Revenue/Visitor</v>
          </cell>
          <cell r="FK436">
            <v>132.7643113840183</v>
          </cell>
          <cell r="FL436">
            <v>134.04751552809759</v>
          </cell>
          <cell r="FM436">
            <v>134.33016420084542</v>
          </cell>
          <cell r="FN436">
            <v>132.73488993415023</v>
          </cell>
          <cell r="FO436">
            <v>134.04098511074497</v>
          </cell>
          <cell r="FP436">
            <v>142.65024663414405</v>
          </cell>
          <cell r="FQ436">
            <v>145.42860799220509</v>
          </cell>
          <cell r="FR436">
            <v>148.3371801520492</v>
          </cell>
          <cell r="FS436">
            <v>151.30392375509018</v>
          </cell>
          <cell r="FT436">
            <v>154.33000223019198</v>
          </cell>
          <cell r="FU436">
            <v>157.41660227479582</v>
          </cell>
          <cell r="FV436">
            <v>160.56493432029174</v>
          </cell>
        </row>
        <row r="437">
          <cell r="FJ437" t="str">
            <v xml:space="preserve">  % Change</v>
          </cell>
          <cell r="FK437">
            <v>6.5798123042734913E-2</v>
          </cell>
          <cell r="FL437">
            <v>9.665279250894887E-3</v>
          </cell>
          <cell r="FM437">
            <v>2.1085707678676346E-3</v>
          </cell>
          <cell r="FN437">
            <v>-1.1875770986998768E-2</v>
          </cell>
          <cell r="FO437">
            <v>9.8398784015467644E-3</v>
          </cell>
          <cell r="FP437">
            <v>6.4228575433745716E-2</v>
          </cell>
          <cell r="FQ437">
            <v>1.947673714989584E-2</v>
          </cell>
          <cell r="FR437">
            <v>2.0000000000000018E-2</v>
          </cell>
          <cell r="FS437">
            <v>2.0000000000000018E-2</v>
          </cell>
          <cell r="FT437">
            <v>2.0000000000000018E-2</v>
          </cell>
          <cell r="FU437">
            <v>2.0000000000000018E-2</v>
          </cell>
          <cell r="FV437">
            <v>2.0000000000000018E-2</v>
          </cell>
        </row>
        <row r="439">
          <cell r="FJ439" t="str">
            <v>US Personal Disposable Income per capita</v>
          </cell>
          <cell r="FK439">
            <v>23968</v>
          </cell>
          <cell r="FL439">
            <v>25472</v>
          </cell>
          <cell r="FM439">
            <v>26236</v>
          </cell>
          <cell r="FN439">
            <v>27159</v>
          </cell>
          <cell r="FO439">
            <v>28034</v>
          </cell>
          <cell r="FP439">
            <v>29416</v>
          </cell>
        </row>
        <row r="440">
          <cell r="FJ440" t="str">
            <v xml:space="preserve">  % Change</v>
          </cell>
          <cell r="FL440">
            <v>6.2750333778371248E-2</v>
          </cell>
          <cell r="FM440">
            <v>2.9993718592964846E-2</v>
          </cell>
          <cell r="FN440">
            <v>3.5180667784723285E-2</v>
          </cell>
          <cell r="FO440">
            <v>3.2217681063367642E-2</v>
          </cell>
          <cell r="FP440">
            <v>4.9297281872012544E-2</v>
          </cell>
        </row>
        <row r="442">
          <cell r="FJ442" t="str">
            <v>China Personal Disposable Income per capita, yuan</v>
          </cell>
          <cell r="FK442">
            <v>5854.02</v>
          </cell>
          <cell r="FL442">
            <v>6280</v>
          </cell>
          <cell r="FM442">
            <v>6859.6</v>
          </cell>
          <cell r="FN442">
            <v>7702.8</v>
          </cell>
          <cell r="FO442">
            <v>8472.2000000000007</v>
          </cell>
        </row>
        <row r="443">
          <cell r="FK443">
            <v>8.2782841897233155</v>
          </cell>
          <cell r="FL443">
            <v>8.2784197628458553</v>
          </cell>
          <cell r="FM443">
            <v>8.2770746987951913</v>
          </cell>
          <cell r="FN443">
            <v>8.2763569169960558</v>
          </cell>
          <cell r="FO443">
            <v>8.2770482213438719</v>
          </cell>
          <cell r="FP443">
            <v>8.2767809525691511</v>
          </cell>
        </row>
        <row r="444">
          <cell r="FJ444" t="str">
            <v>China Personal Disposable Income per capita, USD</v>
          </cell>
          <cell r="FK444">
            <v>707.15378523332129</v>
          </cell>
          <cell r="FL444">
            <v>758.59888479986148</v>
          </cell>
          <cell r="FM444">
            <v>828.74690027848624</v>
          </cell>
          <cell r="FN444">
            <v>930.69934963556034</v>
          </cell>
          <cell r="FO444">
            <v>1023.5774606402431</v>
          </cell>
        </row>
        <row r="445">
          <cell r="FJ445" t="str">
            <v xml:space="preserve">  % Change</v>
          </cell>
          <cell r="FL445">
            <v>7.2749521590365518E-2</v>
          </cell>
          <cell r="FM445">
            <v>9.2470496443099348E-2</v>
          </cell>
          <cell r="FN445">
            <v>0.12302000685953063</v>
          </cell>
          <cell r="FO445">
            <v>9.9793892669046702E-2</v>
          </cell>
        </row>
        <row r="447">
          <cell r="FJ447" t="str">
            <v>LV Revenue/Visitor as Share of Income</v>
          </cell>
          <cell r="FK447">
            <v>5.5392319502677858E-3</v>
          </cell>
          <cell r="FL447">
            <v>5.2625437942877508E-3</v>
          </cell>
          <cell r="FM447">
            <v>5.1200702927597739E-3</v>
          </cell>
          <cell r="FN447">
            <v>4.8873261141481727E-3</v>
          </cell>
          <cell r="FO447">
            <v>4.7813720878485044E-3</v>
          </cell>
        </row>
        <row r="448">
          <cell r="FJ448" t="str">
            <v>Macau Mass Revenue/Visitor as Share of Income</v>
          </cell>
          <cell r="FK448">
            <v>0.10477773022250896</v>
          </cell>
          <cell r="FL448">
            <v>9.1597078829742093E-2</v>
          </cell>
          <cell r="FM448">
            <v>7.8285820359299818E-2</v>
          </cell>
          <cell r="FN448">
            <v>6.6220760241711307E-2</v>
          </cell>
          <cell r="FO448">
            <v>6.4859601874131548E-2</v>
          </cell>
        </row>
        <row r="451">
          <cell r="FW451" t="str">
            <v>% Impact of revaluation to EBITDA</v>
          </cell>
        </row>
        <row r="452">
          <cell r="FW452" t="str">
            <v>% Change in EBITDA = % RMB Appreciation * (RMB Revenue Share - RMB Expense Share * (1- Margin))/Margin</v>
          </cell>
        </row>
        <row r="453">
          <cell r="FY453" t="str">
            <v>Margin:</v>
          </cell>
          <cell r="FZ453">
            <v>0.35</v>
          </cell>
          <cell r="GI453" t="str">
            <v>% RMB Revenues</v>
          </cell>
          <cell r="GJ453">
            <v>0.7</v>
          </cell>
        </row>
        <row r="454">
          <cell r="FY454" t="str">
            <v>% Appreciation:</v>
          </cell>
          <cell r="FZ454">
            <v>0.2</v>
          </cell>
          <cell r="GI454" t="str">
            <v>% RMB Expenses</v>
          </cell>
          <cell r="GJ454">
            <v>0.2</v>
          </cell>
        </row>
        <row r="455">
          <cell r="FW455" t="str">
            <v>EBITDA Impact from 20% RMB Appreciation, Assumes 35% Margin</v>
          </cell>
          <cell r="GG455" t="str">
            <v>EBITDA Impact Assuming 70% Revenue, 20% Expense Exposure to RMB</v>
          </cell>
        </row>
        <row r="456">
          <cell r="FY456" t="str">
            <v>% of Revenue Denominated in RMB</v>
          </cell>
          <cell r="GI456" t="str">
            <v>% RMB Appreciation</v>
          </cell>
        </row>
        <row r="457">
          <cell r="FY457">
            <v>0.4</v>
          </cell>
          <cell r="FZ457">
            <v>0.5</v>
          </cell>
          <cell r="GA457">
            <v>0.6</v>
          </cell>
          <cell r="GB457">
            <v>0.7</v>
          </cell>
          <cell r="GC457">
            <v>0.79999999999999993</v>
          </cell>
          <cell r="GD457">
            <v>0.89999999999999991</v>
          </cell>
          <cell r="GE457">
            <v>0.99999999999999989</v>
          </cell>
          <cell r="GI457">
            <v>0.05</v>
          </cell>
          <cell r="GJ457">
            <v>0.1</v>
          </cell>
          <cell r="GK457">
            <v>0.15000000000000002</v>
          </cell>
          <cell r="GL457">
            <v>0.2</v>
          </cell>
          <cell r="GM457">
            <v>0.25</v>
          </cell>
          <cell r="GN457">
            <v>0.3</v>
          </cell>
          <cell r="GO457">
            <v>0.35</v>
          </cell>
        </row>
        <row r="458">
          <cell r="FW458" t="str">
            <v>% of Expense Denominated in RMB</v>
          </cell>
          <cell r="FX458">
            <v>0.05</v>
          </cell>
          <cell r="FY458">
            <v>0.21000000000000005</v>
          </cell>
          <cell r="FZ458">
            <v>0.26714285714285718</v>
          </cell>
          <cell r="GA458">
            <v>0.32428571428571434</v>
          </cell>
          <cell r="GB458">
            <v>0.38142857142857145</v>
          </cell>
          <cell r="GC458">
            <v>0.43857142857142861</v>
          </cell>
          <cell r="GD458">
            <v>0.49571428571428572</v>
          </cell>
          <cell r="GE458">
            <v>0.55285714285714294</v>
          </cell>
          <cell r="GG458" t="str">
            <v>EBITDA Margin</v>
          </cell>
          <cell r="GH458">
            <v>0.2</v>
          </cell>
          <cell r="GI458">
            <v>0.13499999999999998</v>
          </cell>
          <cell r="GJ458">
            <v>0.26999999999999996</v>
          </cell>
          <cell r="GK458">
            <v>0.40499999999999997</v>
          </cell>
          <cell r="GL458">
            <v>0.53999999999999992</v>
          </cell>
          <cell r="GM458">
            <v>0.67499999999999982</v>
          </cell>
          <cell r="GN458">
            <v>0.80999999999999983</v>
          </cell>
          <cell r="GO458">
            <v>0.94499999999999984</v>
          </cell>
        </row>
        <row r="459">
          <cell r="FX459">
            <v>0.1</v>
          </cell>
          <cell r="FY459">
            <v>0.19142857142857145</v>
          </cell>
          <cell r="FZ459">
            <v>0.24857142857142861</v>
          </cell>
          <cell r="GA459">
            <v>0.30571428571428566</v>
          </cell>
          <cell r="GB459">
            <v>0.36285714285714288</v>
          </cell>
          <cell r="GC459">
            <v>0.42</v>
          </cell>
          <cell r="GD459">
            <v>0.4771428571428572</v>
          </cell>
          <cell r="GE459">
            <v>0.53428571428571425</v>
          </cell>
          <cell r="GH459">
            <v>0.25</v>
          </cell>
          <cell r="GI459">
            <v>0.10999999999999999</v>
          </cell>
          <cell r="GJ459">
            <v>0.21999999999999997</v>
          </cell>
          <cell r="GK459">
            <v>0.33</v>
          </cell>
          <cell r="GL459">
            <v>0.43999999999999995</v>
          </cell>
          <cell r="GM459">
            <v>0.54999999999999993</v>
          </cell>
          <cell r="GN459">
            <v>0.65999999999999992</v>
          </cell>
          <cell r="GO459">
            <v>0.76999999999999991</v>
          </cell>
        </row>
        <row r="460">
          <cell r="FX460">
            <v>0.15000000000000002</v>
          </cell>
          <cell r="FY460">
            <v>0.17285714285714288</v>
          </cell>
          <cell r="FZ460">
            <v>0.23</v>
          </cell>
          <cell r="GA460">
            <v>0.28714285714285714</v>
          </cell>
          <cell r="GB460">
            <v>0.34428571428571431</v>
          </cell>
          <cell r="GC460">
            <v>0.40142857142857141</v>
          </cell>
          <cell r="GD460">
            <v>0.45857142857142852</v>
          </cell>
          <cell r="GE460">
            <v>0.51571428571428568</v>
          </cell>
          <cell r="GH460">
            <v>0.3</v>
          </cell>
          <cell r="GI460">
            <v>9.3333333333333324E-2</v>
          </cell>
          <cell r="GJ460">
            <v>0.18666666666666665</v>
          </cell>
          <cell r="GK460">
            <v>0.28000000000000003</v>
          </cell>
          <cell r="GL460">
            <v>0.37333333333333329</v>
          </cell>
          <cell r="GM460">
            <v>0.46666666666666662</v>
          </cell>
          <cell r="GN460">
            <v>0.55999999999999994</v>
          </cell>
          <cell r="GO460">
            <v>0.65333333333333332</v>
          </cell>
        </row>
        <row r="461">
          <cell r="FX461">
            <v>0.2</v>
          </cell>
          <cell r="FY461">
            <v>0.1542857142857143</v>
          </cell>
          <cell r="FZ461">
            <v>0.21142857142857144</v>
          </cell>
          <cell r="GA461">
            <v>0.26857142857142857</v>
          </cell>
          <cell r="GB461">
            <v>0.32571428571428573</v>
          </cell>
          <cell r="GC461">
            <v>0.38285714285714284</v>
          </cell>
          <cell r="GD461">
            <v>0.44</v>
          </cell>
          <cell r="GE461">
            <v>0.49714285714285716</v>
          </cell>
          <cell r="GH461">
            <v>0.35</v>
          </cell>
          <cell r="GI461">
            <v>8.1428571428571433E-2</v>
          </cell>
          <cell r="GJ461">
            <v>0.16285714285714287</v>
          </cell>
          <cell r="GK461">
            <v>0.24428571428571433</v>
          </cell>
          <cell r="GL461">
            <v>0.32571428571428573</v>
          </cell>
          <cell r="GM461">
            <v>0.40714285714285714</v>
          </cell>
          <cell r="GN461">
            <v>0.48857142857142855</v>
          </cell>
          <cell r="GO461">
            <v>0.56999999999999995</v>
          </cell>
        </row>
        <row r="462">
          <cell r="FX462">
            <v>0.25</v>
          </cell>
          <cell r="FY462">
            <v>0.13571428571428573</v>
          </cell>
          <cell r="FZ462">
            <v>0.19285714285714289</v>
          </cell>
          <cell r="GA462">
            <v>0.25000000000000006</v>
          </cell>
          <cell r="GB462">
            <v>0.30714285714285716</v>
          </cell>
          <cell r="GC462">
            <v>0.36428571428571432</v>
          </cell>
          <cell r="GD462">
            <v>0.42142857142857143</v>
          </cell>
          <cell r="GE462">
            <v>0.47857142857142854</v>
          </cell>
          <cell r="GH462">
            <v>0.39999999999999997</v>
          </cell>
          <cell r="GI462">
            <v>7.2499999999999995E-2</v>
          </cell>
          <cell r="GJ462">
            <v>0.14499999999999999</v>
          </cell>
          <cell r="GK462">
            <v>0.21750000000000003</v>
          </cell>
          <cell r="GL462">
            <v>0.28999999999999998</v>
          </cell>
          <cell r="GM462">
            <v>0.36249999999999999</v>
          </cell>
          <cell r="GN462">
            <v>0.435</v>
          </cell>
          <cell r="GO462">
            <v>0.50750000000000006</v>
          </cell>
        </row>
        <row r="463">
          <cell r="FX463">
            <v>0.3</v>
          </cell>
          <cell r="FY463">
            <v>0.11714285714285717</v>
          </cell>
          <cell r="FZ463">
            <v>0.17428571428571429</v>
          </cell>
          <cell r="GA463">
            <v>0.23142857142857146</v>
          </cell>
          <cell r="GB463">
            <v>0.28857142857142853</v>
          </cell>
          <cell r="GC463">
            <v>0.34571428571428575</v>
          </cell>
          <cell r="GD463">
            <v>0.40285714285714286</v>
          </cell>
          <cell r="GE463">
            <v>0.46</v>
          </cell>
          <cell r="GH463">
            <v>0.44999999999999996</v>
          </cell>
          <cell r="GI463">
            <v>6.5555555555555561E-2</v>
          </cell>
          <cell r="GJ463">
            <v>0.13111111111111112</v>
          </cell>
          <cell r="GK463">
            <v>0.19666666666666671</v>
          </cell>
          <cell r="GL463">
            <v>0.26222222222222225</v>
          </cell>
          <cell r="GM463">
            <v>0.32777777777777778</v>
          </cell>
          <cell r="GN463">
            <v>0.39333333333333337</v>
          </cell>
          <cell r="GO463">
            <v>0.4588888888888889</v>
          </cell>
        </row>
        <row r="464">
          <cell r="FX464">
            <v>0.35</v>
          </cell>
          <cell r="FY464">
            <v>9.8571428571428601E-2</v>
          </cell>
          <cell r="FZ464">
            <v>0.15571428571428575</v>
          </cell>
          <cell r="GA464">
            <v>0.21285714285714286</v>
          </cell>
          <cell r="GB464">
            <v>0.27</v>
          </cell>
          <cell r="GC464">
            <v>0.32714285714285718</v>
          </cell>
          <cell r="GD464">
            <v>0.38428571428571423</v>
          </cell>
          <cell r="GE464">
            <v>0.44142857142857145</v>
          </cell>
          <cell r="GH464">
            <v>0.49999999999999994</v>
          </cell>
          <cell r="GI464">
            <v>6.0000000000000005E-2</v>
          </cell>
          <cell r="GJ464">
            <v>0.12000000000000001</v>
          </cell>
          <cell r="GK464">
            <v>0.18000000000000005</v>
          </cell>
          <cell r="GL464">
            <v>0.24000000000000002</v>
          </cell>
          <cell r="GM464">
            <v>0.30000000000000004</v>
          </cell>
          <cell r="GN464">
            <v>0.36000000000000004</v>
          </cell>
          <cell r="GO464">
            <v>0.42000000000000004</v>
          </cell>
        </row>
        <row r="465">
          <cell r="GP465" t="str">
            <v>Cost of Macau Visit</v>
          </cell>
        </row>
        <row r="466">
          <cell r="GQ466" t="str">
            <v>From Guangzhou</v>
          </cell>
          <cell r="GR466" t="str">
            <v>From Beijing</v>
          </cell>
        </row>
        <row r="468">
          <cell r="GP468" t="str">
            <v>Bus Ticket</v>
          </cell>
          <cell r="GQ468" t="str">
            <v>$5-$10</v>
          </cell>
          <cell r="GR468" t="str">
            <v>CNY$4730</v>
          </cell>
        </row>
        <row r="469">
          <cell r="GR469">
            <v>591.25</v>
          </cell>
        </row>
        <row r="470">
          <cell r="GP470" t="str">
            <v>Hotel</v>
          </cell>
          <cell r="GS470" t="str">
            <v>Macau quarterly revenue breakdown</v>
          </cell>
        </row>
        <row r="471">
          <cell r="GS471" t="str">
            <v>($mm)</v>
          </cell>
          <cell r="GT471">
            <v>2003</v>
          </cell>
          <cell r="GU471">
            <v>2004</v>
          </cell>
          <cell r="GV471" t="str">
            <v>1Q05</v>
          </cell>
          <cell r="GW471" t="str">
            <v>2Q05</v>
          </cell>
          <cell r="GX471" t="str">
            <v>3Q05</v>
          </cell>
        </row>
        <row r="473">
          <cell r="GS473" t="str">
            <v>VIP Table Revenues</v>
          </cell>
          <cell r="GT473">
            <v>2688.8498544599533</v>
          </cell>
          <cell r="GU473">
            <v>3607.0036807892443</v>
          </cell>
          <cell r="GV473">
            <v>871.38028739791866</v>
          </cell>
          <cell r="GW473">
            <v>926.51373647604282</v>
          </cell>
          <cell r="GX473">
            <v>873.66750231017863</v>
          </cell>
        </row>
        <row r="474">
          <cell r="GS474" t="str">
            <v xml:space="preserve">  % Share</v>
          </cell>
          <cell r="GT474">
            <v>0.77330928187941317</v>
          </cell>
          <cell r="GU474">
            <v>0.719518947138583</v>
          </cell>
          <cell r="GV474">
            <v>0.66021107044983496</v>
          </cell>
          <cell r="GW474">
            <v>0.65546324614351004</v>
          </cell>
          <cell r="GX474">
            <v>0.61355943536736657</v>
          </cell>
        </row>
        <row r="476">
          <cell r="GS476" t="str">
            <v>Mass Market Table Revenues</v>
          </cell>
          <cell r="GT476">
            <v>759.50589422411349</v>
          </cell>
          <cell r="GU476">
            <v>1328.4804978068</v>
          </cell>
          <cell r="GV476">
            <v>418.10835301082398</v>
          </cell>
          <cell r="GW476">
            <v>450.22017054270304</v>
          </cell>
          <cell r="GX476">
            <v>509.53095927530671</v>
          </cell>
        </row>
        <row r="477">
          <cell r="GS477" t="str">
            <v xml:space="preserve">  % Share</v>
          </cell>
          <cell r="GT477">
            <v>0.21843278332236762</v>
          </cell>
          <cell r="GU477">
            <v>0.26500302568777451</v>
          </cell>
          <cell r="GV477">
            <v>0.31678449386271129</v>
          </cell>
          <cell r="GW477">
            <v>0.3185087957633701</v>
          </cell>
          <cell r="GX477">
            <v>0.35783353146190106</v>
          </cell>
        </row>
        <row r="479">
          <cell r="GS479" t="str">
            <v>Slot Revenues</v>
          </cell>
          <cell r="GT479">
            <v>28.71341040465337</v>
          </cell>
          <cell r="GU479">
            <v>77.592537637416328</v>
          </cell>
          <cell r="GV479">
            <v>30.362429044248191</v>
          </cell>
          <cell r="GW479">
            <v>36.791171507453747</v>
          </cell>
          <cell r="GX479">
            <v>40.734497390320115</v>
          </cell>
        </row>
        <row r="480">
          <cell r="GS480" t="str">
            <v xml:space="preserve">  % Share</v>
          </cell>
          <cell r="GT480">
            <v>8.2579347982191572E-3</v>
          </cell>
          <cell r="GU480">
            <v>1.5478027173642562E-2</v>
          </cell>
          <cell r="GV480">
            <v>2.3004435687453605E-2</v>
          </cell>
          <cell r="GW480">
            <v>2.6027958093119762E-2</v>
          </cell>
          <cell r="GX480">
            <v>2.8607033170732481E-2</v>
          </cell>
        </row>
        <row r="482">
          <cell r="GY482" t="str">
            <v>Sands growth contribution</v>
          </cell>
        </row>
        <row r="483">
          <cell r="GY483" t="str">
            <v>($mm)</v>
          </cell>
          <cell r="GZ483" t="str">
            <v>1Q03</v>
          </cell>
          <cell r="HA483" t="str">
            <v>2Q03</v>
          </cell>
          <cell r="HB483" t="str">
            <v>3Q03</v>
          </cell>
          <cell r="HC483" t="str">
            <v>4Q03</v>
          </cell>
          <cell r="HD483">
            <v>2003</v>
          </cell>
          <cell r="HE483" t="str">
            <v>1Q04</v>
          </cell>
          <cell r="HF483" t="str">
            <v>2Q04</v>
          </cell>
          <cell r="HG483" t="str">
            <v>3Q04</v>
          </cell>
          <cell r="HH483" t="str">
            <v>4Q04</v>
          </cell>
          <cell r="HI483">
            <v>2004</v>
          </cell>
          <cell r="HJ483" t="str">
            <v>1Q05</v>
          </cell>
          <cell r="HK483" t="str">
            <v>2Q05</v>
          </cell>
          <cell r="HL483" t="str">
            <v>3Q05</v>
          </cell>
        </row>
        <row r="485">
          <cell r="GY485" t="str">
            <v>Sand Macau Mass Market Revenues</v>
          </cell>
          <cell r="GZ485" t="str">
            <v>N.M.</v>
          </cell>
          <cell r="HA485" t="str">
            <v>N.M.</v>
          </cell>
          <cell r="HB485" t="str">
            <v>N.M.</v>
          </cell>
          <cell r="HC485" t="str">
            <v>N.M.</v>
          </cell>
          <cell r="HD485" t="str">
            <v>N.M.</v>
          </cell>
          <cell r="HE485" t="str">
            <v>N.M.</v>
          </cell>
          <cell r="HF485">
            <v>57.6</v>
          </cell>
          <cell r="HG485">
            <v>161.45427947878929</v>
          </cell>
          <cell r="HH485">
            <v>159.43351093841301</v>
          </cell>
          <cell r="HI485">
            <v>378.48779041720229</v>
          </cell>
          <cell r="HJ485">
            <v>159.43683999999999</v>
          </cell>
          <cell r="HK485">
            <v>168.69997400000003</v>
          </cell>
          <cell r="HL485">
            <v>187.61291200000002</v>
          </cell>
        </row>
        <row r="486">
          <cell r="GY486" t="str">
            <v xml:space="preserve">  % Share</v>
          </cell>
          <cell r="GZ486" t="str">
            <v>N.M.</v>
          </cell>
          <cell r="HA486" t="str">
            <v>N.M.</v>
          </cell>
          <cell r="HB486" t="str">
            <v>N.M.</v>
          </cell>
          <cell r="HC486" t="str">
            <v>N.M.</v>
          </cell>
          <cell r="HD486" t="str">
            <v>N.M.</v>
          </cell>
          <cell r="HE486" t="str">
            <v>N.M.</v>
          </cell>
          <cell r="HF486">
            <v>0.1707328432166498</v>
          </cell>
          <cell r="HG486">
            <v>0.40015800358857484</v>
          </cell>
          <cell r="HH486">
            <v>0.41545205130517049</v>
          </cell>
          <cell r="HI486">
            <v>0.26927958637775812</v>
          </cell>
          <cell r="HJ486">
            <v>0.35551221256688498</v>
          </cell>
          <cell r="HK486">
            <v>0.34639844996181995</v>
          </cell>
          <cell r="HL486">
            <v>0.34094982653800221</v>
          </cell>
        </row>
        <row r="487">
          <cell r="GY487" t="str">
            <v xml:space="preserve">  % Growth</v>
          </cell>
          <cell r="GZ487" t="str">
            <v>N.M.</v>
          </cell>
          <cell r="HA487" t="str">
            <v>N.M.</v>
          </cell>
          <cell r="HB487" t="str">
            <v>N.M.</v>
          </cell>
          <cell r="HC487" t="str">
            <v>N.M.</v>
          </cell>
          <cell r="HD487" t="str">
            <v>N.M.</v>
          </cell>
          <cell r="HE487" t="str">
            <v>N.M.</v>
          </cell>
          <cell r="HF487" t="str">
            <v>N.M.</v>
          </cell>
          <cell r="HG487" t="str">
            <v>N.M.</v>
          </cell>
          <cell r="HH487" t="str">
            <v>N.M.</v>
          </cell>
          <cell r="HI487" t="str">
            <v>N.M.</v>
          </cell>
          <cell r="HJ487" t="str">
            <v>N.M.</v>
          </cell>
          <cell r="HK487">
            <v>1.9288189930555562</v>
          </cell>
          <cell r="HL487">
            <v>0.16201882418760705</v>
          </cell>
        </row>
        <row r="488">
          <cell r="GY488" t="str">
            <v xml:space="preserve">  Contribution to growth</v>
          </cell>
          <cell r="HK488">
            <v>0.32931275073465061</v>
          </cell>
          <cell r="HL488">
            <v>6.483312923068113E-2</v>
          </cell>
        </row>
        <row r="490">
          <cell r="GY490" t="str">
            <v>Mass Market Revenues</v>
          </cell>
          <cell r="GZ490">
            <v>189.65527202686269</v>
          </cell>
          <cell r="HA490">
            <v>147.12338809600604</v>
          </cell>
          <cell r="HB490">
            <v>215.50208627736168</v>
          </cell>
          <cell r="HC490">
            <v>236.94139182134211</v>
          </cell>
          <cell r="HD490">
            <v>789.22213822157244</v>
          </cell>
          <cell r="HE490">
            <v>280.95231671690618</v>
          </cell>
          <cell r="HF490">
            <v>337.36918401170789</v>
          </cell>
          <cell r="HG490">
            <v>403.47632193004841</v>
          </cell>
          <cell r="HH490">
            <v>383.7591135668772</v>
          </cell>
          <cell r="HI490">
            <v>1405.5569362255396</v>
          </cell>
          <cell r="HJ490">
            <v>448.47078205507222</v>
          </cell>
          <cell r="HK490">
            <v>487.01134205015683</v>
          </cell>
          <cell r="HL490">
            <v>550.26545666562674</v>
          </cell>
        </row>
        <row r="491">
          <cell r="GY491" t="str">
            <v xml:space="preserve">  % Growth</v>
          </cell>
          <cell r="GZ491">
            <v>0.17961350655231589</v>
          </cell>
          <cell r="HA491">
            <v>-0.16653363672271004</v>
          </cell>
          <cell r="HB491">
            <v>0.22419881485991899</v>
          </cell>
          <cell r="HC491">
            <v>0.20072561908201503</v>
          </cell>
          <cell r="HD491">
            <v>0.11054127036749239</v>
          </cell>
          <cell r="HE491">
            <v>0.4813841646179613</v>
          </cell>
          <cell r="HF491">
            <v>1.2931036892078374</v>
          </cell>
          <cell r="HG491">
            <v>0.87226179059238773</v>
          </cell>
          <cell r="HH491">
            <v>0.61963728927632111</v>
          </cell>
          <cell r="HI491">
            <v>0.78093957094616173</v>
          </cell>
          <cell r="HJ491">
            <v>0.59625230108695404</v>
          </cell>
          <cell r="HK491">
            <v>0.44355609560728526</v>
          </cell>
          <cell r="HL491">
            <v>0.36381102621686812</v>
          </cell>
        </row>
        <row r="493">
          <cell r="GY493" t="str">
            <v>Mass Market Revenues, ex Sands</v>
          </cell>
          <cell r="GZ493">
            <v>189.65527202686269</v>
          </cell>
          <cell r="HA493">
            <v>147.12338809600604</v>
          </cell>
          <cell r="HB493">
            <v>215.50208627736168</v>
          </cell>
          <cell r="HC493">
            <v>236.94139182134211</v>
          </cell>
          <cell r="HD493">
            <v>789.22213822157244</v>
          </cell>
          <cell r="HE493">
            <v>280.95231671690618</v>
          </cell>
          <cell r="HF493">
            <v>279.76918401170786</v>
          </cell>
          <cell r="HG493">
            <v>242.02204245125913</v>
          </cell>
          <cell r="HH493">
            <v>224.3256026284642</v>
          </cell>
          <cell r="HI493">
            <v>1027.0691458083375</v>
          </cell>
          <cell r="HJ493">
            <v>289.0339420550722</v>
          </cell>
          <cell r="HK493">
            <v>318.31136805015683</v>
          </cell>
          <cell r="HL493">
            <v>362.65254466562669</v>
          </cell>
        </row>
        <row r="494">
          <cell r="GY494" t="str">
            <v xml:space="preserve">  % Growth</v>
          </cell>
          <cell r="GZ494">
            <v>0.17961350655231589</v>
          </cell>
          <cell r="HA494">
            <v>-0.16653363672271004</v>
          </cell>
          <cell r="HB494">
            <v>0.22419881485991899</v>
          </cell>
          <cell r="HC494">
            <v>0.20072561908201503</v>
          </cell>
          <cell r="HD494">
            <v>0.11054127036749239</v>
          </cell>
          <cell r="HE494">
            <v>0.4813841646179613</v>
          </cell>
          <cell r="HF494">
            <v>0.90159557655879441</v>
          </cell>
          <cell r="HG494">
            <v>0.12306125027376758</v>
          </cell>
          <cell r="HH494">
            <v>-5.3244344923872311E-2</v>
          </cell>
          <cell r="HI494">
            <v>0.30136889991799753</v>
          </cell>
          <cell r="HJ494">
            <v>2.8765113712549528E-2</v>
          </cell>
          <cell r="HK494">
            <v>0.13776422222697704</v>
          </cell>
          <cell r="HL494">
            <v>0.49842775059904465</v>
          </cell>
        </row>
        <row r="496">
          <cell r="HM496" t="str">
            <v>Asian Convention Market</v>
          </cell>
        </row>
        <row r="497">
          <cell r="HM497" t="str">
            <v>Country</v>
          </cell>
          <cell r="HN497" t="str">
            <v>Facilities</v>
          </cell>
          <cell r="HO497" t="str">
            <v>Sq. Meters (000s)</v>
          </cell>
          <cell r="HP497" t="str">
            <v>Sq. Feet (000s)</v>
          </cell>
          <cell r="HQ497" t="str">
            <v>Share</v>
          </cell>
        </row>
        <row r="498">
          <cell r="HM498" t="str">
            <v>China</v>
          </cell>
          <cell r="HN498">
            <v>19</v>
          </cell>
          <cell r="HO498">
            <v>1554.652</v>
          </cell>
          <cell r="HP498">
            <v>16734.13485715857</v>
          </cell>
          <cell r="HQ498">
            <v>0.57960033111319331</v>
          </cell>
        </row>
        <row r="499">
          <cell r="HM499" t="str">
            <v>Thailand</v>
          </cell>
          <cell r="HN499">
            <v>4</v>
          </cell>
          <cell r="HO499">
            <v>298.45499999999998</v>
          </cell>
          <cell r="HP499">
            <v>3212.5428834190934</v>
          </cell>
          <cell r="HQ499">
            <v>0.11126902793833481</v>
          </cell>
        </row>
        <row r="500">
          <cell r="HM500" t="str">
            <v>Korea</v>
          </cell>
          <cell r="HN500">
            <v>9</v>
          </cell>
          <cell r="HO500">
            <v>275.38099999999997</v>
          </cell>
          <cell r="HP500">
            <v>2964.1764144639337</v>
          </cell>
          <cell r="HQ500">
            <v>0.10266665387641881</v>
          </cell>
        </row>
        <row r="501">
          <cell r="HM501" t="str">
            <v>Macau</v>
          </cell>
          <cell r="HN501">
            <v>2</v>
          </cell>
          <cell r="HP501">
            <v>1852.0039999999999</v>
          </cell>
          <cell r="HQ501">
            <v>6.4145660399274676E-2</v>
          </cell>
        </row>
        <row r="502">
          <cell r="HM502" t="str">
            <v>Singapore</v>
          </cell>
          <cell r="HN502">
            <v>3</v>
          </cell>
          <cell r="HO502">
            <v>138.83099999999999</v>
          </cell>
          <cell r="HP502">
            <v>1494.3644470622244</v>
          </cell>
          <cell r="HQ502">
            <v>5.1758524459992163E-2</v>
          </cell>
        </row>
        <row r="503">
          <cell r="HM503" t="str">
            <v>Malaysia</v>
          </cell>
          <cell r="HN503">
            <v>4</v>
          </cell>
          <cell r="HO503">
            <v>83.397000000000006</v>
          </cell>
          <cell r="HP503">
            <v>897.67783702233896</v>
          </cell>
          <cell r="HQ503">
            <v>3.1091799845783481E-2</v>
          </cell>
        </row>
        <row r="504">
          <cell r="HM504" t="str">
            <v>Taiwan</v>
          </cell>
          <cell r="HN504">
            <v>3</v>
          </cell>
          <cell r="HO504">
            <v>70.239999999999995</v>
          </cell>
          <cell r="HP504">
            <v>756.05706766968933</v>
          </cell>
          <cell r="HQ504">
            <v>2.6186649653678569E-2</v>
          </cell>
        </row>
        <row r="505">
          <cell r="HM505" t="str">
            <v>Indonesia</v>
          </cell>
          <cell r="HN505">
            <v>2</v>
          </cell>
          <cell r="HO505">
            <v>62.683999999999997</v>
          </cell>
          <cell r="HP505">
            <v>674.7249605610308</v>
          </cell>
          <cell r="HQ505">
            <v>2.3369646168724192E-2</v>
          </cell>
        </row>
        <row r="506">
          <cell r="HM506" t="str">
            <v>Philippines</v>
          </cell>
          <cell r="HN506">
            <v>2</v>
          </cell>
          <cell r="HO506">
            <v>18.452000000000002</v>
          </cell>
          <cell r="HP506">
            <v>198.61567500912741</v>
          </cell>
          <cell r="HQ506">
            <v>6.8792149688165858E-3</v>
          </cell>
        </row>
        <row r="507">
          <cell r="HM507" t="str">
            <v>Vietnam</v>
          </cell>
          <cell r="HN507">
            <v>1</v>
          </cell>
          <cell r="HO507">
            <v>8.1340000000000003</v>
          </cell>
          <cell r="HP507">
            <v>87.553647329516707</v>
          </cell>
          <cell r="HQ507">
            <v>3.0324915757833355E-3</v>
          </cell>
        </row>
        <row r="508">
          <cell r="HN508" t="str">
            <v>______</v>
          </cell>
          <cell r="HO508" t="str">
            <v>______</v>
          </cell>
          <cell r="HP508" t="str">
            <v>______</v>
          </cell>
          <cell r="HQ508" t="str">
            <v>______</v>
          </cell>
        </row>
        <row r="509">
          <cell r="HM509" t="str">
            <v>Total</v>
          </cell>
          <cell r="HN509">
            <v>49</v>
          </cell>
          <cell r="HO509">
            <v>2510.2260000000001</v>
          </cell>
          <cell r="HP509">
            <v>28871.851789695527</v>
          </cell>
          <cell r="HQ509">
            <v>1</v>
          </cell>
        </row>
        <row r="510">
          <cell r="HM510" t="str">
            <v>Australia</v>
          </cell>
          <cell r="HN510">
            <v>17</v>
          </cell>
          <cell r="HO510">
            <v>299.928</v>
          </cell>
          <cell r="HP510">
            <v>3228.3981234629073</v>
          </cell>
          <cell r="HQ510">
            <v>0.11181818703485914</v>
          </cell>
        </row>
        <row r="511">
          <cell r="HM511" t="str">
            <v>New Zealand</v>
          </cell>
          <cell r="HN511">
            <v>4</v>
          </cell>
          <cell r="HO511">
            <v>41.606999999999999</v>
          </cell>
          <cell r="HP511">
            <v>447.85402070804048</v>
          </cell>
          <cell r="HQ511">
            <v>1.5511787188789922E-2</v>
          </cell>
        </row>
        <row r="513">
          <cell r="HM513" t="str">
            <v>conversion</v>
          </cell>
          <cell r="HO513">
            <v>10.763910416709701</v>
          </cell>
        </row>
        <row r="514">
          <cell r="HR514" t="str">
            <v>Actuals versus Estimates</v>
          </cell>
        </row>
        <row r="515">
          <cell r="HS515" t="str">
            <v>2Q05</v>
          </cell>
          <cell r="HU515" t="str">
            <v>3Q05</v>
          </cell>
          <cell r="HW515" t="str">
            <v>4Q05</v>
          </cell>
          <cell r="HY515" t="str">
            <v>1Q06</v>
          </cell>
          <cell r="IA515" t="str">
            <v>2Q06</v>
          </cell>
          <cell r="IC515" t="str">
            <v>3Q06</v>
          </cell>
        </row>
        <row r="516">
          <cell r="HR516" t="str">
            <v>US$mm</v>
          </cell>
          <cell r="HS516" t="str">
            <v>Rev.</v>
          </cell>
          <cell r="HT516" t="str">
            <v>Growth</v>
          </cell>
          <cell r="HU516" t="str">
            <v>Rev.</v>
          </cell>
          <cell r="HV516" t="str">
            <v>Growth</v>
          </cell>
          <cell r="HW516" t="str">
            <v>Rev.</v>
          </cell>
          <cell r="HX516" t="str">
            <v>Growth</v>
          </cell>
          <cell r="HY516" t="str">
            <v>Rev.</v>
          </cell>
          <cell r="HZ516" t="str">
            <v>Growth</v>
          </cell>
          <cell r="IA516" t="str">
            <v>Rev.</v>
          </cell>
          <cell r="IB516" t="str">
            <v>Growth</v>
          </cell>
          <cell r="IC516" t="str">
            <v>Rev.</v>
          </cell>
          <cell r="ID516" t="str">
            <v>Growth</v>
          </cell>
        </row>
        <row r="518">
          <cell r="HR518" t="str">
            <v>Mass, Est.</v>
          </cell>
          <cell r="HS518">
            <v>429.0037339906437</v>
          </cell>
          <cell r="HT518">
            <v>0.27161505650663043</v>
          </cell>
          <cell r="HU518">
            <v>487.89444755603216</v>
          </cell>
          <cell r="HV518">
            <v>0.20922696336222546</v>
          </cell>
          <cell r="HW518">
            <v>489.76528729658878</v>
          </cell>
          <cell r="HX518">
            <v>0.27623102613623796</v>
          </cell>
          <cell r="HY518">
            <v>531.40952611841635</v>
          </cell>
          <cell r="HZ518">
            <v>0.18460542010210812</v>
          </cell>
          <cell r="IA518">
            <v>657.4653117677118</v>
          </cell>
          <cell r="IB518">
            <v>0.35</v>
          </cell>
          <cell r="IC518">
            <v>737.18629472862926</v>
          </cell>
          <cell r="ID518">
            <v>0.33969211732036175</v>
          </cell>
        </row>
        <row r="519">
          <cell r="HR519" t="str">
            <v>Mass, Actual.</v>
          </cell>
          <cell r="HS519">
            <v>487.01134205015683</v>
          </cell>
          <cell r="HT519">
            <v>0.44355609560728526</v>
          </cell>
          <cell r="HU519">
            <v>550.26545666562674</v>
          </cell>
          <cell r="HV519">
            <v>0.36381102621686812</v>
          </cell>
          <cell r="HW519">
            <v>599.46850074480096</v>
          </cell>
          <cell r="HX519">
            <v>0.56209580320581076</v>
          </cell>
          <cell r="HY519">
            <v>572.49378186415947</v>
          </cell>
          <cell r="HZ519">
            <v>0.27654644354034463</v>
          </cell>
          <cell r="IA519">
            <v>571.01356755050801</v>
          </cell>
          <cell r="IB519">
            <v>0.17248515228973837</v>
          </cell>
          <cell r="IC519">
            <v>586.73964501081116</v>
          </cell>
          <cell r="ID519">
            <v>6.6284713865562894E-2</v>
          </cell>
        </row>
        <row r="520">
          <cell r="HS520" t="str">
            <v xml:space="preserve">_____ </v>
          </cell>
          <cell r="HT520" t="str">
            <v xml:space="preserve">_____ </v>
          </cell>
          <cell r="HU520" t="str">
            <v xml:space="preserve">_____ </v>
          </cell>
          <cell r="HV520" t="str">
            <v xml:space="preserve">_____ </v>
          </cell>
          <cell r="HW520" t="str">
            <v xml:space="preserve">_____ </v>
          </cell>
          <cell r="HX520" t="str">
            <v xml:space="preserve">_____ </v>
          </cell>
          <cell r="HY520" t="str">
            <v xml:space="preserve">_____ </v>
          </cell>
          <cell r="HZ520" t="str">
            <v xml:space="preserve">_____ </v>
          </cell>
          <cell r="IA520" t="str">
            <v xml:space="preserve">_____ </v>
          </cell>
          <cell r="IB520" t="str">
            <v xml:space="preserve">_____ </v>
          </cell>
          <cell r="IC520" t="str">
            <v xml:space="preserve">_____ </v>
          </cell>
          <cell r="ID520" t="str">
            <v xml:space="preserve">_____ </v>
          </cell>
        </row>
        <row r="521">
          <cell r="HR521" t="str">
            <v xml:space="preserve">  Abs. Diff</v>
          </cell>
          <cell r="HS521">
            <v>58.007608059513132</v>
          </cell>
          <cell r="HT521">
            <v>0.17194103910065484</v>
          </cell>
          <cell r="HU521">
            <v>62.371009109594581</v>
          </cell>
          <cell r="HV521">
            <v>0.15458406285464266</v>
          </cell>
          <cell r="HW521">
            <v>109.70321344821218</v>
          </cell>
          <cell r="HX521">
            <v>0.28586477706957281</v>
          </cell>
          <cell r="HY521">
            <v>41.084255745743121</v>
          </cell>
          <cell r="HZ521">
            <v>9.1941023438236513E-2</v>
          </cell>
          <cell r="IA521">
            <v>-86.451744217203782</v>
          </cell>
          <cell r="IB521">
            <v>-0.1775148477102616</v>
          </cell>
          <cell r="IC521">
            <v>-150.4466497178181</v>
          </cell>
          <cell r="ID521">
            <v>-0.27340740345479886</v>
          </cell>
        </row>
        <row r="522">
          <cell r="HR522" t="str">
            <v xml:space="preserve">  Relative Diff.</v>
          </cell>
          <cell r="HS522">
            <v>0.13521469270190137</v>
          </cell>
          <cell r="HU522">
            <v>0.1278370955480726</v>
          </cell>
          <cell r="HW522">
            <v>0.22399140219543334</v>
          </cell>
          <cell r="HY522">
            <v>7.7311854090828122E-2</v>
          </cell>
          <cell r="IA522">
            <v>-0.13149247978537906</v>
          </cell>
          <cell r="IC522">
            <v>-0.20408226630583259</v>
          </cell>
        </row>
        <row r="524">
          <cell r="HR524" t="str">
            <v>VIP, Est.</v>
          </cell>
          <cell r="HS524">
            <v>927.07869405345832</v>
          </cell>
          <cell r="HT524">
            <v>0.12</v>
          </cell>
          <cell r="HU524">
            <v>1068.8126920716857</v>
          </cell>
          <cell r="HV524">
            <v>0.12</v>
          </cell>
          <cell r="HW524">
            <v>1021.8505219370035</v>
          </cell>
          <cell r="HX524">
            <v>0.05</v>
          </cell>
          <cell r="HY524">
            <v>915.20523592324048</v>
          </cell>
          <cell r="HZ524">
            <v>0.05</v>
          </cell>
          <cell r="IA524">
            <v>972.83942329984495</v>
          </cell>
          <cell r="IB524">
            <v>0.05</v>
          </cell>
          <cell r="IC524">
            <v>891.01026264514792</v>
          </cell>
          <cell r="ID524">
            <v>1.9850526990086159E-2</v>
          </cell>
        </row>
        <row r="525">
          <cell r="HR525" t="str">
            <v>VIP, Actual.</v>
          </cell>
          <cell r="HS525">
            <v>926.51373647604282</v>
          </cell>
          <cell r="HT525">
            <v>0.11931747704831985</v>
          </cell>
          <cell r="HU525">
            <v>873.66750231017863</v>
          </cell>
          <cell r="HV525">
            <v>-8.4491033980188424E-2</v>
          </cell>
          <cell r="HW525">
            <v>826.27410821960814</v>
          </cell>
          <cell r="HX525">
            <v>-0.15096406469900991</v>
          </cell>
          <cell r="HY525">
            <v>973.27110396866146</v>
          </cell>
          <cell r="HZ525">
            <v>0.11693036673460355</v>
          </cell>
          <cell r="IA525">
            <v>1013.2898875543249</v>
          </cell>
          <cell r="IB525">
            <v>9.3658785252695331E-2</v>
          </cell>
          <cell r="IC525">
            <v>1104.6934295107803</v>
          </cell>
          <cell r="ID525">
            <v>0.2644323230401906</v>
          </cell>
        </row>
        <row r="526">
          <cell r="HS526" t="str">
            <v xml:space="preserve">_____ </v>
          </cell>
          <cell r="HT526" t="str">
            <v xml:space="preserve">_____ </v>
          </cell>
          <cell r="HU526" t="str">
            <v xml:space="preserve">_____ </v>
          </cell>
          <cell r="HV526" t="str">
            <v xml:space="preserve">_____ </v>
          </cell>
          <cell r="HW526" t="str">
            <v xml:space="preserve">_____ </v>
          </cell>
          <cell r="HX526" t="str">
            <v xml:space="preserve">_____ </v>
          </cell>
          <cell r="HY526" t="str">
            <v xml:space="preserve">_____ </v>
          </cell>
          <cell r="HZ526" t="str">
            <v xml:space="preserve">_____ </v>
          </cell>
          <cell r="IA526" t="str">
            <v xml:space="preserve">_____ </v>
          </cell>
          <cell r="IB526" t="str">
            <v xml:space="preserve">_____ </v>
          </cell>
          <cell r="IC526" t="str">
            <v xml:space="preserve">_____ </v>
          </cell>
          <cell r="ID526" t="str">
            <v xml:space="preserve">_____ </v>
          </cell>
        </row>
        <row r="527">
          <cell r="HR527" t="str">
            <v xml:space="preserve">  Abs. Diff</v>
          </cell>
          <cell r="HS527">
            <v>-0.56495757741549824</v>
          </cell>
          <cell r="HT527">
            <v>-6.8252295168014232E-4</v>
          </cell>
          <cell r="HU527">
            <v>-195.14518976150703</v>
          </cell>
          <cell r="HV527">
            <v>-0.20449103398018842</v>
          </cell>
          <cell r="HW527">
            <v>-195.57641371739533</v>
          </cell>
          <cell r="HX527">
            <v>-0.2009640646990099</v>
          </cell>
          <cell r="HY527">
            <v>58.065868045420984</v>
          </cell>
          <cell r="HZ527">
            <v>6.693036673460355E-2</v>
          </cell>
          <cell r="IA527">
            <v>40.450464254479925</v>
          </cell>
          <cell r="IB527">
            <v>4.3658785252695329E-2</v>
          </cell>
          <cell r="IC527">
            <v>213.68316686563242</v>
          </cell>
          <cell r="ID527">
            <v>0.24458179605010444</v>
          </cell>
        </row>
        <row r="528">
          <cell r="HR528" t="str">
            <v xml:space="preserve">  Relative Diff.</v>
          </cell>
          <cell r="HS528">
            <v>-6.0939549257176754E-4</v>
          </cell>
          <cell r="HU528">
            <v>-0.18258128033945406</v>
          </cell>
          <cell r="HW528">
            <v>-0.19139434733239047</v>
          </cell>
          <cell r="HY528">
            <v>6.3445734100117238E-2</v>
          </cell>
          <cell r="IA528">
            <v>4.1579795478757481E-2</v>
          </cell>
          <cell r="IC528">
            <v>0.23982121847987453</v>
          </cell>
        </row>
        <row r="530">
          <cell r="HS530">
            <v>411.95813247164057</v>
          </cell>
          <cell r="HU530">
            <v>483.33945536276292</v>
          </cell>
          <cell r="HW530">
            <v>510.48493974671209</v>
          </cell>
        </row>
        <row r="531">
          <cell r="HS531">
            <v>942.09145952717051</v>
          </cell>
          <cell r="HU531">
            <v>1072.9080726047741</v>
          </cell>
          <cell r="HW531">
            <v>1004.8567349453626</v>
          </cell>
        </row>
        <row r="533">
          <cell r="IE533" t="str">
            <v>Airport Usage</v>
          </cell>
        </row>
        <row r="534">
          <cell r="IF534" t="str">
            <v>Passengers</v>
          </cell>
          <cell r="IG534" t="str">
            <v>Share of Total</v>
          </cell>
          <cell r="IH534" t="str">
            <v>Share of Capacity</v>
          </cell>
        </row>
        <row r="535">
          <cell r="IE535" t="str">
            <v>Visitors</v>
          </cell>
          <cell r="IF535">
            <v>2059080</v>
          </cell>
          <cell r="IG535">
            <v>0.48440484037845616</v>
          </cell>
          <cell r="IH535">
            <v>0.34317999999999999</v>
          </cell>
        </row>
        <row r="536">
          <cell r="IE536" t="str">
            <v>Transit</v>
          </cell>
          <cell r="IF536">
            <v>1961501.0000000009</v>
          </cell>
          <cell r="IG536">
            <v>0.46144908347766117</v>
          </cell>
          <cell r="IH536">
            <v>0.32691683333333349</v>
          </cell>
        </row>
        <row r="537">
          <cell r="IE537" t="str">
            <v>Residents</v>
          </cell>
          <cell r="IF537">
            <v>230161</v>
          </cell>
          <cell r="IG537">
            <v>5.4146076143882629E-2</v>
          </cell>
          <cell r="IH537">
            <v>3.8360166666666667E-2</v>
          </cell>
        </row>
        <row r="538">
          <cell r="IF538" t="str">
            <v xml:space="preserve">_____ </v>
          </cell>
          <cell r="IG538" t="str">
            <v xml:space="preserve">_____ </v>
          </cell>
          <cell r="IH538" t="str">
            <v xml:space="preserve">_____ </v>
          </cell>
        </row>
        <row r="539">
          <cell r="IE539" t="str">
            <v>Total</v>
          </cell>
          <cell r="IF539">
            <v>4250742.0000000009</v>
          </cell>
          <cell r="IG539">
            <v>1</v>
          </cell>
          <cell r="IH539">
            <v>0.70845700000000011</v>
          </cell>
        </row>
        <row r="541">
          <cell r="IE541" t="str">
            <v>Capacity</v>
          </cell>
          <cell r="IF541">
            <v>6000000</v>
          </cell>
        </row>
        <row r="542">
          <cell r="IF542">
            <v>3808337.9999999991</v>
          </cell>
          <cell r="IG542">
            <v>5.3350167810084708</v>
          </cell>
        </row>
        <row r="543">
          <cell r="IE543" t="str">
            <v>2006 YTD growth</v>
          </cell>
          <cell r="IF543">
            <v>0.12216927646183851</v>
          </cell>
          <cell r="IG543">
            <v>2.9902390339775282</v>
          </cell>
        </row>
        <row r="544">
          <cell r="IE544" t="str">
            <v>2005 growth</v>
          </cell>
          <cell r="IF544">
            <v>0.14443876961730462</v>
          </cell>
          <cell r="IG544">
            <v>2.5547014793890397</v>
          </cell>
        </row>
        <row r="545">
          <cell r="II545" t="str">
            <v>Gongbei Usage</v>
          </cell>
        </row>
        <row r="546">
          <cell r="IJ546" t="str">
            <v>Passengers</v>
          </cell>
          <cell r="IK546" t="str">
            <v>Share of Total</v>
          </cell>
          <cell r="IL546" t="str">
            <v>Share of Capacity</v>
          </cell>
        </row>
        <row r="547">
          <cell r="II547" t="str">
            <v>Visitors</v>
          </cell>
          <cell r="IJ547">
            <v>20683628</v>
          </cell>
          <cell r="IK547">
            <v>0.29134074764079332</v>
          </cell>
          <cell r="IL547">
            <v>0.18889157990867581</v>
          </cell>
        </row>
        <row r="548">
          <cell r="II548" t="str">
            <v>Residents</v>
          </cell>
          <cell r="IJ548">
            <v>50311000</v>
          </cell>
          <cell r="IK548">
            <v>0.70865925235920668</v>
          </cell>
          <cell r="IL548">
            <v>0.45946118721461188</v>
          </cell>
        </row>
        <row r="549">
          <cell r="IJ549" t="str">
            <v xml:space="preserve">_____ </v>
          </cell>
          <cell r="IK549" t="str">
            <v xml:space="preserve">_____ </v>
          </cell>
          <cell r="IL549" t="str">
            <v xml:space="preserve">_____ </v>
          </cell>
        </row>
        <row r="550">
          <cell r="II550" t="str">
            <v>Total</v>
          </cell>
          <cell r="IJ550">
            <v>70994628</v>
          </cell>
          <cell r="IK550">
            <v>1</v>
          </cell>
          <cell r="IL550">
            <v>0.64835276712328771</v>
          </cell>
        </row>
        <row r="552">
          <cell r="II552" t="str">
            <v>Capacity</v>
          </cell>
          <cell r="IJ552">
            <v>109500000</v>
          </cell>
        </row>
        <row r="553">
          <cell r="IJ553">
            <v>59189000</v>
          </cell>
          <cell r="IK553">
            <v>7.0839051886568658</v>
          </cell>
        </row>
        <row r="554">
          <cell r="II554" t="str">
            <v>2006 YTD growth</v>
          </cell>
          <cell r="IJ554">
            <v>0.25469967959915674</v>
          </cell>
          <cell r="IK554">
            <v>1.909773065603966</v>
          </cell>
        </row>
        <row r="555">
          <cell r="II555" t="str">
            <v>2005 growth</v>
          </cell>
          <cell r="IJ555">
            <v>0.17375041908251521</v>
          </cell>
          <cell r="IK555">
            <v>2.7048016488088877</v>
          </cell>
        </row>
        <row r="556">
          <cell r="IK556" t="e">
            <v>#DIV/0!</v>
          </cell>
        </row>
        <row r="557">
          <cell r="IM557" t="str">
            <v>New Retail Space</v>
          </cell>
        </row>
        <row r="558">
          <cell r="IM558" t="str">
            <v>Property</v>
          </cell>
          <cell r="IN558" t="str">
            <v>Square Feet</v>
          </cell>
          <cell r="IO558" t="str">
            <v>Opening</v>
          </cell>
        </row>
        <row r="560">
          <cell r="IM560" t="str">
            <v>Wynn Macau</v>
          </cell>
          <cell r="IN560">
            <v>26000</v>
          </cell>
          <cell r="IO560" t="str">
            <v>3Q06</v>
          </cell>
        </row>
        <row r="561">
          <cell r="IM561" t="str">
            <v>Crown Macau</v>
          </cell>
          <cell r="IN561">
            <v>312500</v>
          </cell>
          <cell r="IO561" t="str">
            <v>2Q07</v>
          </cell>
        </row>
        <row r="562">
          <cell r="IM562" t="str">
            <v>Venetian Macao</v>
          </cell>
          <cell r="IN562">
            <v>1000000</v>
          </cell>
          <cell r="IO562" t="str">
            <v>3Q07</v>
          </cell>
        </row>
        <row r="563">
          <cell r="IM563" t="str">
            <v>Four Seasons</v>
          </cell>
          <cell r="IN563">
            <v>190000</v>
          </cell>
          <cell r="IO563" t="str">
            <v>1Q08</v>
          </cell>
        </row>
        <row r="564">
          <cell r="IM564" t="str">
            <v>Cotai - Shangri-La</v>
          </cell>
          <cell r="IN564">
            <v>375000</v>
          </cell>
          <cell r="IO564" t="str">
            <v>2Q08</v>
          </cell>
        </row>
        <row r="565">
          <cell r="IM565" t="str">
            <v>Cotai - Starwood</v>
          </cell>
          <cell r="IN565">
            <v>375000</v>
          </cell>
          <cell r="IO565" t="str">
            <v>2Q08</v>
          </cell>
        </row>
        <row r="566">
          <cell r="IM566" t="str">
            <v>Galaxy Cotai Megaresort</v>
          </cell>
          <cell r="IN566">
            <v>187500</v>
          </cell>
          <cell r="IO566" t="str">
            <v>3Q08</v>
          </cell>
        </row>
        <row r="567">
          <cell r="IM567" t="str">
            <v>Cotai - Far East</v>
          </cell>
          <cell r="IN567">
            <v>300000</v>
          </cell>
          <cell r="IO567" t="str">
            <v>4Q08</v>
          </cell>
        </row>
        <row r="568">
          <cell r="IM568" t="str">
            <v>Cotai - Hilton</v>
          </cell>
          <cell r="IN568">
            <v>375000</v>
          </cell>
          <cell r="IO568" t="str">
            <v>4Q08</v>
          </cell>
        </row>
        <row r="569">
          <cell r="IM569" t="str">
            <v>Cotai - Fairmont/Raffles</v>
          </cell>
          <cell r="IN569">
            <v>375000</v>
          </cell>
          <cell r="IO569" t="str">
            <v>4Q08</v>
          </cell>
        </row>
        <row r="570">
          <cell r="IM570" t="str">
            <v>City of Dreams</v>
          </cell>
          <cell r="IN570">
            <v>67250</v>
          </cell>
          <cell r="IO570">
            <v>2009</v>
          </cell>
        </row>
        <row r="571">
          <cell r="IM571" t="str">
            <v>Landmark Center</v>
          </cell>
          <cell r="IN571">
            <v>237500</v>
          </cell>
          <cell r="IO571">
            <v>2009</v>
          </cell>
        </row>
        <row r="572">
          <cell r="IM572" t="str">
            <v>Shun Tak Nam Van</v>
          </cell>
          <cell r="IN572">
            <v>312500</v>
          </cell>
          <cell r="IO572">
            <v>2011</v>
          </cell>
        </row>
        <row r="573">
          <cell r="IN573" t="str">
            <v xml:space="preserve">_____ </v>
          </cell>
        </row>
        <row r="574">
          <cell r="IM574" t="str">
            <v>Total</v>
          </cell>
          <cell r="IN574">
            <v>4133250</v>
          </cell>
        </row>
        <row r="576">
          <cell r="IP576" t="str">
            <v>2010 LVS Total Market Share</v>
          </cell>
        </row>
        <row r="577">
          <cell r="IP577" t="str">
            <v>Property</v>
          </cell>
          <cell r="IQ577" t="str">
            <v>Market Share</v>
          </cell>
        </row>
        <row r="578">
          <cell r="IP578" t="str">
            <v>Sands Macao</v>
          </cell>
          <cell r="IQ578">
            <v>6.3853869920850292E-2</v>
          </cell>
        </row>
        <row r="579">
          <cell r="IP579" t="str">
            <v>Venetian Macao</v>
          </cell>
          <cell r="IQ579">
            <v>0.10494703815738311</v>
          </cell>
        </row>
        <row r="580">
          <cell r="IP580" t="str">
            <v>LVS Cotai Strip</v>
          </cell>
          <cell r="IQ580">
            <v>0.13509998321921712</v>
          </cell>
        </row>
        <row r="581">
          <cell r="IQ581" t="str">
            <v xml:space="preserve">_____   </v>
          </cell>
        </row>
        <row r="582">
          <cell r="IP582" t="str">
            <v>Total LVS Market Share</v>
          </cell>
          <cell r="IQ582">
            <v>0.30390089129745051</v>
          </cell>
        </row>
      </sheetData>
      <sheetData sheetId="10" refreshError="1"/>
      <sheetData sheetId="11"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cell r="AB2" t="str">
            <v>2Q06</v>
          </cell>
        </row>
        <row r="3">
          <cell r="B3" t="str">
            <v>Visitors</v>
          </cell>
          <cell r="C3">
            <v>0.57844899999999999</v>
          </cell>
          <cell r="D3">
            <v>0.54893999999999998</v>
          </cell>
          <cell r="E3">
            <v>0.55027999999999999</v>
          </cell>
          <cell r="F3">
            <v>0.59704400000000002</v>
          </cell>
          <cell r="G3">
            <v>0.65302700000000002</v>
          </cell>
          <cell r="H3">
            <v>0.70688700000000004</v>
          </cell>
          <cell r="I3">
            <v>0.79081500000000005</v>
          </cell>
          <cell r="J3">
            <v>0.854993</v>
          </cell>
          <cell r="K3">
            <v>0.87337799999999999</v>
          </cell>
          <cell r="L3">
            <v>0.99712999999999996</v>
          </cell>
          <cell r="M3">
            <v>1.074287</v>
          </cell>
          <cell r="N3">
            <v>1.2956510000000001</v>
          </cell>
          <cell r="O3">
            <v>1.3382860000000001</v>
          </cell>
          <cell r="P3">
            <v>0.93695799999999996</v>
          </cell>
          <cell r="Q3">
            <v>1.5344089999999999</v>
          </cell>
          <cell r="R3">
            <v>1.932383</v>
          </cell>
          <cell r="S3">
            <v>2.1895210000000001</v>
          </cell>
          <cell r="T3">
            <v>2.2764180000000001</v>
          </cell>
          <cell r="U3">
            <v>2.4935589999999999</v>
          </cell>
          <cell r="V3">
            <v>2.5702410000000002</v>
          </cell>
          <cell r="W3">
            <v>2.4850150000000002</v>
          </cell>
          <cell r="X3">
            <v>2.5055670000000001</v>
          </cell>
          <cell r="Y3">
            <v>2.6505230000000002</v>
          </cell>
          <cell r="Z3">
            <v>2.8218610000000002</v>
          </cell>
          <cell r="AA3">
            <v>2.9777629999999999</v>
          </cell>
          <cell r="AB3">
            <v>2.8476919999999999</v>
          </cell>
        </row>
        <row r="4">
          <cell r="B4" t="str">
            <v>Growth</v>
          </cell>
          <cell r="G4">
            <v>0.12892752861531442</v>
          </cell>
          <cell r="H4">
            <v>0.28773089955186371</v>
          </cell>
          <cell r="I4">
            <v>0.43711383295776707</v>
          </cell>
          <cell r="J4">
            <v>0.43204353447987076</v>
          </cell>
          <cell r="K4">
            <v>0.33743015219891359</v>
          </cell>
          <cell r="L4">
            <v>0.41059320655210785</v>
          </cell>
          <cell r="M4">
            <v>0.35845551740925496</v>
          </cell>
          <cell r="N4">
            <v>0.51539369328169959</v>
          </cell>
          <cell r="O4">
            <v>0.53231017955570215</v>
          </cell>
          <cell r="P4">
            <v>-6.0345190697301265E-2</v>
          </cell>
          <cell r="Q4">
            <v>0.42830454059296996</v>
          </cell>
          <cell r="R4">
            <v>0.49143789492695156</v>
          </cell>
          <cell r="S4">
            <v>0.63606359178830219</v>
          </cell>
          <cell r="T4">
            <v>1.4295838233944318</v>
          </cell>
          <cell r="U4">
            <v>0.62509409160139184</v>
          </cell>
          <cell r="V4">
            <v>0.33008880744655711</v>
          </cell>
          <cell r="W4">
            <v>0.1349582853966691</v>
          </cell>
          <cell r="X4">
            <v>0.10066209281423721</v>
          </cell>
          <cell r="Y4">
            <v>6.2947778656931908E-2</v>
          </cell>
          <cell r="Z4">
            <v>9.7897434520731741E-2</v>
          </cell>
          <cell r="AA4">
            <v>0.19828773669374211</v>
          </cell>
          <cell r="AB4">
            <v>0.13654593950191707</v>
          </cell>
        </row>
        <row r="28">
          <cell r="AE28" t="str">
            <v>Macau visitor stats</v>
          </cell>
        </row>
        <row r="29">
          <cell r="AE29" t="str">
            <v>($mm)</v>
          </cell>
          <cell r="AF29">
            <v>1996</v>
          </cell>
          <cell r="AG29">
            <v>1997</v>
          </cell>
          <cell r="AH29">
            <v>1998</v>
          </cell>
          <cell r="AI29">
            <v>1999</v>
          </cell>
          <cell r="AJ29">
            <v>2000</v>
          </cell>
          <cell r="AK29">
            <v>2001</v>
          </cell>
          <cell r="AL29">
            <v>2002</v>
          </cell>
          <cell r="AM29">
            <v>2003</v>
          </cell>
          <cell r="AN29">
            <v>2004</v>
          </cell>
        </row>
        <row r="31">
          <cell r="AE31" t="str">
            <v>Mainland China Visitors</v>
          </cell>
          <cell r="AF31">
            <v>0.60419999999999996</v>
          </cell>
          <cell r="AG31">
            <v>0.52980000000000005</v>
          </cell>
          <cell r="AH31">
            <v>0.81679999999999997</v>
          </cell>
          <cell r="AI31">
            <v>1.6452</v>
          </cell>
          <cell r="AJ31">
            <v>2.2747129999999998</v>
          </cell>
          <cell r="AK31">
            <v>3.005722</v>
          </cell>
          <cell r="AL31">
            <v>4.2404460000000004</v>
          </cell>
          <cell r="AM31">
            <v>5.7420359999999997</v>
          </cell>
          <cell r="AN31">
            <v>9.5297389999999993</v>
          </cell>
        </row>
        <row r="32">
          <cell r="AE32" t="str">
            <v>Mainland China Visitor Growth</v>
          </cell>
          <cell r="AF32">
            <v>0.1122974963181147</v>
          </cell>
          <cell r="AG32">
            <v>-0.12313803376365429</v>
          </cell>
          <cell r="AH32">
            <v>0.54171385428463559</v>
          </cell>
          <cell r="AI32">
            <v>1.0142017629774731</v>
          </cell>
          <cell r="AJ32">
            <v>0.3826361536591294</v>
          </cell>
          <cell r="AK32">
            <v>0.32136317856362551</v>
          </cell>
          <cell r="AL32">
            <v>0.41079115101130448</v>
          </cell>
          <cell r="AM32">
            <v>0.3541113364018782</v>
          </cell>
          <cell r="AN32">
            <v>0.65964459296319289</v>
          </cell>
        </row>
        <row r="33">
          <cell r="AE33" t="str">
            <v>Total Visitors</v>
          </cell>
          <cell r="AF33">
            <v>8.1510999999999996</v>
          </cell>
          <cell r="AG33">
            <v>7.0004</v>
          </cell>
          <cell r="AH33">
            <v>6.9485000000000001</v>
          </cell>
          <cell r="AI33">
            <v>7.4439000000000002</v>
          </cell>
          <cell r="AJ33">
            <v>9.1622120000000002</v>
          </cell>
          <cell r="AK33">
            <v>10.278973000000001</v>
          </cell>
          <cell r="AL33">
            <v>11.530841000000001</v>
          </cell>
          <cell r="AM33">
            <v>11.887875999999999</v>
          </cell>
          <cell r="AN33">
            <v>16.672556</v>
          </cell>
        </row>
        <row r="34">
          <cell r="AE34" t="str">
            <v>Total Visitor Growth</v>
          </cell>
          <cell r="AF34">
            <v>5.1415672363753551E-2</v>
          </cell>
          <cell r="AG34">
            <v>-0.1411711302768951</v>
          </cell>
          <cell r="AH34">
            <v>-7.4138620650248122E-3</v>
          </cell>
          <cell r="AI34">
            <v>7.1295963157516073E-2</v>
          </cell>
          <cell r="AJ34">
            <v>0.23083491180698301</v>
          </cell>
          <cell r="AK34">
            <v>0.12188770571997254</v>
          </cell>
          <cell r="AL34">
            <v>0.12178920987534458</v>
          </cell>
          <cell r="AM34">
            <v>3.0963483062510289E-2</v>
          </cell>
          <cell r="AN34">
            <v>0.40248400975918686</v>
          </cell>
        </row>
        <row r="58">
          <cell r="AO58" t="str">
            <v>Macau vs LV vs AC</v>
          </cell>
        </row>
        <row r="59">
          <cell r="AO59">
            <v>2005</v>
          </cell>
          <cell r="AP59" t="str">
            <v>Macau</v>
          </cell>
          <cell r="AQ59" t="str">
            <v>Las Vegas</v>
          </cell>
          <cell r="AR59" t="str">
            <v>Atlantic City</v>
          </cell>
        </row>
        <row r="61">
          <cell r="AO61" t="str">
            <v>Revenue</v>
          </cell>
          <cell r="AP61">
            <v>5583.0517159194042</v>
          </cell>
          <cell r="AQ61">
            <v>6035.5789210000003</v>
          </cell>
          <cell r="AR61">
            <v>5017.7659150000009</v>
          </cell>
        </row>
        <row r="62">
          <cell r="AO62" t="str">
            <v>dummy</v>
          </cell>
          <cell r="AP62">
            <v>0</v>
          </cell>
          <cell r="AQ62">
            <v>0</v>
          </cell>
          <cell r="AR62">
            <v>0</v>
          </cell>
        </row>
        <row r="63">
          <cell r="AO63" t="str">
            <v>dummy</v>
          </cell>
          <cell r="AP63">
            <v>0</v>
          </cell>
          <cell r="AQ63">
            <v>0</v>
          </cell>
          <cell r="AR63">
            <v>0</v>
          </cell>
        </row>
        <row r="64">
          <cell r="AO64" t="str">
            <v>dummy</v>
          </cell>
          <cell r="AP64">
            <v>0</v>
          </cell>
          <cell r="AQ64">
            <v>0</v>
          </cell>
          <cell r="AR64">
            <v>0</v>
          </cell>
        </row>
        <row r="65">
          <cell r="AO65" t="str">
            <v>Table Positions</v>
          </cell>
          <cell r="AP65">
            <v>13880</v>
          </cell>
          <cell r="AQ65">
            <v>19188</v>
          </cell>
          <cell r="AR65">
            <v>9636</v>
          </cell>
        </row>
        <row r="66">
          <cell r="AO66" t="str">
            <v>Slots</v>
          </cell>
          <cell r="AP66">
            <v>3421</v>
          </cell>
          <cell r="AQ66">
            <v>55067</v>
          </cell>
          <cell r="AR66">
            <v>41231</v>
          </cell>
        </row>
        <row r="68">
          <cell r="AO68" t="str">
            <v>Tables</v>
          </cell>
          <cell r="AP68">
            <v>1388</v>
          </cell>
          <cell r="AQ68">
            <v>3198</v>
          </cell>
          <cell r="AR68">
            <v>1606</v>
          </cell>
        </row>
        <row r="92">
          <cell r="AZ92" t="str">
            <v>Mass market/VIP/Total forecast</v>
          </cell>
        </row>
        <row r="93">
          <cell r="BA93">
            <v>1996</v>
          </cell>
          <cell r="BB93">
            <v>1997</v>
          </cell>
          <cell r="BC93">
            <v>1998</v>
          </cell>
          <cell r="BD93">
            <v>1999</v>
          </cell>
          <cell r="BE93">
            <v>2000</v>
          </cell>
          <cell r="BF93">
            <v>2001</v>
          </cell>
          <cell r="BG93">
            <v>2002</v>
          </cell>
          <cell r="BH93">
            <v>2003</v>
          </cell>
          <cell r="BI93">
            <v>2004</v>
          </cell>
          <cell r="BJ93">
            <v>2005</v>
          </cell>
          <cell r="BK93" t="str">
            <v>2006E</v>
          </cell>
          <cell r="BL93" t="str">
            <v>2007E</v>
          </cell>
          <cell r="BM93" t="str">
            <v>2008E</v>
          </cell>
          <cell r="BN93" t="str">
            <v>2009E</v>
          </cell>
          <cell r="BO93" t="str">
            <v>2010E</v>
          </cell>
        </row>
        <row r="94">
          <cell r="AZ94" t="str">
            <v>Mass Market</v>
          </cell>
          <cell r="BA94">
            <v>743.50329546010403</v>
          </cell>
          <cell r="BB94">
            <v>680.70481053873436</v>
          </cell>
          <cell r="BC94">
            <v>662.81947826698092</v>
          </cell>
          <cell r="BD94">
            <v>551.5480923777086</v>
          </cell>
          <cell r="BE94">
            <v>636.64034915406774</v>
          </cell>
          <cell r="BF94">
            <v>666.8908353861749</v>
          </cell>
          <cell r="BG94">
            <v>710.66439337316001</v>
          </cell>
          <cell r="BH94">
            <v>789.22213822157244</v>
          </cell>
          <cell r="BI94">
            <v>1405.5569362255396</v>
          </cell>
          <cell r="BJ94">
            <v>2085.2160815156567</v>
          </cell>
          <cell r="BK94">
            <v>2410.12711598839</v>
          </cell>
          <cell r="BL94">
            <v>3166.4450790961996</v>
          </cell>
          <cell r="BM94">
            <v>3987.0430218892116</v>
          </cell>
          <cell r="BN94">
            <v>5147.5260704163238</v>
          </cell>
          <cell r="BO94">
            <v>6335.90432669035</v>
          </cell>
        </row>
        <row r="95">
          <cell r="AZ95" t="str">
            <v>Mass Market Growth</v>
          </cell>
          <cell r="BA95">
            <v>-8.5061861588807242E-2</v>
          </cell>
          <cell r="BB95">
            <v>-8.446295437400575E-2</v>
          </cell>
          <cell r="BC95">
            <v>-2.6274725835415125E-2</v>
          </cell>
          <cell r="BD95">
            <v>-0.16787585389042037</v>
          </cell>
          <cell r="BE95">
            <v>0.15427894312811197</v>
          </cell>
          <cell r="BF95">
            <v>4.7515816853742177E-2</v>
          </cell>
          <cell r="BG95">
            <v>6.5638265911447391E-2</v>
          </cell>
          <cell r="BH95">
            <v>0.11054127036749239</v>
          </cell>
          <cell r="BI95">
            <v>0.78093957094616173</v>
          </cell>
          <cell r="BJ95">
            <v>0.48355148608583787</v>
          </cell>
          <cell r="BK95">
            <v>0.15581648221155531</v>
          </cell>
          <cell r="BL95">
            <v>0.31380832906717648</v>
          </cell>
          <cell r="BM95">
            <v>0.25915432679073525</v>
          </cell>
          <cell r="BN95">
            <v>0.29106358826728473</v>
          </cell>
          <cell r="BO95">
            <v>0.23086396067109427</v>
          </cell>
        </row>
        <row r="96">
          <cell r="AZ96" t="str">
            <v>VIP</v>
          </cell>
          <cell r="BA96">
            <v>1311.6412933882118</v>
          </cell>
          <cell r="BB96">
            <v>1543.9553513896376</v>
          </cell>
          <cell r="BC96">
            <v>1152.1755032529654</v>
          </cell>
          <cell r="BD96">
            <v>1070.2080149186154</v>
          </cell>
          <cell r="BE96">
            <v>1350.1079731470891</v>
          </cell>
          <cell r="BF96">
            <v>1589.0514861480779</v>
          </cell>
          <cell r="BG96">
            <v>1983.8078367889864</v>
          </cell>
          <cell r="BH96">
            <v>2688.8498544599533</v>
          </cell>
          <cell r="BI96">
            <v>3607.0036807892443</v>
          </cell>
          <cell r="BJ96">
            <v>3497.8356344037484</v>
          </cell>
          <cell r="BK96">
            <v>4462.2919091703079</v>
          </cell>
          <cell r="BL96">
            <v>5544.8648697270928</v>
          </cell>
          <cell r="BM96">
            <v>5988.4540593052607</v>
          </cell>
          <cell r="BN96">
            <v>6347.7613028635769</v>
          </cell>
          <cell r="BO96">
            <v>6601.6717549781206</v>
          </cell>
        </row>
        <row r="97">
          <cell r="AZ97" t="str">
            <v>VIP Growth</v>
          </cell>
          <cell r="BA97">
            <v>-4.4825780687432371E-2</v>
          </cell>
          <cell r="BB97">
            <v>0.17711706635990065</v>
          </cell>
          <cell r="BC97">
            <v>-0.2537507627950838</v>
          </cell>
          <cell r="BD97">
            <v>-7.114149546048254E-2</v>
          </cell>
          <cell r="BE97">
            <v>0.26153790134879418</v>
          </cell>
          <cell r="BF97">
            <v>0.17698103985269698</v>
          </cell>
          <cell r="BG97">
            <v>0.24842263078448967</v>
          </cell>
          <cell r="BH97">
            <v>0.35539834282142757</v>
          </cell>
          <cell r="BI97">
            <v>0.34146712387319189</v>
          </cell>
          <cell r="BJ97">
            <v>-3.0265576652145021E-2</v>
          </cell>
          <cell r="BK97">
            <v>0.27572944402545185</v>
          </cell>
          <cell r="BL97">
            <v>0.24260469341596069</v>
          </cell>
          <cell r="BM97">
            <v>0.08</v>
          </cell>
          <cell r="BN97">
            <v>0.06</v>
          </cell>
          <cell r="BO97">
            <v>3.9999999999999994E-2</v>
          </cell>
        </row>
        <row r="121">
          <cell r="BS121">
            <v>1996</v>
          </cell>
          <cell r="BT121">
            <v>1997</v>
          </cell>
          <cell r="BU121">
            <v>1998</v>
          </cell>
          <cell r="BV121">
            <v>1999</v>
          </cell>
          <cell r="BW121">
            <v>2000</v>
          </cell>
          <cell r="BX121">
            <v>2001</v>
          </cell>
          <cell r="BY121">
            <v>2002</v>
          </cell>
          <cell r="BZ121">
            <v>2003</v>
          </cell>
          <cell r="CA121">
            <v>2004</v>
          </cell>
          <cell r="CB121">
            <v>2005</v>
          </cell>
          <cell r="CC121">
            <v>2006</v>
          </cell>
          <cell r="CD121" t="str">
            <v>2007E</v>
          </cell>
          <cell r="CE121" t="str">
            <v>2008E</v>
          </cell>
          <cell r="CF121" t="str">
            <v>2009E</v>
          </cell>
          <cell r="CG121" t="str">
            <v>2010E</v>
          </cell>
        </row>
        <row r="122">
          <cell r="BR122" t="str">
            <v>Mass Market Growth</v>
          </cell>
          <cell r="BS122">
            <v>-8.5061861588807242E-2</v>
          </cell>
          <cell r="BT122">
            <v>-8.446295437400575E-2</v>
          </cell>
          <cell r="BU122">
            <v>-2.6274725835415125E-2</v>
          </cell>
          <cell r="BV122">
            <v>-0.16787585389042037</v>
          </cell>
          <cell r="BW122">
            <v>0.15427894312811197</v>
          </cell>
          <cell r="BX122">
            <v>4.7515816853742177E-2</v>
          </cell>
          <cell r="BY122">
            <v>6.5638265911447391E-2</v>
          </cell>
          <cell r="BZ122">
            <v>0.11054127036749239</v>
          </cell>
          <cell r="CA122">
            <v>0.78093957094616173</v>
          </cell>
          <cell r="CB122">
            <v>0.48355148608583787</v>
          </cell>
          <cell r="CC122">
            <v>0.15581648221155531</v>
          </cell>
          <cell r="CD122">
            <v>0.31380832906717648</v>
          </cell>
          <cell r="CE122">
            <v>0.25915432679073525</v>
          </cell>
          <cell r="CF122">
            <v>0.29106358826728473</v>
          </cell>
          <cell r="CG122">
            <v>0.23086396067109427</v>
          </cell>
        </row>
        <row r="123">
          <cell r="BR123" t="str">
            <v>VIP Growth</v>
          </cell>
          <cell r="BS123">
            <v>-4.4825780687432371E-2</v>
          </cell>
          <cell r="BT123">
            <v>0.17711706635990065</v>
          </cell>
          <cell r="BU123">
            <v>-0.2537507627950838</v>
          </cell>
          <cell r="BV123">
            <v>-7.114149546048254E-2</v>
          </cell>
          <cell r="BW123">
            <v>0.26153790134879418</v>
          </cell>
          <cell r="BX123">
            <v>0.17698103985269698</v>
          </cell>
          <cell r="BY123">
            <v>0.24842263078448967</v>
          </cell>
          <cell r="BZ123">
            <v>0.35539834282142757</v>
          </cell>
          <cell r="CA123">
            <v>0.34146712387319189</v>
          </cell>
          <cell r="CB123">
            <v>-3.0265576652145021E-2</v>
          </cell>
          <cell r="CC123">
            <v>0.27572944402545185</v>
          </cell>
          <cell r="CD123">
            <v>0.24260469341596069</v>
          </cell>
          <cell r="CE123">
            <v>0.08</v>
          </cell>
          <cell r="CF123">
            <v>0.06</v>
          </cell>
          <cell r="CG123">
            <v>3.9999999999999994E-2</v>
          </cell>
        </row>
        <row r="124">
          <cell r="BR124" t="str">
            <v>Mass Market</v>
          </cell>
          <cell r="BS124">
            <v>743.50329546010403</v>
          </cell>
          <cell r="BT124">
            <v>680.70481053873436</v>
          </cell>
          <cell r="BU124">
            <v>662.81947826698092</v>
          </cell>
          <cell r="BV124">
            <v>551.5480923777086</v>
          </cell>
          <cell r="BW124">
            <v>636.64034915406774</v>
          </cell>
          <cell r="BX124">
            <v>666.8908353861749</v>
          </cell>
          <cell r="BY124">
            <v>710.66439337316001</v>
          </cell>
          <cell r="BZ124">
            <v>789.22213822157244</v>
          </cell>
          <cell r="CA124">
            <v>1405.5569362255396</v>
          </cell>
          <cell r="CB124">
            <v>2085.2160815156567</v>
          </cell>
          <cell r="CC124">
            <v>2410.12711598839</v>
          </cell>
        </row>
        <row r="125">
          <cell r="BR125" t="str">
            <v>VIP</v>
          </cell>
          <cell r="BS125">
            <v>1311.6412933882118</v>
          </cell>
          <cell r="BT125">
            <v>1543.9553513896376</v>
          </cell>
          <cell r="BU125">
            <v>1152.1755032529654</v>
          </cell>
          <cell r="BV125">
            <v>1070.2080149186154</v>
          </cell>
          <cell r="BW125">
            <v>1350.1079731470891</v>
          </cell>
          <cell r="BX125">
            <v>1589.0514861480779</v>
          </cell>
          <cell r="BY125">
            <v>1983.8078367889864</v>
          </cell>
          <cell r="BZ125">
            <v>2688.8498544599533</v>
          </cell>
          <cell r="CA125">
            <v>3607.0036807892443</v>
          </cell>
          <cell r="CB125">
            <v>3497.8356344037484</v>
          </cell>
          <cell r="CC125">
            <v>4462.2919091703079</v>
          </cell>
        </row>
        <row r="126">
          <cell r="BR126" t="str">
            <v>Mass Market</v>
          </cell>
          <cell r="CD126">
            <v>3166.4450790961996</v>
          </cell>
          <cell r="CE126">
            <v>3987.0430218892116</v>
          </cell>
          <cell r="CF126">
            <v>5147.5260704163238</v>
          </cell>
          <cell r="CG126">
            <v>6335.90432669035</v>
          </cell>
        </row>
        <row r="127">
          <cell r="BR127" t="str">
            <v>VIP</v>
          </cell>
          <cell r="CD127">
            <v>5544.8648697270928</v>
          </cell>
          <cell r="CE127">
            <v>5988.4540593052607</v>
          </cell>
          <cell r="CF127">
            <v>6347.7613028635769</v>
          </cell>
          <cell r="CG127">
            <v>6601.6717549781206</v>
          </cell>
        </row>
        <row r="149">
          <cell r="CH149" t="str">
            <v>Visitor Volume forecast</v>
          </cell>
        </row>
        <row r="150">
          <cell r="CI150">
            <v>2003</v>
          </cell>
          <cell r="CJ150">
            <v>2004</v>
          </cell>
          <cell r="CK150">
            <v>2005</v>
          </cell>
          <cell r="CL150" t="str">
            <v>2006E</v>
          </cell>
          <cell r="CM150" t="str">
            <v>2007E</v>
          </cell>
          <cell r="CN150" t="str">
            <v>2008E</v>
          </cell>
          <cell r="CO150" t="str">
            <v>2009E</v>
          </cell>
          <cell r="CP150" t="str">
            <v>2010E</v>
          </cell>
        </row>
        <row r="151">
          <cell r="CH151" t="str">
            <v>China Visitors</v>
          </cell>
          <cell r="CI151">
            <v>5.7420359999999997</v>
          </cell>
          <cell r="CJ151">
            <v>9.5297389999999993</v>
          </cell>
          <cell r="CK151">
            <v>10.462966</v>
          </cell>
          <cell r="CL151">
            <v>11.985617</v>
          </cell>
          <cell r="CM151">
            <v>14.484650159144822</v>
          </cell>
          <cell r="CN151">
            <v>17.638701722452655</v>
          </cell>
          <cell r="CO151">
            <v>21.558132326615485</v>
          </cell>
          <cell r="CP151">
            <v>26.21178215894642</v>
          </cell>
        </row>
        <row r="152">
          <cell r="CH152" t="str">
            <v>China Growth</v>
          </cell>
          <cell r="CJ152">
            <v>0.65964459296319289</v>
          </cell>
          <cell r="CK152">
            <v>9.7927865600516473E-2</v>
          </cell>
          <cell r="CL152">
            <v>0.14552766395303207</v>
          </cell>
          <cell r="CM152">
            <v>0.20850267108859089</v>
          </cell>
          <cell r="CN152">
            <v>0.21775131112272916</v>
          </cell>
          <cell r="CO152">
            <v>0.22220629759693189</v>
          </cell>
          <cell r="CP152">
            <v>0.21586516688115776</v>
          </cell>
        </row>
        <row r="153">
          <cell r="CH153" t="str">
            <v>Other Visitors</v>
          </cell>
          <cell r="CI153">
            <v>6.1458399999999989</v>
          </cell>
          <cell r="CJ153">
            <v>7.1428170000000009</v>
          </cell>
          <cell r="CK153">
            <v>8.2482209999999991</v>
          </cell>
          <cell r="CL153">
            <v>10.012505000000003</v>
          </cell>
          <cell r="CM153">
            <v>12.368561300000001</v>
          </cell>
          <cell r="CN153">
            <v>13.474254647000002</v>
          </cell>
          <cell r="CO153">
            <v>14.380254390099999</v>
          </cell>
          <cell r="CP153">
            <v>15.252576536700005</v>
          </cell>
        </row>
        <row r="154">
          <cell r="CH154" t="str">
            <v>Other Growth</v>
          </cell>
          <cell r="CJ154">
            <v>0.16221981047342626</v>
          </cell>
          <cell r="CK154">
            <v>0.15475742973675488</v>
          </cell>
          <cell r="CL154">
            <v>0.2138987304050175</v>
          </cell>
          <cell r="CM154">
            <v>0.23531137312790329</v>
          </cell>
          <cell r="CN154">
            <v>8.9395469705922936E-2</v>
          </cell>
          <cell r="CO154">
            <v>6.7239321716523692E-2</v>
          </cell>
          <cell r="CP154">
            <v>6.0661106746522586E-2</v>
          </cell>
        </row>
        <row r="176">
          <cell r="CQ176" t="str">
            <v>Mass Market Fair shares - major properties</v>
          </cell>
        </row>
        <row r="177">
          <cell r="CR177">
            <v>2005</v>
          </cell>
          <cell r="CS177" t="str">
            <v>2006E</v>
          </cell>
          <cell r="CT177" t="str">
            <v>2007E</v>
          </cell>
          <cell r="CU177" t="str">
            <v>2008E</v>
          </cell>
          <cell r="CV177" t="str">
            <v>2009E</v>
          </cell>
          <cell r="CW177" t="str">
            <v>2010E</v>
          </cell>
        </row>
        <row r="178">
          <cell r="CQ178" t="str">
            <v>Sands Macao</v>
          </cell>
          <cell r="CR178">
            <v>1.0965861639373129</v>
          </cell>
          <cell r="CS178">
            <v>1.166517758723717</v>
          </cell>
          <cell r="CT178">
            <v>1.0919373183163483</v>
          </cell>
          <cell r="CU178">
            <v>1.2</v>
          </cell>
          <cell r="CV178">
            <v>1.2</v>
          </cell>
          <cell r="CW178">
            <v>1.2</v>
          </cell>
        </row>
        <row r="179">
          <cell r="CQ179" t="str">
            <v>Wynn Macau</v>
          </cell>
          <cell r="CR179" t="str">
            <v>N.M.</v>
          </cell>
          <cell r="CS179">
            <v>1.5032113619893295</v>
          </cell>
          <cell r="CT179">
            <v>1.8491700905658222</v>
          </cell>
          <cell r="CU179">
            <v>1.9</v>
          </cell>
          <cell r="CV179">
            <v>2.12</v>
          </cell>
          <cell r="CW179">
            <v>2.14</v>
          </cell>
        </row>
        <row r="180">
          <cell r="CQ180" t="str">
            <v>MGM Grand</v>
          </cell>
          <cell r="CR180" t="str">
            <v>N.M.</v>
          </cell>
          <cell r="CS180" t="str">
            <v>N.M.</v>
          </cell>
          <cell r="CT180">
            <v>1.0768169205587728</v>
          </cell>
          <cell r="CU180">
            <v>1.8</v>
          </cell>
          <cell r="CV180">
            <v>2</v>
          </cell>
          <cell r="CW180">
            <v>2</v>
          </cell>
        </row>
        <row r="181">
          <cell r="CQ181" t="str">
            <v>PBL/Melco NAPE</v>
          </cell>
          <cell r="CR181" t="str">
            <v>N.M.</v>
          </cell>
          <cell r="CS181" t="str">
            <v>N.M.</v>
          </cell>
          <cell r="CT181" t="str">
            <v>N.M.</v>
          </cell>
          <cell r="CU181">
            <v>0</v>
          </cell>
          <cell r="CV181">
            <v>1.5</v>
          </cell>
          <cell r="CW181">
            <v>1.5</v>
          </cell>
        </row>
        <row r="182">
          <cell r="CQ182" t="str">
            <v>Venetian Macao</v>
          </cell>
          <cell r="CR182" t="str">
            <v>N.M.</v>
          </cell>
          <cell r="CS182" t="str">
            <v>N.M.</v>
          </cell>
          <cell r="CT182">
            <v>0.87730964062357364</v>
          </cell>
          <cell r="CU182">
            <v>1.05</v>
          </cell>
          <cell r="CV182">
            <v>1.1000000000000001</v>
          </cell>
          <cell r="CW182">
            <v>1.1000000000000001</v>
          </cell>
        </row>
        <row r="183">
          <cell r="CQ183" t="str">
            <v>Wynn Cotai</v>
          </cell>
          <cell r="CR183" t="str">
            <v>N.M.</v>
          </cell>
          <cell r="CS183" t="str">
            <v>N.M.</v>
          </cell>
          <cell r="CT183" t="str">
            <v>N.M.</v>
          </cell>
          <cell r="CU183">
            <v>0</v>
          </cell>
          <cell r="CV183">
            <v>0</v>
          </cell>
          <cell r="CW183">
            <v>1</v>
          </cell>
        </row>
        <row r="184">
          <cell r="CQ184" t="str">
            <v>LVS Cotai Strip</v>
          </cell>
          <cell r="CR184" t="str">
            <v>N.M.</v>
          </cell>
          <cell r="CS184" t="str">
            <v>N.M.</v>
          </cell>
          <cell r="CT184" t="str">
            <v>N.M.</v>
          </cell>
          <cell r="CU184">
            <v>0.9</v>
          </cell>
          <cell r="CV184">
            <v>1</v>
          </cell>
          <cell r="CW184">
            <v>1</v>
          </cell>
        </row>
        <row r="185">
          <cell r="CQ185" t="str">
            <v>City of Dreams</v>
          </cell>
          <cell r="CR185" t="str">
            <v>N.M.</v>
          </cell>
          <cell r="CS185" t="str">
            <v>N.M.</v>
          </cell>
          <cell r="CT185" t="str">
            <v>N.M.</v>
          </cell>
          <cell r="CU185">
            <v>0</v>
          </cell>
          <cell r="CV185">
            <v>1</v>
          </cell>
          <cell r="CW185">
            <v>1</v>
          </cell>
        </row>
        <row r="207">
          <cell r="CY207" t="str">
            <v>China Visitation Forecast Components</v>
          </cell>
        </row>
        <row r="208">
          <cell r="CY208" t="str">
            <v>millions</v>
          </cell>
          <cell r="CZ208">
            <v>2003</v>
          </cell>
          <cell r="DA208">
            <v>2004</v>
          </cell>
          <cell r="DB208">
            <v>2005</v>
          </cell>
          <cell r="DC208" t="str">
            <v>2006E</v>
          </cell>
          <cell r="DD208" t="str">
            <v>2007E</v>
          </cell>
          <cell r="DE208" t="str">
            <v>2008E</v>
          </cell>
          <cell r="DF208" t="str">
            <v>2009E</v>
          </cell>
          <cell r="DG208" t="str">
            <v>2010E</v>
          </cell>
        </row>
        <row r="210">
          <cell r="CY210" t="str">
            <v>IVS Visitors</v>
          </cell>
          <cell r="CZ210">
            <v>0.60830000000000006</v>
          </cell>
          <cell r="DA210">
            <v>3.5187520000000001</v>
          </cell>
          <cell r="DB210">
            <v>5.3315089999999996</v>
          </cell>
          <cell r="DC210">
            <v>5.7748499999999998</v>
          </cell>
          <cell r="DD210">
            <v>7.8961822091448219</v>
          </cell>
          <cell r="DE210">
            <v>10.519358044952657</v>
          </cell>
          <cell r="DF210">
            <v>13.865754056090488</v>
          </cell>
          <cell r="DG210">
            <v>17.989030775247421</v>
          </cell>
        </row>
        <row r="211">
          <cell r="CY211" t="str">
            <v>Non-IVS Individual Visitors</v>
          </cell>
          <cell r="CZ211">
            <v>3.875521</v>
          </cell>
          <cell r="DA211">
            <v>3.9427409999999989</v>
          </cell>
          <cell r="DB211">
            <v>2.8527119999999995</v>
          </cell>
          <cell r="DC211">
            <v>3.9166359999999996</v>
          </cell>
          <cell r="DD211">
            <v>3.7208041999999995</v>
          </cell>
          <cell r="DE211">
            <v>3.5347639899999992</v>
          </cell>
          <cell r="DF211">
            <v>3.5701116298999991</v>
          </cell>
          <cell r="DG211">
            <v>3.6058127461989993</v>
          </cell>
        </row>
        <row r="212">
          <cell r="CZ212" t="str">
            <v>_____</v>
          </cell>
          <cell r="DA212" t="str">
            <v>_____</v>
          </cell>
          <cell r="DB212" t="str">
            <v>_____</v>
          </cell>
          <cell r="DC212" t="str">
            <v>_____</v>
          </cell>
          <cell r="DD212" t="str">
            <v>_____</v>
          </cell>
          <cell r="DE212" t="str">
            <v>_____</v>
          </cell>
          <cell r="DF212" t="str">
            <v>_____</v>
          </cell>
          <cell r="DG212" t="str">
            <v>_____</v>
          </cell>
        </row>
        <row r="213">
          <cell r="CY213" t="str">
            <v>Total Individuals</v>
          </cell>
          <cell r="CZ213">
            <v>4.4838209999999998</v>
          </cell>
          <cell r="DA213">
            <v>7.461492999999999</v>
          </cell>
          <cell r="DB213">
            <v>8.1842209999999991</v>
          </cell>
          <cell r="DC213">
            <v>9.6914859999999994</v>
          </cell>
          <cell r="DD213">
            <v>11.616986409144822</v>
          </cell>
          <cell r="DE213">
            <v>14.054122034952655</v>
          </cell>
          <cell r="DF213">
            <v>17.435865685990485</v>
          </cell>
          <cell r="DG213">
            <v>21.594843521446421</v>
          </cell>
        </row>
        <row r="214">
          <cell r="CY214" t="str">
            <v>Package Tour Visitors</v>
          </cell>
          <cell r="CZ214">
            <v>1.2582150000000001</v>
          </cell>
          <cell r="DA214">
            <v>2.0682459999999998</v>
          </cell>
          <cell r="DB214">
            <v>2.2787450000000002</v>
          </cell>
          <cell r="DC214">
            <v>2.2941310000000001</v>
          </cell>
          <cell r="DD214">
            <v>2.8676637500000002</v>
          </cell>
          <cell r="DE214">
            <v>3.5845796875000002</v>
          </cell>
          <cell r="DF214">
            <v>4.1222666406249999</v>
          </cell>
          <cell r="DG214">
            <v>4.6169386375000006</v>
          </cell>
        </row>
        <row r="215">
          <cell r="CZ215" t="str">
            <v>_____</v>
          </cell>
          <cell r="DA215" t="str">
            <v>_____</v>
          </cell>
          <cell r="DB215" t="str">
            <v>_____</v>
          </cell>
          <cell r="DC215" t="str">
            <v>_____</v>
          </cell>
          <cell r="DD215" t="str">
            <v>_____</v>
          </cell>
          <cell r="DE215" t="str">
            <v>_____</v>
          </cell>
          <cell r="DF215" t="str">
            <v>_____</v>
          </cell>
          <cell r="DG215" t="str">
            <v>_____</v>
          </cell>
        </row>
        <row r="216">
          <cell r="CY216" t="str">
            <v>Total Mainland China Visitation</v>
          </cell>
          <cell r="CZ216">
            <v>5.7420359999999997</v>
          </cell>
          <cell r="DA216">
            <v>9.5297389999999993</v>
          </cell>
          <cell r="DB216">
            <v>10.462966</v>
          </cell>
          <cell r="DC216">
            <v>11.985617</v>
          </cell>
          <cell r="DD216">
            <v>14.484650159144822</v>
          </cell>
          <cell r="DE216">
            <v>17.638701722452655</v>
          </cell>
          <cell r="DF216">
            <v>21.558132326615485</v>
          </cell>
          <cell r="DG216">
            <v>26.21178215894642</v>
          </cell>
        </row>
        <row r="218">
          <cell r="DG218">
            <v>1.7505246637863241</v>
          </cell>
        </row>
        <row r="219">
          <cell r="DG219">
            <v>0.20579878746169999</v>
          </cell>
        </row>
        <row r="238">
          <cell r="DH238" t="str">
            <v>Position forecast</v>
          </cell>
        </row>
        <row r="239">
          <cell r="DI239">
            <v>2004</v>
          </cell>
          <cell r="DJ239">
            <v>2005</v>
          </cell>
          <cell r="DK239" t="str">
            <v>2006E</v>
          </cell>
          <cell r="DL239" t="str">
            <v>2007E</v>
          </cell>
          <cell r="DM239" t="str">
            <v>2008E</v>
          </cell>
          <cell r="DN239" t="str">
            <v>2009E</v>
          </cell>
          <cell r="DO239" t="str">
            <v>2010E</v>
          </cell>
        </row>
        <row r="240">
          <cell r="DH240" t="str">
            <v>Total Tables</v>
          </cell>
          <cell r="DI240">
            <v>660.54586717630195</v>
          </cell>
          <cell r="DJ240">
            <v>1251.75</v>
          </cell>
          <cell r="DK240">
            <v>2064.4426328502418</v>
          </cell>
          <cell r="DL240">
            <v>3839.166666666667</v>
          </cell>
          <cell r="DM240">
            <v>5581</v>
          </cell>
          <cell r="DN240">
            <v>8198.5</v>
          </cell>
          <cell r="DO240">
            <v>9966</v>
          </cell>
          <cell r="DP240">
            <v>7.961653684841222</v>
          </cell>
          <cell r="DQ240">
            <v>6.961653684841222</v>
          </cell>
          <cell r="DR240">
            <v>0.53000867023692599</v>
          </cell>
        </row>
        <row r="241">
          <cell r="DH241" t="str">
            <v>Mass Market Tables</v>
          </cell>
          <cell r="DI241">
            <v>465.75</v>
          </cell>
          <cell r="DJ241">
            <v>965.625</v>
          </cell>
          <cell r="DK241">
            <v>1572.2832125603863</v>
          </cell>
          <cell r="DL241">
            <v>3120.7500000000005</v>
          </cell>
          <cell r="DM241">
            <v>4653.833333333333</v>
          </cell>
          <cell r="DN241">
            <v>6896.333333333333</v>
          </cell>
          <cell r="DO241">
            <v>8341.3333333333339</v>
          </cell>
          <cell r="DP241">
            <v>8.6382740021574982</v>
          </cell>
          <cell r="DQ241">
            <v>7.6382740021574982</v>
          </cell>
          <cell r="DR241">
            <v>0.56231993756419785</v>
          </cell>
        </row>
        <row r="242">
          <cell r="DH242" t="str">
            <v>VIP Tables</v>
          </cell>
          <cell r="DI242">
            <v>194.79586717630195</v>
          </cell>
          <cell r="DJ242">
            <v>286.125</v>
          </cell>
          <cell r="DK242">
            <v>492.15942028985546</v>
          </cell>
          <cell r="DL242">
            <v>718.41666666666652</v>
          </cell>
          <cell r="DM242">
            <v>927.16666666666697</v>
          </cell>
          <cell r="DN242">
            <v>1302.166666666667</v>
          </cell>
          <cell r="DO242">
            <v>1624.6666666666661</v>
          </cell>
          <cell r="DP242">
            <v>5.6781709625746304</v>
          </cell>
          <cell r="DQ242">
            <v>4.6781709625746304</v>
          </cell>
          <cell r="DR242">
            <v>0.40322962265607054</v>
          </cell>
        </row>
        <row r="243">
          <cell r="DH243" t="str">
            <v>Slots</v>
          </cell>
          <cell r="DI243">
            <v>1548.6654323936932</v>
          </cell>
          <cell r="DJ243">
            <v>2918.5</v>
          </cell>
          <cell r="DK243">
            <v>4767.75</v>
          </cell>
          <cell r="DL243">
            <v>11066.615942028986</v>
          </cell>
          <cell r="DM243">
            <v>17875.782608695652</v>
          </cell>
          <cell r="DN243">
            <v>27650.782608695652</v>
          </cell>
          <cell r="DO243">
            <v>38425.782608695648</v>
          </cell>
          <cell r="DP243">
            <v>13.166278091038427</v>
          </cell>
          <cell r="DQ243">
            <v>12.166278091038427</v>
          </cell>
          <cell r="DR243">
            <v>0.70336242574887442</v>
          </cell>
        </row>
        <row r="244">
          <cell r="DH244" t="str">
            <v>Positions</v>
          </cell>
          <cell r="DI244">
            <v>7121.6804825609161</v>
          </cell>
          <cell r="DJ244">
            <v>13490.333333333334</v>
          </cell>
          <cell r="DK244">
            <v>22233.676328502414</v>
          </cell>
          <cell r="DL244">
            <v>43066.113043478254</v>
          </cell>
          <cell r="DM244">
            <v>64954.391304347824</v>
          </cell>
          <cell r="DN244">
            <v>96016.891304347824</v>
          </cell>
          <cell r="DO244">
            <v>119079.39130434782</v>
          </cell>
          <cell r="DP244">
            <v>8.8270162316978436</v>
          </cell>
          <cell r="DQ244">
            <v>7.8270162316978436</v>
          </cell>
          <cell r="DR244">
            <v>0.56557148117633949</v>
          </cell>
        </row>
        <row r="267">
          <cell r="DS267" t="str">
            <v>Win/Position forecast</v>
          </cell>
        </row>
        <row r="268">
          <cell r="DT268">
            <v>2004</v>
          </cell>
          <cell r="DU268">
            <v>2005</v>
          </cell>
          <cell r="DV268" t="str">
            <v>2006E</v>
          </cell>
          <cell r="DW268" t="str">
            <v>2007E</v>
          </cell>
          <cell r="DX268" t="str">
            <v>2008E</v>
          </cell>
          <cell r="DY268" t="str">
            <v>2009E</v>
          </cell>
          <cell r="DZ268" t="str">
            <v>2010E</v>
          </cell>
        </row>
        <row r="269">
          <cell r="DS269" t="str">
            <v>All Tables</v>
          </cell>
          <cell r="DT269">
            <v>20414.826766476152</v>
          </cell>
          <cell r="DU269">
            <v>11887.951376957966</v>
          </cell>
          <cell r="DV269">
            <v>8789.413707071848</v>
          </cell>
          <cell r="DW269">
            <v>5794.6280674243335</v>
          </cell>
          <cell r="DX269">
            <v>4418.7291130811236</v>
          </cell>
          <cell r="DY269">
            <v>3327.7505285950278</v>
          </cell>
          <cell r="DZ269">
            <v>2957.6453872411762</v>
          </cell>
          <cell r="EA269">
            <v>-0.75120647002528251</v>
          </cell>
        </row>
        <row r="270">
          <cell r="DS270" t="str">
            <v>Mass Market Tables</v>
          </cell>
          <cell r="DT270">
            <v>7793.2971252477782</v>
          </cell>
          <cell r="DU270">
            <v>5486.2206435972312</v>
          </cell>
          <cell r="DV270">
            <v>3765.0870033772258</v>
          </cell>
          <cell r="DW270">
            <v>2260.7169174700166</v>
          </cell>
          <cell r="DX270">
            <v>1773.6354395919532</v>
          </cell>
          <cell r="DY270">
            <v>1434.3036180858212</v>
          </cell>
          <cell r="DZ270">
            <v>1365.3838712194677</v>
          </cell>
          <cell r="EA270">
            <v>-0.75112487085021673</v>
          </cell>
        </row>
        <row r="271">
          <cell r="DS271" t="str">
            <v>VIP Tables</v>
          </cell>
          <cell r="DT271">
            <v>50592.455869262696</v>
          </cell>
          <cell r="DU271">
            <v>33492.743825717982</v>
          </cell>
          <cell r="DV271">
            <v>24840.441493932929</v>
          </cell>
          <cell r="DW271">
            <v>21145.682313409634</v>
          </cell>
          <cell r="DX271">
            <v>17695.549290114752</v>
          </cell>
          <cell r="DY271">
            <v>13355.530672336219</v>
          </cell>
          <cell r="DZ271">
            <v>11132.604799823705</v>
          </cell>
          <cell r="EA271">
            <v>-0.66761144271269468</v>
          </cell>
        </row>
        <row r="272">
          <cell r="DS272" t="str">
            <v>Slots</v>
          </cell>
          <cell r="DT272">
            <v>136.89300769567095</v>
          </cell>
          <cell r="DU272">
            <v>142.29534428720078</v>
          </cell>
          <cell r="DV272">
            <v>143.3181059766107</v>
          </cell>
          <cell r="DW272">
            <v>146.39160569190702</v>
          </cell>
          <cell r="DX272">
            <v>149.31943780574517</v>
          </cell>
          <cell r="DY272">
            <v>152.30582656186007</v>
          </cell>
          <cell r="DZ272">
            <v>155.35194309309728</v>
          </cell>
          <cell r="EA272">
            <v>9.1757034436374951E-2</v>
          </cell>
        </row>
        <row r="294">
          <cell r="EB294" t="str">
            <v>Hotel/Room forecast</v>
          </cell>
        </row>
        <row r="295">
          <cell r="EC295">
            <v>1999</v>
          </cell>
          <cell r="ED295">
            <v>2000</v>
          </cell>
          <cell r="EE295">
            <v>2001</v>
          </cell>
          <cell r="EF295">
            <v>2002</v>
          </cell>
          <cell r="EG295">
            <v>2003</v>
          </cell>
          <cell r="EH295">
            <v>2004</v>
          </cell>
          <cell r="EI295">
            <v>2005</v>
          </cell>
          <cell r="EJ295" t="str">
            <v>2006E</v>
          </cell>
          <cell r="EK295" t="str">
            <v>2007E</v>
          </cell>
          <cell r="EL295" t="str">
            <v>2008E</v>
          </cell>
          <cell r="EM295" t="str">
            <v>2009E</v>
          </cell>
          <cell r="EN295" t="str">
            <v>2010E</v>
          </cell>
        </row>
        <row r="296">
          <cell r="EB296" t="str">
            <v>Hotels</v>
          </cell>
          <cell r="EC296">
            <v>74</v>
          </cell>
          <cell r="ED296">
            <v>72.416666666666671</v>
          </cell>
          <cell r="EE296">
            <v>70.333333333333329</v>
          </cell>
          <cell r="EF296">
            <v>68.083333333333329</v>
          </cell>
          <cell r="EG296">
            <v>68.083333333333329</v>
          </cell>
          <cell r="EH296">
            <v>70</v>
          </cell>
          <cell r="EI296">
            <v>73.833333333333329</v>
          </cell>
        </row>
        <row r="297">
          <cell r="EB297" t="str">
            <v>Rooms</v>
          </cell>
          <cell r="EC297">
            <v>9431</v>
          </cell>
          <cell r="ED297">
            <v>9309.75</v>
          </cell>
          <cell r="EE297">
            <v>9049</v>
          </cell>
          <cell r="EF297">
            <v>8903.9166666666661</v>
          </cell>
          <cell r="EG297">
            <v>8953.1666666666679</v>
          </cell>
          <cell r="EH297">
            <v>9232.5</v>
          </cell>
          <cell r="EI297">
            <v>10534.833333333332</v>
          </cell>
        </row>
        <row r="298">
          <cell r="EB298" t="str">
            <v>Hotel Forecast</v>
          </cell>
          <cell r="EI298">
            <v>73.833333333333329</v>
          </cell>
          <cell r="EJ298">
            <v>78</v>
          </cell>
          <cell r="EK298">
            <v>0</v>
          </cell>
          <cell r="EL298">
            <v>0</v>
          </cell>
          <cell r="EM298">
            <v>0</v>
          </cell>
          <cell r="EN298">
            <v>0</v>
          </cell>
        </row>
        <row r="299">
          <cell r="EB299" t="str">
            <v>Room Forecast</v>
          </cell>
          <cell r="EI299">
            <v>10534.833333333332</v>
          </cell>
          <cell r="EJ299">
            <v>11819.416666666666</v>
          </cell>
          <cell r="EK299">
            <v>15220.325250836122</v>
          </cell>
          <cell r="EL299">
            <v>21337.818840579712</v>
          </cell>
          <cell r="EM299">
            <v>33922.818840579712</v>
          </cell>
          <cell r="EN299">
            <v>48497.818840579712</v>
          </cell>
        </row>
        <row r="321">
          <cell r="EO321" t="str">
            <v>Sands market share estimates</v>
          </cell>
        </row>
        <row r="322">
          <cell r="EP322">
            <v>2004</v>
          </cell>
          <cell r="EQ322">
            <v>2005</v>
          </cell>
          <cell r="ER322" t="str">
            <v>2006E</v>
          </cell>
          <cell r="ES322" t="str">
            <v>2007E</v>
          </cell>
          <cell r="ET322" t="str">
            <v>2008E</v>
          </cell>
          <cell r="EU322" t="str">
            <v>2009E</v>
          </cell>
          <cell r="EV322" t="str">
            <v>2010E</v>
          </cell>
        </row>
        <row r="323">
          <cell r="EO323" t="str">
            <v>Mass Share</v>
          </cell>
          <cell r="EP323">
            <v>0.40761349902224442</v>
          </cell>
          <cell r="EQ323">
            <v>0.34588086116991928</v>
          </cell>
          <cell r="ER323">
            <v>0.35498371240437149</v>
          </cell>
          <cell r="ES323">
            <v>0.228694873391485</v>
          </cell>
          <cell r="ET323">
            <v>0.16410273156577451</v>
          </cell>
          <cell r="EU323">
            <v>0.10996424984008536</v>
          </cell>
          <cell r="EV323">
            <v>8.8708320238230498E-2</v>
          </cell>
        </row>
        <row r="324">
          <cell r="EO324" t="str">
            <v>VIP Share</v>
          </cell>
          <cell r="EP324">
            <v>6.5167720220255859E-3</v>
          </cell>
          <cell r="EQ324">
            <v>6.8900807582138485E-2</v>
          </cell>
          <cell r="ER324">
            <v>0.12165721361356163</v>
          </cell>
          <cell r="ES324">
            <v>9.6370420552783886E-2</v>
          </cell>
          <cell r="ET324">
            <v>0.06</v>
          </cell>
          <cell r="EU324">
            <v>0.05</v>
          </cell>
          <cell r="EV324">
            <v>0.04</v>
          </cell>
        </row>
        <row r="325">
          <cell r="EO325" t="str">
            <v>Mass Revenue</v>
          </cell>
          <cell r="EP325">
            <v>378.48779041720229</v>
          </cell>
          <cell r="EQ325">
            <v>721.23633399999994</v>
          </cell>
          <cell r="ER325">
            <v>855.55587099999991</v>
          </cell>
          <cell r="ES325">
            <v>724.14975646499602</v>
          </cell>
          <cell r="ET325">
            <v>654.28465076227974</v>
          </cell>
          <cell r="EU325">
            <v>566.04384286561344</v>
          </cell>
          <cell r="EV325">
            <v>562.04743001083773</v>
          </cell>
        </row>
        <row r="326">
          <cell r="EO326" t="str">
            <v>VIP Revenue</v>
          </cell>
          <cell r="EP326">
            <v>12.561</v>
          </cell>
          <cell r="EQ326">
            <v>241.00369999999998</v>
          </cell>
          <cell r="ER326">
            <v>542.87</v>
          </cell>
          <cell r="ES326">
            <v>534.36095940395705</v>
          </cell>
          <cell r="ET326">
            <v>359.30724355831563</v>
          </cell>
          <cell r="EU326">
            <v>317.38806514317889</v>
          </cell>
          <cell r="EV326">
            <v>264.06687019912482</v>
          </cell>
        </row>
        <row r="348">
          <cell r="EX348" t="str">
            <v>Venetian market share estimates</v>
          </cell>
        </row>
        <row r="349">
          <cell r="EY349" t="str">
            <v>2007E</v>
          </cell>
          <cell r="EZ349" t="str">
            <v>2008E</v>
          </cell>
          <cell r="FA349" t="str">
            <v>2009E</v>
          </cell>
          <cell r="FB349" t="str">
            <v>2010E</v>
          </cell>
        </row>
        <row r="350">
          <cell r="EX350" t="str">
            <v>Mass Share</v>
          </cell>
          <cell r="EY350">
            <v>9.7125563095070658E-2</v>
          </cell>
          <cell r="EZ350">
            <v>0.17602135083589143</v>
          </cell>
          <cell r="FA350">
            <v>0.12356755155694032</v>
          </cell>
          <cell r="FB350">
            <v>9.9682123512939425E-2</v>
          </cell>
        </row>
        <row r="351">
          <cell r="EX351" t="str">
            <v>VIP Share</v>
          </cell>
          <cell r="EY351">
            <v>6.0989677027676929E-2</v>
          </cell>
          <cell r="EZ351">
            <v>0.13</v>
          </cell>
          <cell r="FA351">
            <v>0.14000000000000001</v>
          </cell>
          <cell r="FB351">
            <v>0.11000000000000001</v>
          </cell>
        </row>
        <row r="352">
          <cell r="EX352" t="str">
            <v>Mass Revenue</v>
          </cell>
          <cell r="EY352">
            <v>307.54276131683389</v>
          </cell>
          <cell r="EZ352">
            <v>701.80469855375372</v>
          </cell>
          <cell r="FA352">
            <v>636.06719309686355</v>
          </cell>
          <cell r="FB352">
            <v>631.57639765931481</v>
          </cell>
        </row>
        <row r="353">
          <cell r="EX353" t="str">
            <v>VIP Revenue</v>
          </cell>
          <cell r="EY353">
            <v>338.17951756676723</v>
          </cell>
          <cell r="EZ353">
            <v>778.4990277096839</v>
          </cell>
          <cell r="FA353">
            <v>888.68658240090087</v>
          </cell>
          <cell r="FB353">
            <v>726.18389304759341</v>
          </cell>
        </row>
        <row r="375">
          <cell r="FG375" t="str">
            <v>Cotai strip market share estimates</v>
          </cell>
        </row>
        <row r="376">
          <cell r="FH376" t="str">
            <v>2007E</v>
          </cell>
          <cell r="FI376" t="str">
            <v>2008E</v>
          </cell>
          <cell r="FJ376" t="str">
            <v>2009E</v>
          </cell>
          <cell r="FK376" t="str">
            <v>2010E</v>
          </cell>
        </row>
        <row r="377">
          <cell r="FG377" t="str">
            <v>Mass Share</v>
          </cell>
          <cell r="FH377">
            <v>0</v>
          </cell>
          <cell r="FI377">
            <v>8.7605096268554269E-2</v>
          </cell>
          <cell r="FJ377">
            <v>0.1684181639591753</v>
          </cell>
          <cell r="FK377">
            <v>0.1841756341201316</v>
          </cell>
        </row>
        <row r="378">
          <cell r="FG378" t="str">
            <v>Mass Revenue</v>
          </cell>
          <cell r="FH378">
            <v>0</v>
          </cell>
          <cell r="FI378">
            <v>349.28528775947194</v>
          </cell>
          <cell r="FJ378">
            <v>866.93688971150573</v>
          </cell>
          <cell r="FK378">
            <v>1166.9191970926806</v>
          </cell>
        </row>
        <row r="400">
          <cell r="FP400" t="str">
            <v>Wynn market share estimates</v>
          </cell>
        </row>
        <row r="401">
          <cell r="FQ401" t="str">
            <v>2006E</v>
          </cell>
          <cell r="FR401" t="str">
            <v>2007E</v>
          </cell>
          <cell r="FS401" t="str">
            <v>2008E</v>
          </cell>
          <cell r="FT401" t="str">
            <v>2009E</v>
          </cell>
          <cell r="FU401" t="str">
            <v>2010E</v>
          </cell>
        </row>
        <row r="402">
          <cell r="FP402" t="str">
            <v>Mass Share</v>
          </cell>
          <cell r="FQ402">
            <v>5.3355499445208295E-2</v>
          </cell>
          <cell r="FR402">
            <v>0.16743861775519664</v>
          </cell>
          <cell r="FS402">
            <v>0.14350291592468326</v>
          </cell>
          <cell r="FT402">
            <v>0.10729480420038999</v>
          </cell>
          <cell r="FU402">
            <v>8.7371429979581888E-2</v>
          </cell>
        </row>
        <row r="403">
          <cell r="FP403" t="str">
            <v>VIP Share</v>
          </cell>
          <cell r="FQ403">
            <v>4.4674352117198425E-2</v>
          </cell>
          <cell r="FR403">
            <v>0.11505452620455096</v>
          </cell>
          <cell r="FS403">
            <v>9.505452620455096E-2</v>
          </cell>
          <cell r="FT403">
            <v>0.10505452620455095</v>
          </cell>
          <cell r="FU403">
            <v>7.5054526204550956E-2</v>
          </cell>
        </row>
        <row r="404">
          <cell r="FP404" t="str">
            <v>Mass Revenue</v>
          </cell>
          <cell r="FQ404">
            <v>128.593536</v>
          </cell>
          <cell r="FR404">
            <v>530.18518724161186</v>
          </cell>
          <cell r="FS404">
            <v>572.1522995582626</v>
          </cell>
          <cell r="FT404">
            <v>552.30280184172238</v>
          </cell>
          <cell r="FU404">
            <v>553.57702123675585</v>
          </cell>
        </row>
        <row r="405">
          <cell r="FP405" t="str">
            <v>VIP Revenue</v>
          </cell>
          <cell r="FQ405">
            <v>199.35</v>
          </cell>
          <cell r="FR405">
            <v>637.96180045470976</v>
          </cell>
          <cell r="FS405">
            <v>569.2296633049815</v>
          </cell>
          <cell r="FT405">
            <v>666.86105613191614</v>
          </cell>
          <cell r="FU405">
            <v>495.48534572784922</v>
          </cell>
        </row>
        <row r="426">
          <cell r="FX426" t="str">
            <v>Quarterly Mass &amp; VIP revenues</v>
          </cell>
        </row>
        <row r="427">
          <cell r="FY427" t="str">
            <v>1Q04</v>
          </cell>
          <cell r="FZ427" t="str">
            <v>2Q04</v>
          </cell>
          <cell r="GA427" t="str">
            <v>3Q04</v>
          </cell>
          <cell r="GB427" t="str">
            <v>4Q04</v>
          </cell>
          <cell r="GC427" t="str">
            <v>1Q05</v>
          </cell>
          <cell r="GD427" t="str">
            <v>2Q05</v>
          </cell>
        </row>
        <row r="428">
          <cell r="FX428" t="str">
            <v>Mass Market</v>
          </cell>
          <cell r="FY428">
            <v>280.95231671690618</v>
          </cell>
          <cell r="FZ428">
            <v>337.36918401170789</v>
          </cell>
          <cell r="GA428">
            <v>403.47632193004841</v>
          </cell>
          <cell r="GB428">
            <v>383.7591135668772</v>
          </cell>
          <cell r="GC428">
            <v>448.47078205507222</v>
          </cell>
          <cell r="GD428">
            <v>487.01134205015683</v>
          </cell>
        </row>
        <row r="429">
          <cell r="FY429">
            <v>0.4813841646179613</v>
          </cell>
          <cell r="FZ429">
            <v>1.2931036892078374</v>
          </cell>
          <cell r="GA429">
            <v>0.87226179059238773</v>
          </cell>
          <cell r="GB429">
            <v>0.61963728927632111</v>
          </cell>
          <cell r="GC429">
            <v>0.59625230108695404</v>
          </cell>
          <cell r="GD429">
            <v>0.44355609560728526</v>
          </cell>
        </row>
        <row r="430">
          <cell r="FX430" t="str">
            <v>VIP</v>
          </cell>
          <cell r="FY430">
            <v>851.76682704702944</v>
          </cell>
          <cell r="FZ430">
            <v>827.74883397630197</v>
          </cell>
          <cell r="GA430">
            <v>954.29704649257633</v>
          </cell>
          <cell r="GB430">
            <v>973.19097327333657</v>
          </cell>
          <cell r="GC430">
            <v>871.38028739791866</v>
          </cell>
          <cell r="GD430">
            <v>926.51373647604282</v>
          </cell>
        </row>
        <row r="431">
          <cell r="FY431">
            <v>0.31822186062360713</v>
          </cell>
          <cell r="FZ431">
            <v>0.65138968326619362</v>
          </cell>
          <cell r="GA431">
            <v>0.29976490958524837</v>
          </cell>
          <cell r="GB431">
            <v>0.20556281508449858</v>
          </cell>
          <cell r="GC431">
            <v>2.3026795277865775E-2</v>
          </cell>
          <cell r="GD431">
            <v>0.11931747704831985</v>
          </cell>
        </row>
        <row r="472">
          <cell r="GH472" t="str">
            <v>Chinese Travel - Synovate</v>
          </cell>
        </row>
        <row r="473">
          <cell r="GI473">
            <v>1999</v>
          </cell>
          <cell r="GJ473">
            <v>2000</v>
          </cell>
          <cell r="GK473">
            <v>2001</v>
          </cell>
          <cell r="GL473">
            <v>2002</v>
          </cell>
          <cell r="GM473">
            <v>2003</v>
          </cell>
          <cell r="GN473">
            <v>2004</v>
          </cell>
        </row>
        <row r="474">
          <cell r="GH474" t="str">
            <v>Raw</v>
          </cell>
        </row>
        <row r="475">
          <cell r="GH475" t="str">
            <v>International</v>
          </cell>
          <cell r="GI475">
            <v>9.1999999999999993</v>
          </cell>
          <cell r="GJ475">
            <v>10.5</v>
          </cell>
          <cell r="GK475">
            <v>12.1</v>
          </cell>
          <cell r="GL475">
            <v>16.600000000000001</v>
          </cell>
          <cell r="GM475">
            <v>20.2</v>
          </cell>
          <cell r="GN475">
            <v>25.3</v>
          </cell>
          <cell r="GO475">
            <v>0.2332242853591473</v>
          </cell>
        </row>
        <row r="476">
          <cell r="GH476" t="str">
            <v>Domestic</v>
          </cell>
          <cell r="GI476">
            <v>719</v>
          </cell>
          <cell r="GJ476">
            <v>744</v>
          </cell>
          <cell r="GK476">
            <v>784</v>
          </cell>
          <cell r="GL476">
            <v>878</v>
          </cell>
          <cell r="GM476">
            <v>870</v>
          </cell>
          <cell r="GN476">
            <v>913.5</v>
          </cell>
          <cell r="GO476">
            <v>5.2163679681155983E-2</v>
          </cell>
        </row>
        <row r="477">
          <cell r="GH477" t="str">
            <v>Total</v>
          </cell>
          <cell r="GI477">
            <v>728.2</v>
          </cell>
          <cell r="GJ477">
            <v>754.5</v>
          </cell>
          <cell r="GK477">
            <v>796.1</v>
          </cell>
          <cell r="GL477">
            <v>894.6</v>
          </cell>
          <cell r="GM477">
            <v>890.2</v>
          </cell>
          <cell r="GN477">
            <v>938.8</v>
          </cell>
          <cell r="GO477">
            <v>5.5272264875848354E-2</v>
          </cell>
        </row>
        <row r="478">
          <cell r="GH478" t="str">
            <v>Indexed</v>
          </cell>
        </row>
        <row r="479">
          <cell r="GH479" t="str">
            <v>International</v>
          </cell>
          <cell r="GI479">
            <v>100</v>
          </cell>
          <cell r="GJ479">
            <v>114.13043478260872</v>
          </cell>
          <cell r="GK479">
            <v>131.52173913043478</v>
          </cell>
          <cell r="GL479">
            <v>180.43478260869568</v>
          </cell>
          <cell r="GM479">
            <v>219.56521739130434</v>
          </cell>
          <cell r="GN479">
            <v>275.00000000000006</v>
          </cell>
          <cell r="GO479">
            <v>0.2332242853591473</v>
          </cell>
        </row>
        <row r="480">
          <cell r="GH480" t="str">
            <v>Domestic</v>
          </cell>
          <cell r="GI480">
            <v>100</v>
          </cell>
          <cell r="GJ480">
            <v>103.47705146036161</v>
          </cell>
          <cell r="GK480">
            <v>109.0403337969402</v>
          </cell>
          <cell r="GL480">
            <v>122.11404728789985</v>
          </cell>
          <cell r="GM480">
            <v>121.00139082058415</v>
          </cell>
          <cell r="GN480">
            <v>127.05146036161335</v>
          </cell>
          <cell r="GO480">
            <v>5.2163679681155761E-2</v>
          </cell>
        </row>
        <row r="482">
          <cell r="GH482" t="str">
            <v>International Components</v>
          </cell>
        </row>
        <row r="483">
          <cell r="GH483" t="str">
            <v>Hong Kong</v>
          </cell>
          <cell r="GJ483">
            <v>3.786</v>
          </cell>
          <cell r="GK483">
            <v>4.4489999999999998</v>
          </cell>
          <cell r="GL483">
            <v>6.8250000000000002</v>
          </cell>
          <cell r="GM483">
            <v>8.4670000000000005</v>
          </cell>
          <cell r="GN483">
            <v>12.246</v>
          </cell>
          <cell r="GO483">
            <v>0.48403162055335969</v>
          </cell>
        </row>
        <row r="484">
          <cell r="GH484" t="str">
            <v>Macau</v>
          </cell>
          <cell r="GJ484">
            <v>2.2749999999999999</v>
          </cell>
          <cell r="GK484">
            <v>3.0059999999999998</v>
          </cell>
          <cell r="GL484">
            <v>4.24</v>
          </cell>
          <cell r="GM484">
            <v>5.742</v>
          </cell>
          <cell r="GN484">
            <v>9.5299999999999994</v>
          </cell>
          <cell r="GO484">
            <v>0.37667984189723319</v>
          </cell>
        </row>
        <row r="485">
          <cell r="GH485" t="str">
            <v>Singapore</v>
          </cell>
          <cell r="GJ485">
            <v>0.434</v>
          </cell>
          <cell r="GK485">
            <v>0.49700000000000005</v>
          </cell>
          <cell r="GL485">
            <v>0.67</v>
          </cell>
          <cell r="GM485">
            <v>0.56800000000000006</v>
          </cell>
          <cell r="GN485">
            <v>0.88</v>
          </cell>
          <cell r="GO485">
            <v>3.4782608695652174E-2</v>
          </cell>
        </row>
        <row r="486">
          <cell r="GH486" t="str">
            <v>Thailand</v>
          </cell>
          <cell r="GJ486">
            <v>0.70399999999999996</v>
          </cell>
          <cell r="GK486">
            <v>0.69499999999999995</v>
          </cell>
          <cell r="GL486">
            <v>0.76400000000000001</v>
          </cell>
          <cell r="GM486">
            <v>0.625</v>
          </cell>
          <cell r="GN486">
            <v>0.87200000000000011</v>
          </cell>
          <cell r="GO486">
            <v>3.4466403162055341E-2</v>
          </cell>
        </row>
        <row r="487">
          <cell r="GH487" t="str">
            <v>Malaysia</v>
          </cell>
          <cell r="GJ487">
            <v>0.42499999999999999</v>
          </cell>
          <cell r="GK487">
            <v>0.45300000000000001</v>
          </cell>
          <cell r="GL487">
            <v>0.55800000000000005</v>
          </cell>
          <cell r="GM487">
            <v>0.35100000000000003</v>
          </cell>
          <cell r="GN487">
            <v>0.55000000000000004</v>
          </cell>
          <cell r="GO487">
            <v>2.1739130434782612E-2</v>
          </cell>
        </row>
        <row r="488">
          <cell r="GH488" t="str">
            <v>Other</v>
          </cell>
          <cell r="GJ488">
            <v>2.8760000000000003</v>
          </cell>
          <cell r="GK488">
            <v>3</v>
          </cell>
          <cell r="GL488">
            <v>3.543000000000001</v>
          </cell>
          <cell r="GM488">
            <v>4.4469999999999992</v>
          </cell>
          <cell r="GN488">
            <v>1.2220000000000013</v>
          </cell>
          <cell r="GO488">
            <v>4.8300395256917046E-2</v>
          </cell>
        </row>
        <row r="526">
          <cell r="GR526" t="str">
            <v>Chinese spending components, leisure - Synovate</v>
          </cell>
        </row>
        <row r="527">
          <cell r="GR527" t="str">
            <v>Retail</v>
          </cell>
          <cell r="GS527">
            <v>0.36</v>
          </cell>
        </row>
        <row r="528">
          <cell r="GR528" t="str">
            <v>International Transport</v>
          </cell>
          <cell r="GS528">
            <v>0.14000000000000001</v>
          </cell>
        </row>
        <row r="529">
          <cell r="GR529" t="str">
            <v>Tour Package</v>
          </cell>
          <cell r="GS529">
            <v>0.11</v>
          </cell>
        </row>
        <row r="530">
          <cell r="GR530" t="str">
            <v>F&amp;B</v>
          </cell>
          <cell r="GS530">
            <v>0.11</v>
          </cell>
        </row>
        <row r="531">
          <cell r="GR531" t="str">
            <v>Hotel</v>
          </cell>
          <cell r="GS531">
            <v>7.0000000000000007E-2</v>
          </cell>
        </row>
        <row r="532">
          <cell r="GR532" t="str">
            <v>Other</v>
          </cell>
          <cell r="GS532">
            <v>0.21</v>
          </cell>
        </row>
        <row r="547">
          <cell r="GZ547" t="str">
            <v>2004 Macau Non-gaming spending components</v>
          </cell>
        </row>
        <row r="548">
          <cell r="HA548" t="str">
            <v>all tourists</v>
          </cell>
          <cell r="HB548" t="str">
            <v>Chinese</v>
          </cell>
        </row>
        <row r="549">
          <cell r="GZ549" t="str">
            <v>Retail</v>
          </cell>
          <cell r="HA549">
            <v>0.44320603179806589</v>
          </cell>
          <cell r="HB549">
            <v>0.58650610943864001</v>
          </cell>
        </row>
        <row r="550">
          <cell r="GZ550" t="str">
            <v>Accomodation</v>
          </cell>
          <cell r="HA550">
            <v>0.20357318472381578</v>
          </cell>
          <cell r="HB550">
            <v>0.1835487869665309</v>
          </cell>
        </row>
        <row r="551">
          <cell r="GZ551" t="str">
            <v>F&amp;B</v>
          </cell>
          <cell r="HA551">
            <v>0.21947221766923455</v>
          </cell>
          <cell r="HB551">
            <v>0.16380378962280856</v>
          </cell>
        </row>
        <row r="552">
          <cell r="GZ552" t="str">
            <v>Entertainment</v>
          </cell>
          <cell r="HA552">
            <v>1.868546139977053E-2</v>
          </cell>
          <cell r="HB552">
            <v>1.9479369576766426E-2</v>
          </cell>
        </row>
        <row r="553">
          <cell r="GZ553" t="str">
            <v>Other</v>
          </cell>
          <cell r="HA553">
            <v>0.11506310440911327</v>
          </cell>
          <cell r="HB553">
            <v>4.6661944395254118E-2</v>
          </cell>
        </row>
        <row r="554">
          <cell r="GZ554" t="str">
            <v>Outbound Transport</v>
          </cell>
          <cell r="HA554">
            <v>8.3592853630552369E-2</v>
          </cell>
          <cell r="HB554">
            <v>2.665131928457588E-2</v>
          </cell>
        </row>
        <row r="582">
          <cell r="HH582" t="str">
            <v>Length of Stay</v>
          </cell>
          <cell r="HI582" t="str">
            <v>1Q00</v>
          </cell>
          <cell r="HJ582" t="str">
            <v>2Q00</v>
          </cell>
          <cell r="HK582" t="str">
            <v>3Q00</v>
          </cell>
          <cell r="HL582" t="str">
            <v>4Q00</v>
          </cell>
          <cell r="HM582" t="str">
            <v>1Q01</v>
          </cell>
          <cell r="HN582" t="str">
            <v>2Q01</v>
          </cell>
          <cell r="HO582" t="str">
            <v>3Q01</v>
          </cell>
          <cell r="HP582" t="str">
            <v>4Q01</v>
          </cell>
          <cell r="HQ582" t="str">
            <v>1Q02</v>
          </cell>
          <cell r="HR582" t="str">
            <v>2Q02</v>
          </cell>
          <cell r="HS582" t="str">
            <v>3Q02</v>
          </cell>
          <cell r="HT582" t="str">
            <v>4Q02</v>
          </cell>
          <cell r="HU582" t="str">
            <v>1Q03</v>
          </cell>
          <cell r="HV582" t="str">
            <v>2Q03</v>
          </cell>
          <cell r="HW582" t="str">
            <v>3Q03</v>
          </cell>
          <cell r="HX582" t="str">
            <v>4Q03</v>
          </cell>
          <cell r="HY582" t="str">
            <v>1Q04</v>
          </cell>
          <cell r="HZ582" t="str">
            <v>2Q04</v>
          </cell>
          <cell r="IA582" t="str">
            <v>3Q04</v>
          </cell>
          <cell r="IB582" t="str">
            <v>4Q04</v>
          </cell>
          <cell r="IC582" t="str">
            <v>1Q05</v>
          </cell>
          <cell r="ID582" t="str">
            <v>2Q05</v>
          </cell>
          <cell r="IE582" t="str">
            <v>3Q05</v>
          </cell>
          <cell r="IF582" t="str">
            <v>4Q05</v>
          </cell>
          <cell r="IG582" t="str">
            <v>1Q06</v>
          </cell>
          <cell r="IH582" t="str">
            <v>2Q06</v>
          </cell>
        </row>
        <row r="583">
          <cell r="HH583" t="str">
            <v>Avg Days Stayed for All Guests (incl. day trippers)</v>
          </cell>
          <cell r="HI583">
            <v>1.5232597975794282</v>
          </cell>
          <cell r="HJ583">
            <v>1.5132306225435557</v>
          </cell>
          <cell r="HK583">
            <v>1.500360645483001</v>
          </cell>
          <cell r="HL583">
            <v>1.517526692588324</v>
          </cell>
          <cell r="HM583">
            <v>1.4894279794424594</v>
          </cell>
          <cell r="HN583">
            <v>1.4860305442341841</v>
          </cell>
          <cell r="HO583">
            <v>1.4987913754352666</v>
          </cell>
          <cell r="HP583">
            <v>1.5150468461031128</v>
          </cell>
          <cell r="HQ583">
            <v>1.4957646062348318</v>
          </cell>
          <cell r="HR583">
            <v>1.4955896072035468</v>
          </cell>
          <cell r="HS583">
            <v>1.4758884166147859</v>
          </cell>
          <cell r="HT583">
            <v>1.4702494428907067</v>
          </cell>
          <cell r="HU583">
            <v>1.4437517054253473</v>
          </cell>
          <cell r="HV583">
            <v>1.4415942323304582</v>
          </cell>
          <cell r="HW583">
            <v>1.4531459649543277</v>
          </cell>
          <cell r="HX583">
            <v>1.4519682554838729</v>
          </cell>
          <cell r="HY583">
            <v>1.418854215453397</v>
          </cell>
          <cell r="HZ583">
            <v>1.4150729633364536</v>
          </cell>
          <cell r="IA583">
            <v>1.4096909023939745</v>
          </cell>
          <cell r="IB583">
            <v>1.3976647600426821</v>
          </cell>
          <cell r="IC583">
            <v>1.3753959751600955</v>
          </cell>
          <cell r="ID583">
            <v>1.3844091296130736</v>
          </cell>
          <cell r="IE583">
            <v>1.3939428261280047</v>
          </cell>
          <cell r="IF583">
            <v>1.4036516869864517</v>
          </cell>
          <cell r="IG583">
            <v>1.3711201231906343</v>
          </cell>
          <cell r="IH583">
            <v>1.3802034684958553</v>
          </cell>
        </row>
        <row r="584">
          <cell r="HH584" t="str">
            <v>Hotel Growth</v>
          </cell>
          <cell r="HM584">
            <v>-1.2441945886718098E-2</v>
          </cell>
          <cell r="HN584">
            <v>2.7061554212731265E-2</v>
          </cell>
          <cell r="HO584">
            <v>-3.3701750557322274E-3</v>
          </cell>
          <cell r="HP584">
            <v>0.10470101213935656</v>
          </cell>
          <cell r="HQ584">
            <v>0.13731068068273156</v>
          </cell>
          <cell r="HR584">
            <v>0.15090315605453997</v>
          </cell>
          <cell r="HS584">
            <v>0.13624545774560048</v>
          </cell>
          <cell r="HT584">
            <v>0.13677694050004363</v>
          </cell>
          <cell r="HU584">
            <v>5.7240848905610209E-2</v>
          </cell>
          <cell r="HV584">
            <v>-0.39573917412765258</v>
          </cell>
          <cell r="HW584">
            <v>7.4585268098362301E-2</v>
          </cell>
          <cell r="HX584">
            <v>0.11251047728524566</v>
          </cell>
          <cell r="HY584">
            <v>0.19121899174511303</v>
          </cell>
          <cell r="HZ584">
            <v>1.0530293846804946</v>
          </cell>
          <cell r="IA584">
            <v>0.19181468689026415</v>
          </cell>
          <cell r="IB584">
            <v>0.11070366870375925</v>
          </cell>
          <cell r="IC584">
            <v>9.6607620118582815E-4</v>
          </cell>
          <cell r="ID584">
            <v>3.0932597992245459E-2</v>
          </cell>
          <cell r="IE584">
            <v>3.8091102076267758E-2</v>
          </cell>
          <cell r="IF584">
            <v>9.1281904187868301E-2</v>
          </cell>
          <cell r="IG584">
            <v>0.17274644968885666</v>
          </cell>
          <cell r="IH584">
            <v>9.7458044368168517E-2</v>
          </cell>
        </row>
        <row r="585">
          <cell r="HH585" t="str">
            <v>Other Overnight Growth</v>
          </cell>
          <cell r="HM585">
            <v>0.16388574878408679</v>
          </cell>
          <cell r="HN585">
            <v>0.28666934151768264</v>
          </cell>
          <cell r="HO585">
            <v>0.25928857149868745</v>
          </cell>
          <cell r="HP585">
            <v>0.20258409912169895</v>
          </cell>
          <cell r="HQ585">
            <v>8.7928301297573563E-2</v>
          </cell>
          <cell r="HR585">
            <v>0.15351562816390318</v>
          </cell>
          <cell r="HS585">
            <v>8.3255789027521399E-2</v>
          </cell>
          <cell r="HT585">
            <v>0.11466103373159919</v>
          </cell>
          <cell r="HU585">
            <v>3.1272235446083485E-2</v>
          </cell>
          <cell r="HV585">
            <v>-0.26603307903227502</v>
          </cell>
          <cell r="HW585">
            <v>1.3559825138971249E-2</v>
          </cell>
          <cell r="HX585">
            <v>5.2634134786213149E-2</v>
          </cell>
          <cell r="HY585">
            <v>0.15535607717148014</v>
          </cell>
          <cell r="HZ585">
            <v>0.60925995018926193</v>
          </cell>
          <cell r="IA585">
            <v>0.33951780017127908</v>
          </cell>
          <cell r="IB585">
            <v>0.31746103186649877</v>
          </cell>
          <cell r="IC585">
            <v>0.22435869297805988</v>
          </cell>
          <cell r="ID585">
            <v>0.11451858046183072</v>
          </cell>
          <cell r="IE585">
            <v>6.5049510936132204E-2</v>
          </cell>
          <cell r="IF585">
            <v>9.5472717505395766E-2</v>
          </cell>
          <cell r="IG585">
            <v>0.19002186957794054</v>
          </cell>
          <cell r="IH585">
            <v>0.25174776062613602</v>
          </cell>
        </row>
        <row r="586">
          <cell r="HH586" t="str">
            <v>Day Tripper Growth</v>
          </cell>
          <cell r="HM586">
            <v>0.20238201631979824</v>
          </cell>
          <cell r="HN586">
            <v>0.1923480105789992</v>
          </cell>
          <cell r="HO586">
            <v>4.3569990497791977E-2</v>
          </cell>
          <cell r="HP586">
            <v>5.9416410497094008E-2</v>
          </cell>
          <cell r="HQ586">
            <v>6.2374512397751714E-2</v>
          </cell>
          <cell r="HR586">
            <v>2.7644678967424285E-2</v>
          </cell>
          <cell r="HS586">
            <v>0.1373628290489306</v>
          </cell>
          <cell r="HT586">
            <v>0.25114406222742636</v>
          </cell>
          <cell r="HU586">
            <v>0.22638110647930443</v>
          </cell>
          <cell r="HV586">
            <v>-0.16694728573624085</v>
          </cell>
          <cell r="HW586">
            <v>0.17999289908339899</v>
          </cell>
          <cell r="HX586">
            <v>0.23424837062242521</v>
          </cell>
          <cell r="HY586">
            <v>0.34536351602832815</v>
          </cell>
          <cell r="HZ586">
            <v>1.0588507801674303</v>
          </cell>
          <cell r="IA586">
            <v>0.42821576601693034</v>
          </cell>
          <cell r="IB586">
            <v>0.35680555291025429</v>
          </cell>
          <cell r="IC586">
            <v>0.26028507553616032</v>
          </cell>
          <cell r="ID586">
            <v>0.16797076457738869</v>
          </cell>
          <cell r="IE586">
            <v>0.12620472155751417</v>
          </cell>
          <cell r="IF586">
            <v>0.10892359955027331</v>
          </cell>
          <cell r="IG586">
            <v>0.17289186645257759</v>
          </cell>
          <cell r="IH586">
            <v>0.13979366767325252</v>
          </cell>
        </row>
        <row r="587">
          <cell r="HH587" t="str">
            <v>Total Visitor Growth</v>
          </cell>
          <cell r="HM587">
            <v>0.12745620280112724</v>
          </cell>
          <cell r="HN587">
            <v>0.16745810202552347</v>
          </cell>
          <cell r="HO587">
            <v>8.667080997335419E-2</v>
          </cell>
          <cell r="HP587">
            <v>0.11122380772722673</v>
          </cell>
          <cell r="HQ587">
            <v>8.9629698477262432E-2</v>
          </cell>
          <cell r="HR587">
            <v>9.6712847431374316E-2</v>
          </cell>
          <cell r="HS587">
            <v>0.12054339725921448</v>
          </cell>
          <cell r="HT587">
            <v>0.17851181052007359</v>
          </cell>
          <cell r="HU587">
            <v>0.12070404582800065</v>
          </cell>
          <cell r="HV587">
            <v>-0.26064079820876662</v>
          </cell>
          <cell r="HW587">
            <v>0.10219007896948074</v>
          </cell>
          <cell r="HX587">
            <v>0.15038431990570578</v>
          </cell>
          <cell r="HY587">
            <v>0.25232450267677087</v>
          </cell>
          <cell r="HZ587">
            <v>0.92151410008234169</v>
          </cell>
          <cell r="IA587">
            <v>0.34143199828257265</v>
          </cell>
          <cell r="IB587">
            <v>0.28144160225548021</v>
          </cell>
          <cell r="IC587">
            <v>0.18808075923770207</v>
          </cell>
          <cell r="ID587">
            <v>0.12121737021704093</v>
          </cell>
          <cell r="IE587">
            <v>8.8863036608460177E-2</v>
          </cell>
          <cell r="IF587">
            <v>0.10134852802366923</v>
          </cell>
          <cell r="IG587">
            <v>0.17747186349988842</v>
          </cell>
          <cell r="IH587">
            <v>0.15855648779605325</v>
          </cell>
        </row>
        <row r="589">
          <cell r="HH589" t="str">
            <v>Hotel Share</v>
          </cell>
          <cell r="HM589">
            <v>0.25865829189566431</v>
          </cell>
          <cell r="HN589">
            <v>0.26446206319280924</v>
          </cell>
          <cell r="HO589">
            <v>0.26832136179529936</v>
          </cell>
          <cell r="HP589">
            <v>0.28473769580038094</v>
          </cell>
          <cell r="HQ589">
            <v>0.26997689070993075</v>
          </cell>
          <cell r="HR589">
            <v>0.2775295501444785</v>
          </cell>
          <cell r="HS589">
            <v>0.27208132170671778</v>
          </cell>
          <cell r="HT589">
            <v>0.27465422390136995</v>
          </cell>
          <cell r="HU589">
            <v>0.25468864699973659</v>
          </cell>
          <cell r="HV589">
            <v>0.22681835130745517</v>
          </cell>
          <cell r="HW589">
            <v>0.26526693136644158</v>
          </cell>
          <cell r="HX589">
            <v>0.26561184504493895</v>
          </cell>
          <cell r="HY589">
            <v>0.24226145271411273</v>
          </cell>
          <cell r="HZ589">
            <v>0.24234260898685783</v>
          </cell>
          <cell r="IA589">
            <v>0.23568024704465115</v>
          </cell>
          <cell r="IB589">
            <v>0.230222001707551</v>
          </cell>
          <cell r="IC589">
            <v>0.20410691264256714</v>
          </cell>
          <cell r="ID589">
            <v>0.22282824198369078</v>
          </cell>
          <cell r="IE589">
            <v>0.22469085566008098</v>
          </cell>
          <cell r="IF589">
            <v>0.22811771025852728</v>
          </cell>
          <cell r="IG589">
            <v>0.20328779360131768</v>
          </cell>
          <cell r="IH589">
            <v>0.21107701631589909</v>
          </cell>
        </row>
        <row r="590">
          <cell r="HH590" t="str">
            <v>Other Overnight Share</v>
          </cell>
          <cell r="HM590">
            <v>0.30806878856882897</v>
          </cell>
          <cell r="HN590">
            <v>0.28974896543092055</v>
          </cell>
          <cell r="HO590">
            <v>0.30531363743866102</v>
          </cell>
          <cell r="HP590">
            <v>0.29357218573590715</v>
          </cell>
          <cell r="HQ590">
            <v>0.30758775600450583</v>
          </cell>
          <cell r="HR590">
            <v>0.30475612704975041</v>
          </cell>
          <cell r="HS590">
            <v>0.29515391017735942</v>
          </cell>
          <cell r="HT590">
            <v>0.27766669209944039</v>
          </cell>
          <cell r="HU590">
            <v>0.2830423553046531</v>
          </cell>
          <cell r="HV590">
            <v>0.30253348531383129</v>
          </cell>
          <cell r="HW590">
            <v>0.27141974083830561</v>
          </cell>
          <cell r="HX590">
            <v>0.25407286342446139</v>
          </cell>
          <cell r="HY590">
            <v>0.26112617344720584</v>
          </cell>
          <cell r="HZ590">
            <v>0.25337051728418591</v>
          </cell>
          <cell r="IA590">
            <v>0.27103242999739408</v>
          </cell>
          <cell r="IB590">
            <v>0.26121447612384585</v>
          </cell>
          <cell r="IC590">
            <v>0.26909963648373297</v>
          </cell>
          <cell r="ID590">
            <v>0.25185673782398449</v>
          </cell>
          <cell r="IE590">
            <v>0.26510492808688779</v>
          </cell>
          <cell r="IF590">
            <v>0.25982086935243809</v>
          </cell>
          <cell r="IG590">
            <v>0.27196781718355384</v>
          </cell>
          <cell r="IH590">
            <v>0.27211543924759718</v>
          </cell>
        </row>
        <row r="591">
          <cell r="HH591" t="str">
            <v>Day Tripper Share</v>
          </cell>
          <cell r="HM591">
            <v>0.56672708046449327</v>
          </cell>
          <cell r="HN591">
            <v>0.55421102862372984</v>
          </cell>
          <cell r="HO591">
            <v>0.57363499923396033</v>
          </cell>
          <cell r="HP591">
            <v>0.57830988153628815</v>
          </cell>
          <cell r="HQ591">
            <v>0.57756464671443664</v>
          </cell>
          <cell r="HR591">
            <v>0.58228567719422886</v>
          </cell>
          <cell r="HS591">
            <v>0.56723523188407721</v>
          </cell>
          <cell r="HT591">
            <v>0.55232091600081035</v>
          </cell>
          <cell r="HU591">
            <v>0.53773100230438975</v>
          </cell>
          <cell r="HV591">
            <v>0.52935183662128638</v>
          </cell>
          <cell r="HW591">
            <v>0.53668667220474719</v>
          </cell>
          <cell r="HX591">
            <v>0.5196847084694004</v>
          </cell>
          <cell r="HY591">
            <v>0.5033876261613186</v>
          </cell>
          <cell r="HZ591">
            <v>0.49571312627104375</v>
          </cell>
          <cell r="IA591">
            <v>0.50671267704204526</v>
          </cell>
          <cell r="IB591">
            <v>0.49143647783139688</v>
          </cell>
          <cell r="IC591">
            <v>0.47320654912630011</v>
          </cell>
          <cell r="ID591">
            <v>0.47468497980767527</v>
          </cell>
          <cell r="IE591">
            <v>0.48979578374696875</v>
          </cell>
          <cell r="IF591">
            <v>0.48793857961096537</v>
          </cell>
          <cell r="IG591">
            <v>0.4752556107848715</v>
          </cell>
          <cell r="IH591">
            <v>0.48319245556349627</v>
          </cell>
        </row>
        <row r="593">
          <cell r="HH593" t="str">
            <v>Quarter</v>
          </cell>
          <cell r="HI593">
            <v>1</v>
          </cell>
          <cell r="HJ593">
            <v>2</v>
          </cell>
          <cell r="HK593">
            <v>3</v>
          </cell>
          <cell r="HL593">
            <v>4</v>
          </cell>
          <cell r="HM593">
            <v>1</v>
          </cell>
          <cell r="HN593">
            <v>2</v>
          </cell>
          <cell r="HO593">
            <v>3</v>
          </cell>
          <cell r="HP593">
            <v>4</v>
          </cell>
          <cell r="HQ593">
            <v>1</v>
          </cell>
          <cell r="HR593">
            <v>2</v>
          </cell>
          <cell r="HS593">
            <v>3</v>
          </cell>
          <cell r="HT593">
            <v>4</v>
          </cell>
          <cell r="HU593">
            <v>1</v>
          </cell>
          <cell r="HV593">
            <v>2</v>
          </cell>
          <cell r="HW593">
            <v>3</v>
          </cell>
          <cell r="HX593">
            <v>4</v>
          </cell>
          <cell r="HY593">
            <v>1</v>
          </cell>
          <cell r="HZ593">
            <v>2</v>
          </cell>
          <cell r="IA593">
            <v>3</v>
          </cell>
          <cell r="IB593">
            <v>4</v>
          </cell>
          <cell r="IC593">
            <v>1</v>
          </cell>
          <cell r="ID593">
            <v>2</v>
          </cell>
          <cell r="IE593">
            <v>3</v>
          </cell>
          <cell r="IF593">
            <v>4</v>
          </cell>
          <cell r="IG593">
            <v>1</v>
          </cell>
          <cell r="IH593">
            <v>2</v>
          </cell>
        </row>
        <row r="595">
          <cell r="HJ595" t="str">
            <v>CORR</v>
          </cell>
          <cell r="HK595" t="str">
            <v>Hotel</v>
          </cell>
          <cell r="HL595" t="str">
            <v>Other</v>
          </cell>
          <cell r="HM595" t="str">
            <v>Day Tripper</v>
          </cell>
          <cell r="HO595" t="str">
            <v>Total Avg</v>
          </cell>
          <cell r="HP595" t="str">
            <v>Seasonality</v>
          </cell>
          <cell r="HQ595">
            <v>1</v>
          </cell>
          <cell r="HR595">
            <v>2</v>
          </cell>
          <cell r="HS595">
            <v>3</v>
          </cell>
          <cell r="HT595">
            <v>4</v>
          </cell>
          <cell r="HV595" t="str">
            <v>none are statistically significant from 0</v>
          </cell>
        </row>
        <row r="596">
          <cell r="HJ596" t="str">
            <v>Hotel</v>
          </cell>
          <cell r="HK596">
            <v>0.99999999999999989</v>
          </cell>
          <cell r="HO596">
            <v>0.24839738087926574</v>
          </cell>
          <cell r="HP596" t="str">
            <v>Hotel Share</v>
          </cell>
          <cell r="HQ596">
            <v>-9.5673827853774984E-3</v>
          </cell>
          <cell r="HR596">
            <v>-1.6012177562074181E-3</v>
          </cell>
          <cell r="HS596">
            <v>4.8107626353724176E-3</v>
          </cell>
          <cell r="HT596">
            <v>8.2713144632878544E-3</v>
          </cell>
        </row>
        <row r="597">
          <cell r="HJ597" t="str">
            <v>Other</v>
          </cell>
          <cell r="HK597">
            <v>0.78307741260457886</v>
          </cell>
          <cell r="HL597">
            <v>0.99999999999999989</v>
          </cell>
          <cell r="HO597">
            <v>0.27893000443665972</v>
          </cell>
          <cell r="HP597" t="str">
            <v>Other Share</v>
          </cell>
          <cell r="HQ597">
            <v>4.5520833954204032E-3</v>
          </cell>
          <cell r="HR597">
            <v>1.5231621438748233E-3</v>
          </cell>
          <cell r="HS597">
            <v>2.6749248710618567E-3</v>
          </cell>
          <cell r="HT597">
            <v>-9.6605870894411749E-3</v>
          </cell>
        </row>
        <row r="598">
          <cell r="HJ598" t="str">
            <v>Day Tripper</v>
          </cell>
          <cell r="HK598">
            <v>0.89410661997004615</v>
          </cell>
          <cell r="HL598">
            <v>0.79115021612132541</v>
          </cell>
          <cell r="HM598">
            <v>1</v>
          </cell>
          <cell r="HO598">
            <v>0.52732738531592538</v>
          </cell>
          <cell r="HP598" t="str">
            <v>Day Share</v>
          </cell>
          <cell r="HQ598">
            <v>-5.0152993899570397E-3</v>
          </cell>
          <cell r="HR598">
            <v>-7.8055612332539326E-5</v>
          </cell>
          <cell r="HS598">
            <v>7.485687506434302E-3</v>
          </cell>
          <cell r="HT598">
            <v>-1.3892726261531818E-3</v>
          </cell>
        </row>
        <row r="599">
          <cell r="HJ599" t="str">
            <v>Total</v>
          </cell>
          <cell r="HK599">
            <v>0.95178004247969206</v>
          </cell>
          <cell r="HL599">
            <v>0.88069548427840649</v>
          </cell>
          <cell r="HM599">
            <v>0.97396907415496647</v>
          </cell>
          <cell r="HO599">
            <v>1.4536571726740792</v>
          </cell>
          <cell r="HP599" t="str">
            <v>Days Stayed</v>
          </cell>
          <cell r="HQ599">
            <v>-8.2894008903373617E-3</v>
          </cell>
          <cell r="HR599">
            <v>2.3306772027993361E-3</v>
          </cell>
          <cell r="HS599">
            <v>1.6461824941471637E-3</v>
          </cell>
          <cell r="HT599">
            <v>5.6941080084458306E-3</v>
          </cell>
        </row>
      </sheetData>
      <sheetData sheetId="12"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row>
        <row r="3">
          <cell r="B3" t="str">
            <v>Occupancy</v>
          </cell>
          <cell r="C3">
            <v>0.54488524984387665</v>
          </cell>
          <cell r="D3">
            <v>0.56857131157548613</v>
          </cell>
          <cell r="E3">
            <v>0.60272981654378599</v>
          </cell>
          <cell r="F3">
            <v>0.58658794292937144</v>
          </cell>
          <cell r="G3">
            <v>0.55606307283241474</v>
          </cell>
          <cell r="H3">
            <v>0.59575597146118309</v>
          </cell>
          <cell r="I3">
            <v>0.63266172123134856</v>
          </cell>
          <cell r="J3">
            <v>0.64147226224862008</v>
          </cell>
          <cell r="K3">
            <v>0.62039213501105894</v>
          </cell>
          <cell r="L3">
            <v>0.66436800407143515</v>
          </cell>
          <cell r="M3">
            <v>0.69655375011736109</v>
          </cell>
          <cell r="N3">
            <v>0.70357624717407674</v>
          </cell>
          <cell r="O3">
            <v>0.65081805181156627</v>
          </cell>
          <cell r="P3">
            <v>0.42114635430201353</v>
          </cell>
          <cell r="Q3">
            <v>0.73179237407935516</v>
          </cell>
          <cell r="R3">
            <v>0.76343145665259871</v>
          </cell>
          <cell r="S3">
            <v>0.69876780482057055</v>
          </cell>
          <cell r="T3">
            <v>0.7430798428550015</v>
          </cell>
          <cell r="U3">
            <v>0.78663331340738429</v>
          </cell>
          <cell r="V3">
            <v>0.79345733116261807</v>
          </cell>
          <cell r="W3">
            <v>0.65672049831872303</v>
          </cell>
          <cell r="X3">
            <v>0.67234752552369925</v>
          </cell>
          <cell r="Y3">
            <v>0.7227681795753228</v>
          </cell>
          <cell r="Z3">
            <v>0.77966560703183452</v>
          </cell>
          <cell r="AA3">
            <v>0.70592520103515133</v>
          </cell>
        </row>
        <row r="4">
          <cell r="B4" t="str">
            <v>ADR</v>
          </cell>
          <cell r="C4">
            <v>47.749307373616297</v>
          </cell>
          <cell r="D4">
            <v>48.335675406915442</v>
          </cell>
          <cell r="E4">
            <v>50.783381206347201</v>
          </cell>
          <cell r="F4">
            <v>52.389399776054503</v>
          </cell>
          <cell r="G4">
            <v>52.939835851369047</v>
          </cell>
          <cell r="H4">
            <v>52.500572441544328</v>
          </cell>
          <cell r="I4">
            <v>51.403055409518565</v>
          </cell>
          <cell r="J4">
            <v>50.483305164764261</v>
          </cell>
          <cell r="K4">
            <v>50.648412514415647</v>
          </cell>
          <cell r="L4">
            <v>47.973118895419333</v>
          </cell>
          <cell r="M4">
            <v>47.510847858151898</v>
          </cell>
          <cell r="N4">
            <v>48.547335694693956</v>
          </cell>
          <cell r="O4">
            <v>50.261874235043663</v>
          </cell>
          <cell r="P4">
            <v>45.919385013897511</v>
          </cell>
          <cell r="Q4">
            <v>51.695933513572228</v>
          </cell>
          <cell r="R4">
            <v>56.788558904483885</v>
          </cell>
          <cell r="S4">
            <v>58.592998889701121</v>
          </cell>
          <cell r="T4">
            <v>58.382028402147647</v>
          </cell>
          <cell r="U4">
            <v>59.527013301190301</v>
          </cell>
          <cell r="V4">
            <v>67.196477919640145</v>
          </cell>
          <cell r="W4">
            <v>66.973341949573197</v>
          </cell>
          <cell r="X4">
            <v>61.907683767053449</v>
          </cell>
          <cell r="Y4">
            <v>65.256919906916337</v>
          </cell>
          <cell r="Z4">
            <v>72.182763832568668</v>
          </cell>
          <cell r="AA4">
            <v>72.292429237858357</v>
          </cell>
        </row>
        <row r="26">
          <cell r="AB26" t="str">
            <v>New vs Old</v>
          </cell>
        </row>
        <row r="27">
          <cell r="AC27">
            <v>2005</v>
          </cell>
          <cell r="AD27" t="str">
            <v>2006E</v>
          </cell>
          <cell r="AE27" t="str">
            <v>2007E</v>
          </cell>
          <cell r="AF27" t="str">
            <v>2008E</v>
          </cell>
          <cell r="AG27" t="str">
            <v>2009E</v>
          </cell>
          <cell r="AH27" t="str">
            <v>2010E</v>
          </cell>
        </row>
        <row r="28">
          <cell r="AB28" t="str">
            <v>New</v>
          </cell>
        </row>
        <row r="29">
          <cell r="AB29" t="str">
            <v>Visitation</v>
          </cell>
          <cell r="AC29">
            <v>18.711186999999999</v>
          </cell>
          <cell r="AD29">
            <v>21.998122000000002</v>
          </cell>
          <cell r="AE29">
            <v>26.853211459144823</v>
          </cell>
          <cell r="AF29">
            <v>31.112956369452657</v>
          </cell>
          <cell r="AG29">
            <v>35.938386716715485</v>
          </cell>
          <cell r="AH29">
            <v>41.464358695646425</v>
          </cell>
        </row>
        <row r="30">
          <cell r="AB30" t="str">
            <v>Win per Mass Visitor</v>
          </cell>
          <cell r="AC30">
            <v>111.44221269958217</v>
          </cell>
          <cell r="AD30">
            <v>109.56058503486751</v>
          </cell>
          <cell r="AE30">
            <v>117.91681169731642</v>
          </cell>
          <cell r="AF30">
            <v>128.14735361515733</v>
          </cell>
          <cell r="AG30">
            <v>143.23197396120545</v>
          </cell>
          <cell r="AH30">
            <v>152.8036252338226</v>
          </cell>
        </row>
        <row r="31">
          <cell r="AB31" t="str">
            <v>Mass Revenue</v>
          </cell>
          <cell r="AC31">
            <v>2085.2160815156567</v>
          </cell>
          <cell r="AD31">
            <v>2410.12711598839</v>
          </cell>
          <cell r="AE31">
            <v>3166.4450790961996</v>
          </cell>
          <cell r="AF31">
            <v>3987.0430218892116</v>
          </cell>
          <cell r="AG31">
            <v>5147.5260704163238</v>
          </cell>
          <cell r="AH31">
            <v>6335.90432669035</v>
          </cell>
          <cell r="AI31">
            <v>0.48972885544362743</v>
          </cell>
        </row>
        <row r="32">
          <cell r="AB32" t="str">
            <v>VIP Revenue</v>
          </cell>
          <cell r="AC32">
            <v>3497.8356344037484</v>
          </cell>
          <cell r="AD32">
            <v>4462.2919091703079</v>
          </cell>
          <cell r="AE32">
            <v>5544.8648697270928</v>
          </cell>
          <cell r="AF32">
            <v>5988.4540593052607</v>
          </cell>
          <cell r="AG32">
            <v>6347.7613028635769</v>
          </cell>
          <cell r="AH32">
            <v>6601.6717549781206</v>
          </cell>
          <cell r="AJ32">
            <v>531.90432669034999</v>
          </cell>
          <cell r="AK32">
            <v>1053.5760816684706</v>
          </cell>
        </row>
        <row r="33">
          <cell r="AC33">
            <v>1.1730759231534966</v>
          </cell>
          <cell r="AD33">
            <v>1.0741233826947796</v>
          </cell>
          <cell r="AE33">
            <v>1.0078359974129609</v>
          </cell>
          <cell r="AF33">
            <v>0.95632353444147256</v>
          </cell>
          <cell r="AG33">
            <v>0.99466648584170458</v>
          </cell>
          <cell r="AH33">
            <v>1.0119445379723351</v>
          </cell>
          <cell r="AJ33">
            <v>521.67175497812059</v>
          </cell>
        </row>
        <row r="34">
          <cell r="AB34" t="str">
            <v>Old - just before 7/2006</v>
          </cell>
          <cell r="AH34">
            <v>0.48972885544362743</v>
          </cell>
        </row>
        <row r="35">
          <cell r="AB35" t="str">
            <v>Visitation</v>
          </cell>
          <cell r="AC35">
            <v>18.711186999999999</v>
          </cell>
          <cell r="AD35">
            <v>21.632217972379454</v>
          </cell>
          <cell r="AE35">
            <v>24.640252608957702</v>
          </cell>
          <cell r="AF35">
            <v>28.319635388651172</v>
          </cell>
          <cell r="AG35">
            <v>32.205298519054921</v>
          </cell>
          <cell r="AH35">
            <v>36.33204378008724</v>
          </cell>
        </row>
        <row r="36">
          <cell r="AB36" t="str">
            <v>Win per Mass Visitor</v>
          </cell>
          <cell r="AC36">
            <v>111.42495853909043</v>
          </cell>
          <cell r="AD36">
            <v>132.92823720522313</v>
          </cell>
          <cell r="AE36">
            <v>154.19675515805881</v>
          </cell>
          <cell r="AF36">
            <v>178.8682359833482</v>
          </cell>
          <cell r="AG36">
            <v>194.96637722184954</v>
          </cell>
          <cell r="AH36">
            <v>212.51335117181603</v>
          </cell>
        </row>
        <row r="37">
          <cell r="AB37" t="str">
            <v>Mass Revenue</v>
          </cell>
          <cell r="AC37">
            <v>2084.8932356921678</v>
          </cell>
          <cell r="AD37">
            <v>2875.5326019075469</v>
          </cell>
          <cell r="AE37">
            <v>3799.4469985761707</v>
          </cell>
          <cell r="AF37">
            <v>5065.4832256596364</v>
          </cell>
          <cell r="AG37">
            <v>6278.9503796083345</v>
          </cell>
          <cell r="AH37">
            <v>7721.0443786274736</v>
          </cell>
          <cell r="AI37">
            <v>0.6060985360576765</v>
          </cell>
        </row>
        <row r="38">
          <cell r="AB38" t="str">
            <v>VIP Revenue</v>
          </cell>
          <cell r="AC38">
            <v>3497.3427297378967</v>
          </cell>
          <cell r="AD38">
            <v>3655.7088883012116</v>
          </cell>
          <cell r="AE38">
            <v>4021.279777131333</v>
          </cell>
          <cell r="AF38">
            <v>4383.1949570731531</v>
          </cell>
          <cell r="AG38">
            <v>4733.8505536390057</v>
          </cell>
          <cell r="AH38">
            <v>5017.8815868573465</v>
          </cell>
        </row>
        <row r="40">
          <cell r="AB40" t="str">
            <v>Old - 7/11/2005</v>
          </cell>
        </row>
        <row r="41">
          <cell r="AB41" t="str">
            <v>Visitation</v>
          </cell>
          <cell r="AC41">
            <v>19.8</v>
          </cell>
          <cell r="AD41">
            <v>22.5</v>
          </cell>
          <cell r="AE41">
            <v>25.9</v>
          </cell>
          <cell r="AF41">
            <v>30.1</v>
          </cell>
          <cell r="AG41">
            <v>34.200000000000003</v>
          </cell>
          <cell r="AH41">
            <v>38.5</v>
          </cell>
        </row>
        <row r="42">
          <cell r="AB42" t="str">
            <v>Win per Mass Visitor</v>
          </cell>
          <cell r="AC42">
            <v>95</v>
          </cell>
          <cell r="AD42">
            <v>102</v>
          </cell>
          <cell r="AE42">
            <v>117</v>
          </cell>
          <cell r="AF42">
            <v>134</v>
          </cell>
          <cell r="AG42">
            <v>144</v>
          </cell>
          <cell r="AH42">
            <v>151</v>
          </cell>
        </row>
        <row r="43">
          <cell r="AB43" t="str">
            <v>Mass Revenue</v>
          </cell>
          <cell r="AC43">
            <v>1881</v>
          </cell>
          <cell r="AD43">
            <v>2281</v>
          </cell>
          <cell r="AE43">
            <v>3028</v>
          </cell>
          <cell r="AF43">
            <v>4042</v>
          </cell>
          <cell r="AG43">
            <v>4920</v>
          </cell>
          <cell r="AH43">
            <v>5804</v>
          </cell>
          <cell r="AI43">
            <v>0.4883877482329182</v>
          </cell>
        </row>
        <row r="44">
          <cell r="AB44" t="str">
            <v>VIP Revenue</v>
          </cell>
          <cell r="AC44">
            <v>3955</v>
          </cell>
          <cell r="AD44">
            <v>4430</v>
          </cell>
          <cell r="AE44">
            <v>4873</v>
          </cell>
          <cell r="AF44">
            <v>5311</v>
          </cell>
          <cell r="AG44">
            <v>5736</v>
          </cell>
          <cell r="AH44">
            <v>6080</v>
          </cell>
        </row>
        <row r="45">
          <cell r="AH45">
            <v>0.4883877482329182</v>
          </cell>
        </row>
        <row r="118">
          <cell r="AK118" t="str">
            <v>Days Stayed</v>
          </cell>
          <cell r="AL118">
            <v>2005</v>
          </cell>
          <cell r="AM118" t="str">
            <v>2006E</v>
          </cell>
          <cell r="AN118" t="str">
            <v>2007E</v>
          </cell>
          <cell r="AO118" t="str">
            <v>2008E</v>
          </cell>
          <cell r="AP118" t="str">
            <v>2009E</v>
          </cell>
          <cell r="AQ118" t="str">
            <v>2010E</v>
          </cell>
        </row>
        <row r="119">
          <cell r="AK119" t="str">
            <v>Hotel Guests</v>
          </cell>
          <cell r="AL119">
            <v>2.1758333333333333</v>
          </cell>
          <cell r="AM119">
            <v>2.17</v>
          </cell>
          <cell r="AN119">
            <v>2.2749478692713261</v>
          </cell>
          <cell r="AO119">
            <v>2.439017908256258</v>
          </cell>
          <cell r="AP119">
            <v>2.8461329551184145</v>
          </cell>
          <cell r="AQ119">
            <v>3.1697667219533114</v>
          </cell>
        </row>
        <row r="120">
          <cell r="AK120" t="str">
            <v>Other Overnight</v>
          </cell>
          <cell r="AL120">
            <v>1.5</v>
          </cell>
          <cell r="AM120">
            <v>1.5</v>
          </cell>
          <cell r="AN120">
            <v>1.5</v>
          </cell>
          <cell r="AO120">
            <v>1.5</v>
          </cell>
          <cell r="AP120">
            <v>1.5</v>
          </cell>
          <cell r="AQ120">
            <v>1.5</v>
          </cell>
        </row>
        <row r="121">
          <cell r="AK121" t="str">
            <v>Day Trippers</v>
          </cell>
          <cell r="AL121">
            <v>1</v>
          </cell>
          <cell r="AM121">
            <v>1</v>
          </cell>
          <cell r="AN121">
            <v>1</v>
          </cell>
          <cell r="AO121">
            <v>1</v>
          </cell>
          <cell r="AP121">
            <v>1</v>
          </cell>
          <cell r="AQ121">
            <v>1</v>
          </cell>
        </row>
        <row r="122">
          <cell r="AK122" t="str">
            <v>Overall</v>
          </cell>
          <cell r="AL122">
            <v>1.3898108575367241</v>
          </cell>
          <cell r="AM122">
            <v>1.3857101947157124</v>
          </cell>
          <cell r="AN122">
            <v>1.409808216231297</v>
          </cell>
          <cell r="AO122">
            <v>1.4591658339019791</v>
          </cell>
          <cell r="AP122">
            <v>1.5834259669277251</v>
          </cell>
          <cell r="AQ122">
            <v>1.6892403375063489</v>
          </cell>
        </row>
        <row r="145">
          <cell r="AU145" t="str">
            <v>Win per Visitor</v>
          </cell>
          <cell r="AV145">
            <v>2003</v>
          </cell>
          <cell r="AW145">
            <v>2004</v>
          </cell>
          <cell r="AX145">
            <v>2005</v>
          </cell>
          <cell r="AY145" t="str">
            <v>2006E</v>
          </cell>
          <cell r="AZ145" t="str">
            <v>2007E</v>
          </cell>
          <cell r="BA145" t="str">
            <v>2008E</v>
          </cell>
          <cell r="BB145" t="str">
            <v>2009E</v>
          </cell>
          <cell r="BC145" t="str">
            <v>2010E</v>
          </cell>
        </row>
        <row r="146">
          <cell r="AU146" t="str">
            <v>Revenue</v>
          </cell>
        </row>
        <row r="147">
          <cell r="AU147" t="str">
            <v>Total Win/Visitor/Day</v>
          </cell>
          <cell r="AV147">
            <v>201.99492775148218</v>
          </cell>
          <cell r="AW147">
            <v>213.25454479961729</v>
          </cell>
          <cell r="AX147">
            <v>214.69138190801422</v>
          </cell>
          <cell r="AY147">
            <v>225.4507129639166</v>
          </cell>
          <cell r="AZ147">
            <v>230.10560483419101</v>
          </cell>
          <cell r="BA147">
            <v>219.72962460523692</v>
          </cell>
          <cell r="BB147">
            <v>202.00563873280637</v>
          </cell>
          <cell r="BC147">
            <v>184.70834649115616</v>
          </cell>
        </row>
        <row r="148">
          <cell r="AU148" t="str">
            <v>Mass Win/Visitor/Day</v>
          </cell>
          <cell r="AV148">
            <v>45.835413736513246</v>
          </cell>
          <cell r="AW148">
            <v>59.798060816914834</v>
          </cell>
          <cell r="AX148">
            <v>80.18516483394032</v>
          </cell>
          <cell r="AY148">
            <v>79.064573135614836</v>
          </cell>
          <cell r="AZ148">
            <v>83.640320959777029</v>
          </cell>
          <cell r="BA148">
            <v>87.822337007765881</v>
          </cell>
          <cell r="BB148">
            <v>90.457007117998856</v>
          </cell>
          <cell r="BC148">
            <v>90.457007117998856</v>
          </cell>
        </row>
        <row r="149">
          <cell r="AU149" t="str">
            <v>Total Win/Visitor/Trip</v>
          </cell>
          <cell r="AV149">
            <v>292.57303766303806</v>
          </cell>
          <cell r="AW149">
            <v>300.64740025553272</v>
          </cell>
          <cell r="AX149">
            <v>298.38041359532156</v>
          </cell>
          <cell r="AY149">
            <v>312.40935136002508</v>
          </cell>
          <cell r="AZ149">
            <v>324.40477229611457</v>
          </cell>
          <cell r="BA149">
            <v>320.62196092006934</v>
          </cell>
          <cell r="BB149">
            <v>319.86097383534667</v>
          </cell>
          <cell r="BC149">
            <v>312.01678956696031</v>
          </cell>
        </row>
        <row r="150">
          <cell r="AU150" t="str">
            <v>Mass Win/Visitor/Trip</v>
          </cell>
          <cell r="AV150">
            <v>66.388826584460716</v>
          </cell>
          <cell r="AW150">
            <v>84.303626644021449</v>
          </cell>
          <cell r="AX150">
            <v>111.44221269958217</v>
          </cell>
          <cell r="AY150">
            <v>109.56058503486751</v>
          </cell>
          <cell r="AZ150">
            <v>117.91681169731642</v>
          </cell>
          <cell r="BA150">
            <v>128.14735361515733</v>
          </cell>
          <cell r="BB150">
            <v>143.23197396120545</v>
          </cell>
          <cell r="BC150">
            <v>152.8036252338226</v>
          </cell>
        </row>
        <row r="152">
          <cell r="AU152" t="str">
            <v>Growth</v>
          </cell>
        </row>
        <row r="153">
          <cell r="AU153" t="str">
            <v>Mass Win/Visitor/Day</v>
          </cell>
          <cell r="AV153">
            <v>0.10350118198328628</v>
          </cell>
          <cell r="AW153">
            <v>0.30462574551342403</v>
          </cell>
          <cell r="AX153">
            <v>0.34093252755210868</v>
          </cell>
          <cell r="AY153">
            <v>-1.3975050131108113E-2</v>
          </cell>
          <cell r="AZ153">
            <v>5.7873553763626573E-2</v>
          </cell>
          <cell r="BA153">
            <v>0.05</v>
          </cell>
          <cell r="BB153">
            <v>0.03</v>
          </cell>
          <cell r="BC153">
            <v>0</v>
          </cell>
        </row>
        <row r="154">
          <cell r="AU154" t="str">
            <v>Total Win/Visitor/Day</v>
          </cell>
          <cell r="AV154">
            <v>0.28263461222068931</v>
          </cell>
          <cell r="AW154">
            <v>5.5742078147566154E-2</v>
          </cell>
          <cell r="AX154">
            <v>6.7376623074881792E-3</v>
          </cell>
          <cell r="AY154">
            <v>5.0115337468516818E-2</v>
          </cell>
          <cell r="AZ154">
            <v>2.064704878985868E-2</v>
          </cell>
          <cell r="BA154">
            <v>-4.5092253343549715E-2</v>
          </cell>
          <cell r="BB154">
            <v>-8.0662704923258333E-2</v>
          </cell>
          <cell r="BC154">
            <v>-8.562776935414862E-2</v>
          </cell>
        </row>
        <row r="155">
          <cell r="AU155" t="str">
            <v>Mass Win/Visitor/Trip</v>
          </cell>
          <cell r="AV155">
            <v>7.7187784642569257E-2</v>
          </cell>
          <cell r="AW155">
            <v>0.26984661397455634</v>
          </cell>
          <cell r="AX155">
            <v>0.32191481121156862</v>
          </cell>
          <cell r="AY155">
            <v>-1.6884335110852633E-2</v>
          </cell>
          <cell r="AZ155">
            <v>7.6270372778582285E-2</v>
          </cell>
          <cell r="BA155">
            <v>8.6760672804671257E-2</v>
          </cell>
          <cell r="BB155">
            <v>0.11771308513595335</v>
          </cell>
          <cell r="BC155">
            <v>6.6826219089947347E-2</v>
          </cell>
        </row>
        <row r="156">
          <cell r="AU156" t="str">
            <v>Total Win/Visitor/Trip</v>
          </cell>
          <cell r="AV156">
            <v>0.25204971141101273</v>
          </cell>
          <cell r="AW156">
            <v>2.7597767234430082E-2</v>
          </cell>
          <cell r="AX156">
            <v>-7.5403501187250033E-3</v>
          </cell>
          <cell r="AY156">
            <v>4.7016952606447893E-2</v>
          </cell>
          <cell r="AZ156">
            <v>3.8396484880715898E-2</v>
          </cell>
          <cell r="BA156">
            <v>-1.1660775978327154E-2</v>
          </cell>
          <cell r="BB156">
            <v>-2.373471494400814E-3</v>
          </cell>
          <cell r="BC156">
            <v>-2.4523730339245042E-2</v>
          </cell>
        </row>
        <row r="180">
          <cell r="BD180" t="str">
            <v>Shares</v>
          </cell>
        </row>
        <row r="181">
          <cell r="BE181">
            <v>2001</v>
          </cell>
          <cell r="BF181">
            <v>2002</v>
          </cell>
          <cell r="BG181">
            <v>2003</v>
          </cell>
          <cell r="BH181">
            <v>2004</v>
          </cell>
          <cell r="BI181">
            <v>2005</v>
          </cell>
          <cell r="BJ181" t="str">
            <v>2006E</v>
          </cell>
          <cell r="BK181" t="str">
            <v>2007E</v>
          </cell>
          <cell r="BL181" t="str">
            <v>2008E</v>
          </cell>
          <cell r="BM181" t="str">
            <v>2009E</v>
          </cell>
          <cell r="BN181" t="str">
            <v>2010E</v>
          </cell>
        </row>
        <row r="182">
          <cell r="BD182" t="str">
            <v>Hotel Guest</v>
          </cell>
          <cell r="BE182">
            <v>2.7668530000000002</v>
          </cell>
          <cell r="BF182">
            <v>3.154801</v>
          </cell>
          <cell r="BG182">
            <v>3.043272</v>
          </cell>
          <cell r="BH182">
            <v>3.9561540000000006</v>
          </cell>
          <cell r="BI182">
            <v>4.1210880000000003</v>
          </cell>
          <cell r="BJ182">
            <v>4.6808540000000001</v>
          </cell>
          <cell r="BK182">
            <v>5.718392947220277</v>
          </cell>
          <cell r="BL182">
            <v>7.2477650018330273</v>
          </cell>
          <cell r="BM182">
            <v>9.0906170171459291</v>
          </cell>
          <cell r="BN182">
            <v>11.12696307559267</v>
          </cell>
        </row>
        <row r="183">
          <cell r="BD183" t="str">
            <v>Other Overnight</v>
          </cell>
          <cell r="BE183">
            <v>3.0749820000000003</v>
          </cell>
          <cell r="BF183">
            <v>3.410358</v>
          </cell>
          <cell r="BG183">
            <v>3.2652429999999999</v>
          </cell>
          <cell r="BH183">
            <v>4.3672770000000005</v>
          </cell>
          <cell r="BI183">
            <v>4.8929760000000009</v>
          </cell>
          <cell r="BJ183">
            <v>6.0018090000000006</v>
          </cell>
          <cell r="BK183">
            <v>7.059522834707419</v>
          </cell>
          <cell r="BL183">
            <v>7.7126858481298948</v>
          </cell>
          <cell r="BM183">
            <v>8.3698007246177593</v>
          </cell>
          <cell r="BN183">
            <v>8.8719887680948251</v>
          </cell>
        </row>
        <row r="184">
          <cell r="BD184" t="str">
            <v>Day Trippers</v>
          </cell>
          <cell r="BE184">
            <v>4.4371380000000009</v>
          </cell>
          <cell r="BF184">
            <v>4.9656820000000002</v>
          </cell>
          <cell r="BG184">
            <v>5.5793609999999996</v>
          </cell>
          <cell r="BH184">
            <v>8.3491250000000008</v>
          </cell>
          <cell r="BI184">
            <v>9.6971229999999995</v>
          </cell>
          <cell r="BJ184">
            <v>11.315459000000001</v>
          </cell>
          <cell r="BK184">
            <v>14.075295677217126</v>
          </cell>
          <cell r="BL184">
            <v>16.152505519489736</v>
          </cell>
          <cell r="BM184">
            <v>18.477968974951796</v>
          </cell>
          <cell r="BN184">
            <v>21.465406851958932</v>
          </cell>
        </row>
        <row r="185">
          <cell r="BE185">
            <v>0.26917601593077439</v>
          </cell>
          <cell r="BI185">
            <v>0.22024727773817876</v>
          </cell>
          <cell r="BN185">
            <v>0.26835005835411491</v>
          </cell>
        </row>
        <row r="186">
          <cell r="BE186">
            <v>0.2991526488103432</v>
          </cell>
          <cell r="BI186">
            <v>0.26150003203965627</v>
          </cell>
          <cell r="BN186">
            <v>0.2139666221107224</v>
          </cell>
        </row>
        <row r="187">
          <cell r="BE187">
            <v>0.43167133525888246</v>
          </cell>
          <cell r="BI187">
            <v>0.51825269022216491</v>
          </cell>
          <cell r="BN187">
            <v>0.51768331953516278</v>
          </cell>
        </row>
        <row r="210">
          <cell r="BO210" t="str">
            <v>Chinese Tourism (mm person-times)</v>
          </cell>
          <cell r="BP210">
            <v>1995</v>
          </cell>
          <cell r="BQ210">
            <v>1996</v>
          </cell>
          <cell r="BR210">
            <v>1997</v>
          </cell>
          <cell r="BS210">
            <v>1998</v>
          </cell>
          <cell r="BT210">
            <v>1999</v>
          </cell>
          <cell r="BU210">
            <v>2000</v>
          </cell>
          <cell r="BV210">
            <v>2001</v>
          </cell>
          <cell r="BW210">
            <v>2002</v>
          </cell>
          <cell r="BX210">
            <v>2003</v>
          </cell>
          <cell r="BY210">
            <v>2004</v>
          </cell>
        </row>
        <row r="211">
          <cell r="BO211" t="str">
            <v>Outbound Total</v>
          </cell>
          <cell r="BP211">
            <v>7.1390000000000002</v>
          </cell>
          <cell r="BQ211">
            <v>7.5882000000000005</v>
          </cell>
          <cell r="BR211">
            <v>8.1753999999999998</v>
          </cell>
          <cell r="BS211">
            <v>8.4255999999999993</v>
          </cell>
          <cell r="BT211">
            <v>9.2324000000000002</v>
          </cell>
          <cell r="BU211">
            <v>10.4726</v>
          </cell>
          <cell r="BV211">
            <v>12.134399999999999</v>
          </cell>
          <cell r="BW211">
            <v>16.6023</v>
          </cell>
          <cell r="BX211">
            <v>20.221900000000002</v>
          </cell>
          <cell r="BY211">
            <v>28.85</v>
          </cell>
          <cell r="BZ211">
            <v>0.28883886992131336</v>
          </cell>
        </row>
        <row r="212">
          <cell r="BO212" t="str">
            <v xml:space="preserve">  Growth</v>
          </cell>
          <cell r="BQ212">
            <v>6.2921977868048762E-2</v>
          </cell>
          <cell r="BR212">
            <v>7.7383305658785817E-2</v>
          </cell>
          <cell r="BS212">
            <v>3.0604007143381295E-2</v>
          </cell>
          <cell r="BT212">
            <v>9.5755791872389029E-2</v>
          </cell>
          <cell r="BU212">
            <v>0.13433126814262808</v>
          </cell>
          <cell r="BV212">
            <v>0.15868074785631081</v>
          </cell>
          <cell r="BW212">
            <v>0.36820114715189867</v>
          </cell>
          <cell r="BX212">
            <v>0.21801798545984608</v>
          </cell>
          <cell r="BY212">
            <v>0.42667108431947542</v>
          </cell>
        </row>
        <row r="213">
          <cell r="BO213" t="str">
            <v xml:space="preserve">  Private Purpose</v>
          </cell>
          <cell r="BP213">
            <v>2.0538999999999996</v>
          </cell>
          <cell r="BQ213">
            <v>2.4138999999999999</v>
          </cell>
          <cell r="BR213">
            <v>2.4396</v>
          </cell>
          <cell r="BS213">
            <v>3.1901999999999999</v>
          </cell>
          <cell r="BT213">
            <v>4.2660999999999998</v>
          </cell>
          <cell r="BU213">
            <v>5.6308999999999996</v>
          </cell>
          <cell r="BV213">
            <v>6.9466999999999999</v>
          </cell>
          <cell r="BW213">
            <v>10.0739</v>
          </cell>
          <cell r="BX213">
            <v>14.8109</v>
          </cell>
          <cell r="BY213">
            <v>22.98</v>
          </cell>
        </row>
        <row r="214">
          <cell r="BO214" t="str">
            <v xml:space="preserve">  Growth</v>
          </cell>
          <cell r="BQ214">
            <v>0.17527630361750823</v>
          </cell>
          <cell r="BR214">
            <v>1.0646671361696836E-2</v>
          </cell>
          <cell r="BS214">
            <v>0.30767338908017705</v>
          </cell>
          <cell r="BT214">
            <v>0.3372515829728544</v>
          </cell>
          <cell r="BU214">
            <v>0.31991748904151329</v>
          </cell>
          <cell r="BV214">
            <v>0.23367490099273658</v>
          </cell>
          <cell r="BW214">
            <v>0.45017058459412396</v>
          </cell>
          <cell r="BX214">
            <v>0.47022503697674178</v>
          </cell>
          <cell r="BY214">
            <v>0.55155999972992875</v>
          </cell>
        </row>
        <row r="215">
          <cell r="BO215" t="str">
            <v>Domestic</v>
          </cell>
          <cell r="BP215">
            <v>629</v>
          </cell>
          <cell r="BQ215">
            <v>639</v>
          </cell>
          <cell r="BR215">
            <v>644</v>
          </cell>
          <cell r="BS215">
            <v>694.5</v>
          </cell>
          <cell r="BT215">
            <v>719</v>
          </cell>
          <cell r="BU215">
            <v>744</v>
          </cell>
          <cell r="BV215">
            <v>784</v>
          </cell>
          <cell r="BW215">
            <v>878</v>
          </cell>
          <cell r="BX215">
            <v>870</v>
          </cell>
          <cell r="BY215">
            <v>1102</v>
          </cell>
        </row>
        <row r="216">
          <cell r="BO216" t="str">
            <v xml:space="preserve">  Growth</v>
          </cell>
          <cell r="BQ216">
            <v>1.5898251192368873E-2</v>
          </cell>
          <cell r="BR216">
            <v>7.8247261345851804E-3</v>
          </cell>
          <cell r="BS216">
            <v>7.841614906832306E-2</v>
          </cell>
          <cell r="BT216">
            <v>3.5277177825773887E-2</v>
          </cell>
          <cell r="BU216">
            <v>3.4770514603616132E-2</v>
          </cell>
          <cell r="BV216">
            <v>5.3763440860215006E-2</v>
          </cell>
          <cell r="BW216">
            <v>0.11989795918367352</v>
          </cell>
          <cell r="BX216">
            <v>-9.1116173120728838E-3</v>
          </cell>
          <cell r="BY216">
            <v>0.26666666666666661</v>
          </cell>
        </row>
        <row r="218">
          <cell r="BO218" t="str">
            <v>Outbound Share of Total</v>
          </cell>
          <cell r="BP218">
            <v>1.1222390075125091E-2</v>
          </cell>
          <cell r="BQ218">
            <v>1.1735753915707092E-2</v>
          </cell>
          <cell r="BR218">
            <v>1.2535584752200098E-2</v>
          </cell>
          <cell r="BS218">
            <v>1.1986474813266153E-2</v>
          </cell>
          <cell r="BT218">
            <v>1.2677820981324094E-2</v>
          </cell>
          <cell r="BU218">
            <v>1.3880689636707813E-2</v>
          </cell>
          <cell r="BV218">
            <v>1.5241647641403259E-2</v>
          </cell>
          <cell r="BW218">
            <v>1.8558302387552548E-2</v>
          </cell>
          <cell r="BX218">
            <v>2.2715572375831241E-2</v>
          </cell>
          <cell r="BY218">
            <v>2.5511783171950308E-2</v>
          </cell>
        </row>
        <row r="241">
          <cell r="CA241" t="str">
            <v>China Population and IVS forecast</v>
          </cell>
        </row>
        <row r="242">
          <cell r="CA242" t="str">
            <v>millions</v>
          </cell>
          <cell r="CB242">
            <v>2004</v>
          </cell>
          <cell r="CC242">
            <v>2005</v>
          </cell>
          <cell r="CD242" t="str">
            <v>2006E</v>
          </cell>
          <cell r="CE242" t="str">
            <v>2007E</v>
          </cell>
          <cell r="CF242" t="str">
            <v>2008E</v>
          </cell>
          <cell r="CG242" t="str">
            <v>2009E</v>
          </cell>
          <cell r="CH242" t="str">
            <v>2010E</v>
          </cell>
        </row>
        <row r="244">
          <cell r="CA244" t="str">
            <v>Population</v>
          </cell>
        </row>
        <row r="245">
          <cell r="CA245" t="str">
            <v>Total China</v>
          </cell>
          <cell r="CB245">
            <v>1299.8800000000001</v>
          </cell>
          <cell r="CC245">
            <v>1306.3794</v>
          </cell>
          <cell r="CD245">
            <v>1312.9112969999999</v>
          </cell>
          <cell r="CE245">
            <v>1319.4758534849998</v>
          </cell>
          <cell r="CF245">
            <v>1326.0732327524247</v>
          </cell>
          <cell r="CG245">
            <v>1332.7035989161866</v>
          </cell>
          <cell r="CH245">
            <v>1339.3671169107674</v>
          </cell>
        </row>
        <row r="246">
          <cell r="CA246" t="str">
            <v>Urban</v>
          </cell>
          <cell r="CB246">
            <v>542.83000000000004</v>
          </cell>
          <cell r="CC246">
            <v>564.54320000000007</v>
          </cell>
          <cell r="CD246">
            <v>587.12492800000007</v>
          </cell>
          <cell r="CE246">
            <v>610.60992512000007</v>
          </cell>
          <cell r="CF246">
            <v>635.03432212480004</v>
          </cell>
          <cell r="CG246">
            <v>660.43569500979208</v>
          </cell>
          <cell r="CH246">
            <v>686.85312281018378</v>
          </cell>
        </row>
        <row r="247">
          <cell r="CA247" t="str">
            <v>Covered Under IVS Program</v>
          </cell>
          <cell r="CB247">
            <v>157.501823</v>
          </cell>
          <cell r="CC247">
            <v>229.114823</v>
          </cell>
          <cell r="CD247">
            <v>244.32482300000001</v>
          </cell>
          <cell r="CE247">
            <v>344.32482300000004</v>
          </cell>
          <cell r="CF247">
            <v>444.32482300000004</v>
          </cell>
          <cell r="CG247">
            <v>544.32482300000004</v>
          </cell>
          <cell r="CH247">
            <v>644.32482300000004</v>
          </cell>
        </row>
        <row r="249">
          <cell r="CA249" t="str">
            <v>Growth</v>
          </cell>
        </row>
        <row r="250">
          <cell r="CA250" t="str">
            <v>China Population</v>
          </cell>
          <cell r="CB250">
            <v>5.8888622346724429E-3</v>
          </cell>
          <cell r="CC250">
            <v>4.9999999999998934E-3</v>
          </cell>
          <cell r="CD250">
            <v>4.9999999999998934E-3</v>
          </cell>
          <cell r="CE250">
            <v>4.9999999999998934E-3</v>
          </cell>
          <cell r="CF250">
            <v>4.9999999999998934E-3</v>
          </cell>
          <cell r="CG250">
            <v>4.9999999999998934E-3</v>
          </cell>
          <cell r="CH250">
            <v>4.9999999999998934E-3</v>
          </cell>
        </row>
        <row r="251">
          <cell r="CA251" t="str">
            <v>Urban Population</v>
          </cell>
          <cell r="CB251">
            <v>3.6409806018023572E-2</v>
          </cell>
          <cell r="CC251">
            <v>4.0000000000000036E-2</v>
          </cell>
          <cell r="CD251">
            <v>4.0000000000000036E-2</v>
          </cell>
          <cell r="CE251">
            <v>4.0000000000000036E-2</v>
          </cell>
          <cell r="CF251">
            <v>4.0000000000000036E-2</v>
          </cell>
          <cell r="CG251">
            <v>4.0000000000000036E-2</v>
          </cell>
          <cell r="CH251">
            <v>4.0000000000000036E-2</v>
          </cell>
        </row>
        <row r="252">
          <cell r="CA252" t="str">
            <v>Covered Under IVS Program</v>
          </cell>
          <cell r="CB252">
            <v>1.9172406556769772</v>
          </cell>
          <cell r="CC252">
            <v>0.45468045153991654</v>
          </cell>
          <cell r="CD252">
            <v>6.6385927374066123E-2</v>
          </cell>
          <cell r="CE252">
            <v>0.40929120001859176</v>
          </cell>
          <cell r="CF252">
            <v>0.29042344123995956</v>
          </cell>
          <cell r="CG252">
            <v>0.22506057465981377</v>
          </cell>
          <cell r="CH252">
            <v>0.18371383367904937</v>
          </cell>
        </row>
        <row r="254">
          <cell r="CA254" t="str">
            <v>Urban Share of Total</v>
          </cell>
          <cell r="CB254">
            <v>0.41760008616179956</v>
          </cell>
          <cell r="CC254">
            <v>0.43214337274454884</v>
          </cell>
          <cell r="CD254">
            <v>0.4471931419446078</v>
          </cell>
          <cell r="CE254">
            <v>0.46276703246009165</v>
          </cell>
          <cell r="CF254">
            <v>0.47888329727213469</v>
          </cell>
          <cell r="CG254">
            <v>0.49556082503783105</v>
          </cell>
          <cell r="CH254">
            <v>0.51281916222820334</v>
          </cell>
        </row>
        <row r="255">
          <cell r="CA255" t="str">
            <v>IVS Share of Urban</v>
          </cell>
          <cell r="CB255">
            <v>0.29014944457749203</v>
          </cell>
          <cell r="CC255">
            <v>0.40584108178080963</v>
          </cell>
          <cell r="CD255">
            <v>0.41613770996281046</v>
          </cell>
          <cell r="CE255">
            <v>0.56390308908315179</v>
          </cell>
          <cell r="CF255">
            <v>0.69968631225050404</v>
          </cell>
          <cell r="CG255">
            <v>0.82419049593000804</v>
          </cell>
          <cell r="CH255">
            <v>0.93808239578764108</v>
          </cell>
        </row>
        <row r="279">
          <cell r="CI279" t="str">
            <v>Visitor Growth forecast</v>
          </cell>
        </row>
        <row r="280">
          <cell r="CI280" t="str">
            <v>(mm)</v>
          </cell>
          <cell r="CJ280">
            <v>2002</v>
          </cell>
          <cell r="CK280">
            <v>2003</v>
          </cell>
          <cell r="CL280">
            <v>2004</v>
          </cell>
          <cell r="CM280">
            <v>2005</v>
          </cell>
          <cell r="CN280" t="str">
            <v>2006E</v>
          </cell>
          <cell r="CO280" t="str">
            <v>2007E</v>
          </cell>
          <cell r="CP280" t="str">
            <v>2008E</v>
          </cell>
          <cell r="CQ280" t="str">
            <v>2009E</v>
          </cell>
          <cell r="CR280" t="str">
            <v>2010E</v>
          </cell>
        </row>
        <row r="282">
          <cell r="CI282" t="str">
            <v>Total Visitors</v>
          </cell>
          <cell r="CJ282">
            <v>11.530841000000001</v>
          </cell>
          <cell r="CK282">
            <v>11.887875999999999</v>
          </cell>
          <cell r="CL282">
            <v>16.672556</v>
          </cell>
          <cell r="CM282">
            <v>18.711186999999999</v>
          </cell>
          <cell r="CN282">
            <v>21.998122000000002</v>
          </cell>
          <cell r="CO282">
            <v>26.853211459144823</v>
          </cell>
          <cell r="CP282">
            <v>31.112956369452657</v>
          </cell>
          <cell r="CQ282">
            <v>35.938386716715485</v>
          </cell>
          <cell r="CR282">
            <v>41.464358695646425</v>
          </cell>
        </row>
        <row r="283">
          <cell r="CI283" t="str">
            <v xml:space="preserve">  Year-over-Year growth</v>
          </cell>
          <cell r="CJ283">
            <v>0.12178920987534458</v>
          </cell>
          <cell r="CK283">
            <v>3.0963483062510289E-2</v>
          </cell>
          <cell r="CL283">
            <v>0.40248400975918686</v>
          </cell>
          <cell r="CM283">
            <v>0.12227465302860563</v>
          </cell>
          <cell r="CN283">
            <v>0.17566683503296732</v>
          </cell>
          <cell r="CO283">
            <v>0.22070472466444269</v>
          </cell>
          <cell r="CP283">
            <v>0.15863074391637366</v>
          </cell>
          <cell r="CQ283">
            <v>0.15509391939367534</v>
          </cell>
          <cell r="CR283">
            <v>0.15376238289407484</v>
          </cell>
        </row>
        <row r="285">
          <cell r="CI285" t="str">
            <v>China Visitors</v>
          </cell>
          <cell r="CJ285">
            <v>4.2404460000000004</v>
          </cell>
          <cell r="CK285">
            <v>5.7420359999999997</v>
          </cell>
          <cell r="CL285">
            <v>9.5297389999999993</v>
          </cell>
          <cell r="CM285">
            <v>10.462966</v>
          </cell>
          <cell r="CN285">
            <v>11.985617</v>
          </cell>
          <cell r="CO285">
            <v>14.484650159144822</v>
          </cell>
          <cell r="CP285">
            <v>17.638701722452655</v>
          </cell>
          <cell r="CQ285">
            <v>21.558132326615485</v>
          </cell>
          <cell r="CR285">
            <v>26.21178215894642</v>
          </cell>
        </row>
        <row r="286">
          <cell r="CI286" t="str">
            <v xml:space="preserve">  Year-over-Year growth</v>
          </cell>
          <cell r="CJ286">
            <v>0.41079115101130448</v>
          </cell>
          <cell r="CK286">
            <v>0.3541113364018782</v>
          </cell>
          <cell r="CL286">
            <v>0.65964459296319289</v>
          </cell>
          <cell r="CM286">
            <v>9.7927865600516473E-2</v>
          </cell>
          <cell r="CN286">
            <v>0.14552766395303207</v>
          </cell>
          <cell r="CO286">
            <v>0.20850267108859089</v>
          </cell>
          <cell r="CP286">
            <v>0.21775131112272916</v>
          </cell>
          <cell r="CQ286">
            <v>0.22220629759693189</v>
          </cell>
          <cell r="CR286">
            <v>0.21586516688115776</v>
          </cell>
        </row>
        <row r="287">
          <cell r="CI287" t="str">
            <v xml:space="preserve">  Share</v>
          </cell>
          <cell r="CJ287">
            <v>0.36774819807158909</v>
          </cell>
          <cell r="CK287">
            <v>0.48301614182382119</v>
          </cell>
          <cell r="CL287">
            <v>0.57158236565527198</v>
          </cell>
          <cell r="CM287">
            <v>0.55918237576269214</v>
          </cell>
          <cell r="CN287">
            <v>0.54484728287260153</v>
          </cell>
          <cell r="CO287">
            <v>0.53940103891045388</v>
          </cell>
          <cell r="CP287">
            <v>0.56692464428647793</v>
          </cell>
          <cell r="CQ287">
            <v>0.59986366379068634</v>
          </cell>
          <cell r="CR287">
            <v>0.63215211771015622</v>
          </cell>
        </row>
        <row r="288">
          <cell r="CI288" t="str">
            <v xml:space="preserve">  Contribution</v>
          </cell>
          <cell r="CK288">
            <v>4.2057221280826873</v>
          </cell>
          <cell r="CL288">
            <v>0.79163141526706027</v>
          </cell>
          <cell r="CM288">
            <v>0.45777141621019279</v>
          </cell>
          <cell r="CN288">
            <v>0.46324341673930247</v>
          </cell>
          <cell r="CO288">
            <v>0.51472443096548126</v>
          </cell>
          <cell r="CP288">
            <v>0.74043202814224462</v>
          </cell>
          <cell r="CQ288">
            <v>0.81224477862085054</v>
          </cell>
          <cell r="CR288">
            <v>0.84214140970567009</v>
          </cell>
        </row>
        <row r="290">
          <cell r="CI290" t="str">
            <v>Hong Kong Visitors</v>
          </cell>
          <cell r="CJ290">
            <v>5.1014369999999998</v>
          </cell>
          <cell r="CK290">
            <v>4.6231620000000007</v>
          </cell>
          <cell r="CL290">
            <v>5.0510589999999995</v>
          </cell>
          <cell r="CM290">
            <v>5.6148919999999993</v>
          </cell>
          <cell r="CN290">
            <v>6.9406560000000006</v>
          </cell>
          <cell r="CO290">
            <v>8.3287872000000007</v>
          </cell>
          <cell r="CP290">
            <v>8.8285144320000004</v>
          </cell>
          <cell r="CQ290">
            <v>9.2699401536000003</v>
          </cell>
          <cell r="CR290">
            <v>9.7334371612800012</v>
          </cell>
        </row>
        <row r="291">
          <cell r="CI291" t="str">
            <v xml:space="preserve">  Year-over-Year growth</v>
          </cell>
          <cell r="CJ291">
            <v>-1.8224888648026183E-2</v>
          </cell>
          <cell r="CK291">
            <v>-9.3752995479508883E-2</v>
          </cell>
          <cell r="CL291">
            <v>9.2555052148291406E-2</v>
          </cell>
          <cell r="CM291">
            <v>0.1116266905613259</v>
          </cell>
          <cell r="CN291">
            <v>0.23611567239405518</v>
          </cell>
          <cell r="CO291">
            <v>0.19999999999999996</v>
          </cell>
          <cell r="CP291">
            <v>0.06</v>
          </cell>
          <cell r="CQ291">
            <v>0.05</v>
          </cell>
          <cell r="CR291">
            <v>0.05</v>
          </cell>
        </row>
        <row r="292">
          <cell r="CI292" t="str">
            <v xml:space="preserve">  Share</v>
          </cell>
          <cell r="CJ292">
            <v>0.44241673265636039</v>
          </cell>
          <cell r="CK292">
            <v>0.38889722604778187</v>
          </cell>
          <cell r="CL292">
            <v>0.30295648729564917</v>
          </cell>
          <cell r="CM292">
            <v>0.30008208458394431</v>
          </cell>
          <cell r="CN292">
            <v>0.31551129682797469</v>
          </cell>
          <cell r="CO292">
            <v>0.3101598187863539</v>
          </cell>
          <cell r="CP292">
            <v>0.28375684802065348</v>
          </cell>
          <cell r="CQ292">
            <v>0.25793979642632126</v>
          </cell>
          <cell r="CR292">
            <v>0.23474225738602753</v>
          </cell>
        </row>
        <row r="293">
          <cell r="CI293" t="str">
            <v xml:space="preserve">  Contribution</v>
          </cell>
          <cell r="CK293">
            <v>-1.3395745515145585</v>
          </cell>
          <cell r="CL293">
            <v>8.9430641129605123E-2</v>
          </cell>
          <cell r="CM293">
            <v>0.27657432855676234</v>
          </cell>
          <cell r="CN293">
            <v>0.40334354041074738</v>
          </cell>
          <cell r="CO293">
            <v>0.28591258959922577</v>
          </cell>
          <cell r="CP293">
            <v>0.1173138867519386</v>
          </cell>
          <cell r="CQ293">
            <v>9.1479037066692692E-2</v>
          </cell>
          <cell r="CR293">
            <v>8.3876105316348093E-2</v>
          </cell>
        </row>
        <row r="295">
          <cell r="CI295" t="str">
            <v>Other Visitors</v>
          </cell>
          <cell r="CJ295">
            <v>2.1889580000000004</v>
          </cell>
          <cell r="CK295">
            <v>1.5226780000000002</v>
          </cell>
          <cell r="CL295">
            <v>2.091758</v>
          </cell>
          <cell r="CM295">
            <v>2.6333289999999989</v>
          </cell>
          <cell r="CN295">
            <v>3.0718490000000003</v>
          </cell>
          <cell r="CO295">
            <v>4.0397741000000007</v>
          </cell>
          <cell r="CP295">
            <v>4.645740215</v>
          </cell>
          <cell r="CQ295">
            <v>5.1103142365000007</v>
          </cell>
          <cell r="CR295">
            <v>5.5191393754200009</v>
          </cell>
        </row>
        <row r="296">
          <cell r="CI296" t="str">
            <v xml:space="preserve">  Year-over-Year growth</v>
          </cell>
          <cell r="CJ296">
            <v>5.3845357623434342E-2</v>
          </cell>
          <cell r="CK296">
            <v>-0.30438226772738453</v>
          </cell>
          <cell r="CL296">
            <v>0.37373627254087838</v>
          </cell>
          <cell r="CM296">
            <v>0.25890710110825377</v>
          </cell>
          <cell r="CN296">
            <v>0.16652685631001729</v>
          </cell>
          <cell r="CO296">
            <v>0.31509527323771458</v>
          </cell>
          <cell r="CP296">
            <v>0.15</v>
          </cell>
          <cell r="CQ296">
            <v>0.1</v>
          </cell>
          <cell r="CR296">
            <v>0.08</v>
          </cell>
        </row>
        <row r="297">
          <cell r="CI297" t="str">
            <v xml:space="preserve">  Share</v>
          </cell>
          <cell r="CJ297">
            <v>0.18983506927205052</v>
          </cell>
          <cell r="CK297">
            <v>0.12808663212839708</v>
          </cell>
          <cell r="CL297">
            <v>0.12546114704907874</v>
          </cell>
          <cell r="CM297">
            <v>0.14073553965336347</v>
          </cell>
          <cell r="CN297">
            <v>0.13964142029942375</v>
          </cell>
          <cell r="CO297">
            <v>0.15043914230319225</v>
          </cell>
          <cell r="CP297">
            <v>0.14931850769286856</v>
          </cell>
          <cell r="CQ297">
            <v>0.14219653978299246</v>
          </cell>
          <cell r="CR297">
            <v>0.13310562490381617</v>
          </cell>
        </row>
        <row r="298">
          <cell r="CI298" t="str">
            <v xml:space="preserve">  Contribution</v>
          </cell>
          <cell r="CK298">
            <v>-1.8661475765681284</v>
          </cell>
          <cell r="CL298">
            <v>0.11893794360333386</v>
          </cell>
          <cell r="CM298">
            <v>0.26565425523304587</v>
          </cell>
          <cell r="CN298">
            <v>0.1334130428499502</v>
          </cell>
          <cell r="CO298">
            <v>0.19936297943529382</v>
          </cell>
          <cell r="CP298">
            <v>0.14225408510581672</v>
          </cell>
          <cell r="CQ298">
            <v>9.627618431245713E-2</v>
          </cell>
          <cell r="CR298">
            <v>7.3982484977980628E-2</v>
          </cell>
        </row>
        <row r="300">
          <cell r="CI300" t="str">
            <v>check</v>
          </cell>
          <cell r="CJ300">
            <v>1</v>
          </cell>
          <cell r="CK300">
            <v>1.0000000000000002</v>
          </cell>
          <cell r="CL300">
            <v>0.99999999999999989</v>
          </cell>
          <cell r="CM300">
            <v>0.99999999999999989</v>
          </cell>
          <cell r="CN300">
            <v>1</v>
          </cell>
          <cell r="CO300">
            <v>1</v>
          </cell>
          <cell r="CP300">
            <v>1</v>
          </cell>
          <cell r="CQ300">
            <v>1</v>
          </cell>
          <cell r="CR300">
            <v>0.99999999999999989</v>
          </cell>
        </row>
        <row r="301">
          <cell r="CJ301">
            <v>0</v>
          </cell>
          <cell r="CK301">
            <v>1.0000000000000004</v>
          </cell>
          <cell r="CL301">
            <v>0.99999999999999922</v>
          </cell>
          <cell r="CM301">
            <v>1.0000000000000009</v>
          </cell>
          <cell r="CN301">
            <v>1</v>
          </cell>
          <cell r="CO301">
            <v>1.0000000000000009</v>
          </cell>
          <cell r="CP301">
            <v>1</v>
          </cell>
          <cell r="CQ301">
            <v>1.0000000000000004</v>
          </cell>
          <cell r="CR301">
            <v>0.99999999999999878</v>
          </cell>
        </row>
        <row r="343">
          <cell r="CS343" t="str">
            <v>VIP &amp; Mass Market Revenue</v>
          </cell>
        </row>
        <row r="344">
          <cell r="CS344" t="str">
            <v>($mm)</v>
          </cell>
          <cell r="CT344">
            <v>1995</v>
          </cell>
          <cell r="CU344">
            <v>1996</v>
          </cell>
          <cell r="CV344">
            <v>1997</v>
          </cell>
          <cell r="CW344">
            <v>1998</v>
          </cell>
          <cell r="CX344">
            <v>1999</v>
          </cell>
          <cell r="CY344">
            <v>2000</v>
          </cell>
          <cell r="CZ344">
            <v>2001</v>
          </cell>
          <cell r="DA344">
            <v>2002</v>
          </cell>
          <cell r="DB344">
            <v>2003</v>
          </cell>
          <cell r="DC344">
            <v>2004</v>
          </cell>
          <cell r="DD344">
            <v>2005</v>
          </cell>
        </row>
        <row r="346">
          <cell r="CS346" t="str">
            <v>VIP Revenue</v>
          </cell>
          <cell r="CT346">
            <v>1373.1958703116916</v>
          </cell>
          <cell r="CU346">
            <v>1311.6412933882118</v>
          </cell>
          <cell r="CV346">
            <v>1543.9553513896376</v>
          </cell>
          <cell r="CW346">
            <v>1152.1755032529654</v>
          </cell>
          <cell r="CX346">
            <v>1070.2080149186154</v>
          </cell>
          <cell r="CY346">
            <v>1350.1079731470891</v>
          </cell>
          <cell r="CZ346">
            <v>1589.0514861480779</v>
          </cell>
          <cell r="DA346">
            <v>1983.8078367889864</v>
          </cell>
          <cell r="DB346">
            <v>2688.8498544599533</v>
          </cell>
          <cell r="DC346">
            <v>3607.0036807892443</v>
          </cell>
          <cell r="DD346">
            <v>3497.8356344037484</v>
          </cell>
        </row>
        <row r="347">
          <cell r="CS347" t="str">
            <v xml:space="preserve">  Year-over-Year growth</v>
          </cell>
          <cell r="CT347">
            <v>0.18539911279643562</v>
          </cell>
          <cell r="CU347">
            <v>-4.4825780687432371E-2</v>
          </cell>
          <cell r="CV347">
            <v>0.17711706635990065</v>
          </cell>
          <cell r="CW347">
            <v>-0.2537507627950838</v>
          </cell>
          <cell r="CX347">
            <v>-7.114149546048254E-2</v>
          </cell>
          <cell r="CY347">
            <v>0.26153790134879418</v>
          </cell>
          <cell r="CZ347">
            <v>0.17698103985269698</v>
          </cell>
          <cell r="DA347">
            <v>0.24842263078448967</v>
          </cell>
          <cell r="DB347">
            <v>0.35539834282142757</v>
          </cell>
          <cell r="DC347">
            <v>0.34146712387319189</v>
          </cell>
          <cell r="DD347">
            <v>-3.0265576652145021E-2</v>
          </cell>
        </row>
        <row r="349">
          <cell r="CS349" t="str">
            <v>Mass Market Revenue</v>
          </cell>
          <cell r="CT349">
            <v>812.62684792133757</v>
          </cell>
          <cell r="CU349">
            <v>743.50329546010403</v>
          </cell>
          <cell r="CV349">
            <v>680.70481053873436</v>
          </cell>
          <cell r="CW349">
            <v>662.81947826698092</v>
          </cell>
          <cell r="CX349">
            <v>551.5480923777086</v>
          </cell>
          <cell r="CY349">
            <v>636.64034915406774</v>
          </cell>
          <cell r="CZ349">
            <v>666.8908353861749</v>
          </cell>
          <cell r="DA349">
            <v>710.66439337316001</v>
          </cell>
          <cell r="DB349">
            <v>789.22213822157244</v>
          </cell>
          <cell r="DC349">
            <v>1405.5569362255396</v>
          </cell>
          <cell r="DD349">
            <v>2085.2160815156567</v>
          </cell>
        </row>
        <row r="350">
          <cell r="CS350" t="str">
            <v xml:space="preserve">  Year-over-Year growth</v>
          </cell>
          <cell r="CT350">
            <v>4.9656657911086644E-2</v>
          </cell>
          <cell r="CU350">
            <v>-8.5061861588807242E-2</v>
          </cell>
          <cell r="CV350">
            <v>-8.446295437400575E-2</v>
          </cell>
          <cell r="CW350">
            <v>-2.6274725835415125E-2</v>
          </cell>
          <cell r="CX350">
            <v>-0.16787585389042037</v>
          </cell>
          <cell r="CY350">
            <v>0.15427894312811197</v>
          </cell>
          <cell r="CZ350">
            <v>4.7515816853742177E-2</v>
          </cell>
          <cell r="DA350">
            <v>6.5638265911447391E-2</v>
          </cell>
          <cell r="DB350">
            <v>0.11054127036749239</v>
          </cell>
          <cell r="DC350">
            <v>0.78093957094616173</v>
          </cell>
          <cell r="DD350">
            <v>0.48355148608583787</v>
          </cell>
        </row>
        <row r="352">
          <cell r="CS352" t="str">
            <v>VIP Share of Total</v>
          </cell>
          <cell r="CT352">
            <v>0.62822838231901657</v>
          </cell>
          <cell r="CU352">
            <v>0.6382233641883287</v>
          </cell>
          <cell r="CV352">
            <v>0.69401851923815261</v>
          </cell>
          <cell r="CW352">
            <v>0.63480919505798827</v>
          </cell>
          <cell r="CX352">
            <v>0.6599068812528105</v>
          </cell>
          <cell r="CY352">
            <v>0.6795566192215643</v>
          </cell>
          <cell r="CZ352">
            <v>0.70438480229732703</v>
          </cell>
          <cell r="DA352">
            <v>0.73625098621617857</v>
          </cell>
          <cell r="DB352">
            <v>0.77308631337067357</v>
          </cell>
          <cell r="DC352">
            <v>0.71959302966741678</v>
          </cell>
          <cell r="DD352">
            <v>0.6265096245535553</v>
          </cell>
        </row>
        <row r="353">
          <cell r="CS353" t="str">
            <v>Mass Market Share of Total</v>
          </cell>
          <cell r="CT353">
            <v>0.37177161768098338</v>
          </cell>
          <cell r="CU353">
            <v>0.36177663581167124</v>
          </cell>
          <cell r="CV353">
            <v>0.30598148076184734</v>
          </cell>
          <cell r="CW353">
            <v>0.36519080494201173</v>
          </cell>
          <cell r="CX353">
            <v>0.34009311874718956</v>
          </cell>
          <cell r="CY353">
            <v>0.32044338077843559</v>
          </cell>
          <cell r="CZ353">
            <v>0.29561519770267281</v>
          </cell>
          <cell r="DA353">
            <v>0.26374901378382143</v>
          </cell>
          <cell r="DB353">
            <v>0.22691368662932634</v>
          </cell>
          <cell r="DC353">
            <v>0.28040697033258322</v>
          </cell>
          <cell r="DD353">
            <v>0.37349037544644492</v>
          </cell>
        </row>
        <row r="376">
          <cell r="DE376" t="str">
            <v>Non-gaming shares</v>
          </cell>
        </row>
        <row r="377">
          <cell r="DF377" t="str">
            <v>2007E</v>
          </cell>
          <cell r="DG377" t="str">
            <v>2008E</v>
          </cell>
          <cell r="DH377" t="str">
            <v>2009E</v>
          </cell>
          <cell r="DI377" t="str">
            <v>2010E</v>
          </cell>
          <cell r="DJ377" t="str">
            <v>2011E</v>
          </cell>
          <cell r="DK377" t="str">
            <v>2012E</v>
          </cell>
        </row>
        <row r="378">
          <cell r="DE378" t="str">
            <v>Venetian</v>
          </cell>
        </row>
        <row r="379">
          <cell r="DE379" t="str">
            <v xml:space="preserve">  Gaming Revenue</v>
          </cell>
          <cell r="DF379">
            <v>675.26604458739473</v>
          </cell>
          <cell r="DG379">
            <v>1131.185381629107</v>
          </cell>
          <cell r="DH379">
            <v>1122.3258353710896</v>
          </cell>
          <cell r="DI379">
            <v>1261.1466103435439</v>
          </cell>
          <cell r="DJ379">
            <v>1353.8487799700065</v>
          </cell>
          <cell r="DK379">
            <v>1508.7577601373475</v>
          </cell>
        </row>
        <row r="380">
          <cell r="DE380" t="str">
            <v xml:space="preserve">  Net Revenue</v>
          </cell>
          <cell r="DF380">
            <v>793.21570761013243</v>
          </cell>
          <cell r="DG380">
            <v>1406.0387470550534</v>
          </cell>
          <cell r="DH380">
            <v>1425.9170625738727</v>
          </cell>
          <cell r="DI380">
            <v>1575.9252026818071</v>
          </cell>
          <cell r="DJ380">
            <v>1683.3584112717938</v>
          </cell>
          <cell r="DK380">
            <v>1850.8382742813437</v>
          </cell>
        </row>
        <row r="381">
          <cell r="DE381" t="str">
            <v xml:space="preserve">  Retail</v>
          </cell>
          <cell r="DF381">
            <v>75</v>
          </cell>
          <cell r="DG381">
            <v>157.5</v>
          </cell>
          <cell r="DH381">
            <v>162.22499999999999</v>
          </cell>
          <cell r="DI381">
            <v>167.09174999999999</v>
          </cell>
          <cell r="DJ381">
            <v>172.1045025</v>
          </cell>
          <cell r="DK381">
            <v>177.26763757500001</v>
          </cell>
        </row>
        <row r="383">
          <cell r="DE383" t="str">
            <v>FS</v>
          </cell>
        </row>
        <row r="384">
          <cell r="DE384" t="str">
            <v xml:space="preserve">  Gaming Revenue</v>
          </cell>
          <cell r="DG384">
            <v>138.12597872539345</v>
          </cell>
          <cell r="DH384">
            <v>140.87975896322413</v>
          </cell>
          <cell r="DI384">
            <v>153.94577497057816</v>
          </cell>
          <cell r="DJ384">
            <v>162.64232470154889</v>
          </cell>
          <cell r="DK384">
            <v>174.38824050930393</v>
          </cell>
        </row>
        <row r="385">
          <cell r="DE385" t="str">
            <v xml:space="preserve">  Net Revenue</v>
          </cell>
          <cell r="DG385">
            <v>195.33745701318315</v>
          </cell>
          <cell r="DH385">
            <v>202.53351942926253</v>
          </cell>
          <cell r="DI385">
            <v>218.10229728887015</v>
          </cell>
          <cell r="DJ385">
            <v>229.70762618621711</v>
          </cell>
          <cell r="DK385">
            <v>244.38348984342576</v>
          </cell>
        </row>
        <row r="386">
          <cell r="DE386" t="str">
            <v xml:space="preserve">  Retail</v>
          </cell>
          <cell r="DG386">
            <v>38.475000000000001</v>
          </cell>
          <cell r="DH386">
            <v>39.629249999999999</v>
          </cell>
          <cell r="DI386">
            <v>40.818127500000003</v>
          </cell>
          <cell r="DJ386">
            <v>42.042671325000001</v>
          </cell>
          <cell r="DK386">
            <v>43.303951464750007</v>
          </cell>
        </row>
        <row r="388">
          <cell r="DE388" t="str">
            <v>5&amp;6</v>
          </cell>
        </row>
        <row r="389">
          <cell r="DE389" t="str">
            <v xml:space="preserve">  Gaming Revenue</v>
          </cell>
          <cell r="DG389">
            <v>334.0140610646614</v>
          </cell>
          <cell r="DH389">
            <v>414.68764677020408</v>
          </cell>
          <cell r="DI389">
            <v>477.56434830699123</v>
          </cell>
          <cell r="DJ389">
            <v>540.46500438401461</v>
          </cell>
          <cell r="DK389">
            <v>614.59600973406191</v>
          </cell>
        </row>
        <row r="390">
          <cell r="DE390" t="str">
            <v xml:space="preserve">  Net Revenue</v>
          </cell>
          <cell r="DG390">
            <v>484.23391082366749</v>
          </cell>
          <cell r="DH390">
            <v>637.96140182206864</v>
          </cell>
          <cell r="DI390">
            <v>719.26077338140271</v>
          </cell>
          <cell r="DJ390">
            <v>850.96190881908728</v>
          </cell>
          <cell r="DK390">
            <v>1017.8251892094318</v>
          </cell>
        </row>
        <row r="391">
          <cell r="DE391" t="str">
            <v xml:space="preserve">  Retail</v>
          </cell>
          <cell r="DG391">
            <v>75.9375</v>
          </cell>
          <cell r="DH391">
            <v>106.3125</v>
          </cell>
          <cell r="DI391">
            <v>109.501875</v>
          </cell>
          <cell r="DJ391">
            <v>112.78693124999999</v>
          </cell>
          <cell r="DK391">
            <v>116.17053918750001</v>
          </cell>
        </row>
        <row r="393">
          <cell r="DE393" t="str">
            <v>7&amp;8</v>
          </cell>
        </row>
        <row r="394">
          <cell r="DE394" t="str">
            <v xml:space="preserve">  Gaming Revenue</v>
          </cell>
          <cell r="DG394">
            <v>111.33802035488718</v>
          </cell>
          <cell r="DH394">
            <v>414.68764677020408</v>
          </cell>
          <cell r="DI394">
            <v>477.56434830699123</v>
          </cell>
          <cell r="DJ394">
            <v>540.46500438401461</v>
          </cell>
          <cell r="DK394">
            <v>614.59600973406191</v>
          </cell>
        </row>
        <row r="395">
          <cell r="DE395" t="str">
            <v xml:space="preserve">  Net Revenue</v>
          </cell>
          <cell r="DG395">
            <v>159.53630360788921</v>
          </cell>
          <cell r="DH395">
            <v>630.08640182206864</v>
          </cell>
          <cell r="DI395">
            <v>711.14952338140267</v>
          </cell>
          <cell r="DJ395">
            <v>842.6073213190873</v>
          </cell>
          <cell r="DK395">
            <v>1009.2199640844317</v>
          </cell>
        </row>
        <row r="396">
          <cell r="DE396" t="str">
            <v xml:space="preserve">  Retail</v>
          </cell>
          <cell r="DG396">
            <v>23.4375</v>
          </cell>
          <cell r="DH396">
            <v>98.4375</v>
          </cell>
          <cell r="DI396">
            <v>101.390625</v>
          </cell>
          <cell r="DJ396">
            <v>104.43234375</v>
          </cell>
          <cell r="DK396">
            <v>107.56531406249998</v>
          </cell>
        </row>
        <row r="398">
          <cell r="DE398" t="str">
            <v>Far East</v>
          </cell>
        </row>
        <row r="399">
          <cell r="DE399" t="str">
            <v xml:space="preserve">  Gaming Revenue</v>
          </cell>
          <cell r="DG399">
            <v>55.669010177443589</v>
          </cell>
          <cell r="DH399">
            <v>207.34382338510204</v>
          </cell>
          <cell r="DI399">
            <v>238.78217415349562</v>
          </cell>
          <cell r="DJ399">
            <v>258.50460988625264</v>
          </cell>
          <cell r="DK399">
            <v>293.77034941164044</v>
          </cell>
        </row>
        <row r="400">
          <cell r="DE400" t="str">
            <v xml:space="preserve">  Net Revenue</v>
          </cell>
          <cell r="DG400">
            <v>70.393151803944605</v>
          </cell>
          <cell r="DH400">
            <v>305.19945091103432</v>
          </cell>
          <cell r="DI400">
            <v>345.43569919070131</v>
          </cell>
          <cell r="DJ400">
            <v>399.75753783901683</v>
          </cell>
          <cell r="DK400">
            <v>481.04671217563532</v>
          </cell>
        </row>
        <row r="401">
          <cell r="DE401" t="str">
            <v xml:space="preserve">  Retail</v>
          </cell>
          <cell r="DG401">
            <v>2.34375</v>
          </cell>
          <cell r="DH401">
            <v>39.375</v>
          </cell>
          <cell r="DI401">
            <v>40.556249999999999</v>
          </cell>
          <cell r="DJ401">
            <v>41.772937499999998</v>
          </cell>
          <cell r="DK401">
            <v>43.026125624999992</v>
          </cell>
        </row>
        <row r="403">
          <cell r="DE403" t="str">
            <v>Sands</v>
          </cell>
        </row>
        <row r="404">
          <cell r="DE404" t="str">
            <v xml:space="preserve">  Gaming Revenue</v>
          </cell>
          <cell r="DF404">
            <v>955.47842204483641</v>
          </cell>
          <cell r="DG404">
            <v>886.37105393025058</v>
          </cell>
          <cell r="DH404">
            <v>848.40778024303279</v>
          </cell>
          <cell r="DI404">
            <v>927.01330162231625</v>
          </cell>
          <cell r="DJ404">
            <v>1027.7150945205597</v>
          </cell>
          <cell r="DK404">
            <v>1160.7307601833147</v>
          </cell>
        </row>
        <row r="405">
          <cell r="DE405" t="str">
            <v xml:space="preserve">  Net Revenue</v>
          </cell>
          <cell r="DF405">
            <v>965.84525402872896</v>
          </cell>
          <cell r="DG405">
            <v>895.98807884622454</v>
          </cell>
          <cell r="DH405">
            <v>857.61290796615162</v>
          </cell>
          <cell r="DI405">
            <v>937.07129029377688</v>
          </cell>
          <cell r="DJ405">
            <v>1038.865686168044</v>
          </cell>
          <cell r="DK405">
            <v>1173.3245566435257</v>
          </cell>
        </row>
        <row r="407">
          <cell r="DE407" t="str">
            <v>Wynn Macau</v>
          </cell>
        </row>
        <row r="408">
          <cell r="DE408" t="str">
            <v xml:space="preserve">  Gaming Revenue</v>
          </cell>
          <cell r="DF408">
            <v>745.42999651018567</v>
          </cell>
          <cell r="DG408">
            <v>995.86963108554619</v>
          </cell>
          <cell r="DH408">
            <v>972.84174899949767</v>
          </cell>
          <cell r="DI408">
            <v>1064.7873752616485</v>
          </cell>
          <cell r="DJ408">
            <v>1146.6622959639712</v>
          </cell>
          <cell r="DK408">
            <v>1287.3147311859273</v>
          </cell>
        </row>
        <row r="409">
          <cell r="DE409" t="str">
            <v xml:space="preserve">  Net Revenue</v>
          </cell>
          <cell r="DF409">
            <v>747.96696996957451</v>
          </cell>
          <cell r="DG409">
            <v>986.61376658406334</v>
          </cell>
          <cell r="DH409">
            <v>968.38496187258056</v>
          </cell>
          <cell r="DI409">
            <v>1057.8551372048669</v>
          </cell>
          <cell r="DJ409">
            <v>1136.5262127988174</v>
          </cell>
          <cell r="DK409">
            <v>1270.4994115452369</v>
          </cell>
        </row>
        <row r="411">
          <cell r="DE411" t="str">
            <v>Wynn Cotai</v>
          </cell>
        </row>
        <row r="412">
          <cell r="DE412" t="str">
            <v xml:space="preserve">  Gaming Revenue</v>
          </cell>
          <cell r="DI412">
            <v>787.30447279356304</v>
          </cell>
          <cell r="DJ412">
            <v>998.72983700127429</v>
          </cell>
          <cell r="DK412">
            <v>1112.2662422025619</v>
          </cell>
        </row>
        <row r="413">
          <cell r="DE413" t="str">
            <v xml:space="preserve">  Net Revenue</v>
          </cell>
          <cell r="DI413">
            <v>1000.829472793563</v>
          </cell>
          <cell r="DJ413">
            <v>1239.5593463762746</v>
          </cell>
          <cell r="DK413">
            <v>1382.6930256759993</v>
          </cell>
        </row>
        <row r="414">
          <cell r="DE414" t="str">
            <v xml:space="preserve">  Retail</v>
          </cell>
          <cell r="DI414">
            <v>60.498750000000001</v>
          </cell>
          <cell r="DJ414">
            <v>66.699871875000014</v>
          </cell>
          <cell r="DK414">
            <v>72.135911432812506</v>
          </cell>
        </row>
        <row r="416">
          <cell r="DE416" t="str">
            <v>MGM Grand</v>
          </cell>
        </row>
        <row r="417">
          <cell r="DE417" t="str">
            <v xml:space="preserve">  Gaming Revenue</v>
          </cell>
          <cell r="DF417">
            <v>182.14759156347085</v>
          </cell>
          <cell r="DG417">
            <v>687.5663531603393</v>
          </cell>
          <cell r="DH417">
            <v>754.23809840063927</v>
          </cell>
          <cell r="DI417">
            <v>819.682934468957</v>
          </cell>
          <cell r="DJ417">
            <v>876.09351650982046</v>
          </cell>
          <cell r="DK417">
            <v>966.27178049792565</v>
          </cell>
        </row>
        <row r="418">
          <cell r="DE418" t="str">
            <v xml:space="preserve">  Net Revenue</v>
          </cell>
          <cell r="DF418">
            <v>192.70459156347087</v>
          </cell>
          <cell r="DG418">
            <v>730.70661566033925</v>
          </cell>
          <cell r="DH418">
            <v>798.67256877563921</v>
          </cell>
          <cell r="DI418">
            <v>865.45043895520701</v>
          </cell>
          <cell r="DJ418">
            <v>923.23404613065793</v>
          </cell>
          <cell r="DK418">
            <v>1014.8265260073883</v>
          </cell>
        </row>
        <row r="420">
          <cell r="DE420" t="str">
            <v>Total Non-Gaming</v>
          </cell>
        </row>
        <row r="421">
          <cell r="DE421" t="str">
            <v>Venetian</v>
          </cell>
          <cell r="DF421">
            <v>0.14869809295394121</v>
          </cell>
          <cell r="DG421">
            <v>0.19548064802739351</v>
          </cell>
          <cell r="DH421">
            <v>0.2129094567777885</v>
          </cell>
          <cell r="DI421">
            <v>0.1997420891566386</v>
          </cell>
          <cell r="DJ421">
            <v>0.19574537965021932</v>
          </cell>
          <cell r="DK421">
            <v>0.18482463805586768</v>
          </cell>
        </row>
        <row r="422">
          <cell r="DE422" t="str">
            <v>FS</v>
          </cell>
          <cell r="DG422">
            <v>0.29288534397132315</v>
          </cell>
          <cell r="DH422">
            <v>0.30441262582005235</v>
          </cell>
          <cell r="DI422">
            <v>0.29415793925966105</v>
          </cell>
          <cell r="DJ422">
            <v>0.29195940334301473</v>
          </cell>
          <cell r="DK422">
            <v>0.28641562234407547</v>
          </cell>
        </row>
        <row r="423">
          <cell r="DE423" t="str">
            <v>5&amp;6</v>
          </cell>
          <cell r="DG423">
            <v>0.31022166436771559</v>
          </cell>
          <cell r="DH423">
            <v>0.34998003705894576</v>
          </cell>
          <cell r="DI423">
            <v>0.33603448710005912</v>
          </cell>
          <cell r="DJ423">
            <v>0.36487755940328892</v>
          </cell>
          <cell r="DK423">
            <v>0.39616742025078711</v>
          </cell>
        </row>
        <row r="424">
          <cell r="DE424" t="str">
            <v>7&amp;8</v>
          </cell>
          <cell r="DG424">
            <v>0.30211483006065198</v>
          </cell>
          <cell r="DH424">
            <v>0.3418559017128121</v>
          </cell>
          <cell r="DI424">
            <v>0.32846140986462469</v>
          </cell>
          <cell r="DJ424">
            <v>0.35858021796211559</v>
          </cell>
          <cell r="DK424">
            <v>0.39101877528589535</v>
          </cell>
        </row>
        <row r="425">
          <cell r="DE425" t="str">
            <v>Far East</v>
          </cell>
          <cell r="DG425">
            <v>0.20917008614005439</v>
          </cell>
          <cell r="DH425">
            <v>0.32062845209527324</v>
          </cell>
          <cell r="DI425">
            <v>0.30875073215384874</v>
          </cell>
          <cell r="DJ425">
            <v>0.35334650277350621</v>
          </cell>
          <cell r="DK425">
            <v>0.38931013979286544</v>
          </cell>
        </row>
        <row r="426">
          <cell r="DE426" t="str">
            <v>Sands</v>
          </cell>
          <cell r="DF426">
            <v>1.0733429543346107E-2</v>
          </cell>
          <cell r="DG426">
            <v>1.0733429543346107E-2</v>
          </cell>
          <cell r="DH426">
            <v>1.0733429543346107E-2</v>
          </cell>
          <cell r="DI426">
            <v>1.0733429543346107E-2</v>
          </cell>
          <cell r="DJ426">
            <v>1.0733429543345885E-2</v>
          </cell>
          <cell r="DK426">
            <v>1.0733429543345996E-2</v>
          </cell>
        </row>
        <row r="427">
          <cell r="DE427" t="str">
            <v>Wynn Macau</v>
          </cell>
          <cell r="DF427">
            <v>3.3918255233811312E-3</v>
          </cell>
          <cell r="DG427">
            <v>-9.3814467372872468E-3</v>
          </cell>
          <cell r="DH427">
            <v>-4.6022886583234612E-3</v>
          </cell>
          <cell r="DI427">
            <v>-6.5531071438555966E-3</v>
          </cell>
          <cell r="DJ427">
            <v>-8.9184772432064907E-3</v>
          </cell>
          <cell r="DK427">
            <v>-1.3235204587965121E-2</v>
          </cell>
        </row>
        <row r="428">
          <cell r="DE428" t="str">
            <v>Wynn Cotai</v>
          </cell>
          <cell r="DI428">
            <v>0.21334803361055987</v>
          </cell>
          <cell r="DJ428">
            <v>0.19428638901319306</v>
          </cell>
          <cell r="DK428">
            <v>0.19557976966089463</v>
          </cell>
        </row>
        <row r="429">
          <cell r="DE429" t="str">
            <v>MGM Grand</v>
          </cell>
          <cell r="DF429">
            <v>5.4783333984664617E-2</v>
          </cell>
          <cell r="DG429">
            <v>5.9039102117631859E-2</v>
          </cell>
          <cell r="DH429">
            <v>5.5635403182956122E-2</v>
          </cell>
          <cell r="DI429">
            <v>5.2882871654096886E-2</v>
          </cell>
          <cell r="DJ429">
            <v>5.1060215790792118E-2</v>
          </cell>
          <cell r="DK429">
            <v>4.7845364961527581E-2</v>
          </cell>
        </row>
        <row r="431">
          <cell r="DE431" t="str">
            <v>Non-Gaming ex Retail</v>
          </cell>
        </row>
        <row r="432">
          <cell r="DE432" t="str">
            <v>Wynn Macau</v>
          </cell>
          <cell r="DF432">
            <v>3.3918255233811312E-3</v>
          </cell>
          <cell r="DG432">
            <v>-9.3814467372872468E-3</v>
          </cell>
          <cell r="DH432">
            <v>-4.6022886583234612E-3</v>
          </cell>
          <cell r="DI432">
            <v>-6.5531071438555966E-3</v>
          </cell>
          <cell r="DJ432">
            <v>-8.9184772432064907E-3</v>
          </cell>
          <cell r="DK432">
            <v>-1.3235204587965121E-2</v>
          </cell>
        </row>
        <row r="433">
          <cell r="DE433" t="str">
            <v>Sands</v>
          </cell>
          <cell r="DF433">
            <v>1.0733429543346107E-2</v>
          </cell>
          <cell r="DG433">
            <v>1.0733429543346107E-2</v>
          </cell>
          <cell r="DH433">
            <v>1.0733429543346107E-2</v>
          </cell>
          <cell r="DI433">
            <v>1.0733429543346107E-2</v>
          </cell>
          <cell r="DJ433">
            <v>1.0733429543345885E-2</v>
          </cell>
          <cell r="DK433">
            <v>1.0733429543345996E-2</v>
          </cell>
        </row>
        <row r="434">
          <cell r="DE434" t="str">
            <v>MGM Grand</v>
          </cell>
          <cell r="DF434">
            <v>5.4783333984664617E-2</v>
          </cell>
          <cell r="DG434">
            <v>5.9039102117631859E-2</v>
          </cell>
          <cell r="DH434">
            <v>5.5635403182956122E-2</v>
          </cell>
          <cell r="DI434">
            <v>5.2882871654096886E-2</v>
          </cell>
          <cell r="DJ434">
            <v>5.1060215790792118E-2</v>
          </cell>
          <cell r="DK434">
            <v>4.7845364961527581E-2</v>
          </cell>
        </row>
        <row r="435">
          <cell r="DE435" t="str">
            <v>Venetian</v>
          </cell>
          <cell r="DF435">
            <v>5.9800506404479759E-2</v>
          </cell>
          <cell r="DG435">
            <v>9.3992569876385046E-2</v>
          </cell>
          <cell r="DH435">
            <v>0.11186762296729957</v>
          </cell>
          <cell r="DI435">
            <v>0.10482917058587127</v>
          </cell>
          <cell r="DJ435">
            <v>0.1041553162497435</v>
          </cell>
          <cell r="DK435">
            <v>9.8479785050097912E-2</v>
          </cell>
        </row>
        <row r="436">
          <cell r="DE436" t="str">
            <v>Four Seasons</v>
          </cell>
          <cell r="DG436">
            <v>0.11944526845078707</v>
          </cell>
          <cell r="DH436">
            <v>0.13519909909790317</v>
          </cell>
          <cell r="DI436">
            <v>0.13164398629661045</v>
          </cell>
          <cell r="DJ436">
            <v>0.13333672330123159</v>
          </cell>
          <cell r="DK436">
            <v>0.13273999972640882</v>
          </cell>
        </row>
        <row r="437">
          <cell r="DE437" t="str">
            <v>Wynn Cotai</v>
          </cell>
          <cell r="DI437">
            <v>0.1627366269022722</v>
          </cell>
          <cell r="DJ437">
            <v>0.14846590003806204</v>
          </cell>
          <cell r="DK437">
            <v>0.15130273216298007</v>
          </cell>
        </row>
        <row r="438">
          <cell r="DE438" t="str">
            <v>Plots 5&amp;6</v>
          </cell>
          <cell r="DG438">
            <v>0.181932409371795</v>
          </cell>
          <cell r="DH438">
            <v>0.21999717228986015</v>
          </cell>
          <cell r="DI438">
            <v>0.21679806629361242</v>
          </cell>
          <cell r="DJ438">
            <v>0.26783618951181343</v>
          </cell>
          <cell r="DK438">
            <v>0.31836872385772919</v>
          </cell>
        </row>
        <row r="439">
          <cell r="DE439" t="str">
            <v>Plots 7&amp;8</v>
          </cell>
          <cell r="DG439">
            <v>0.181932409371795</v>
          </cell>
          <cell r="DH439">
            <v>0.21999717228986015</v>
          </cell>
          <cell r="DI439">
            <v>0.21679806629361242</v>
          </cell>
          <cell r="DJ439">
            <v>0.26783618951181343</v>
          </cell>
          <cell r="DK439">
            <v>0.31836872385772919</v>
          </cell>
        </row>
        <row r="440">
          <cell r="DE440" t="str">
            <v>Far East</v>
          </cell>
          <cell r="DG440">
            <v>0.181932409371795</v>
          </cell>
          <cell r="DH440">
            <v>0.21999717228986015</v>
          </cell>
          <cell r="DI440">
            <v>0.21679806629361242</v>
          </cell>
          <cell r="DJ440">
            <v>0.27788902192595755</v>
          </cell>
          <cell r="DK440">
            <v>0.32932296236336722</v>
          </cell>
        </row>
      </sheetData>
      <sheetData sheetId="13" refreshError="1">
        <row r="2">
          <cell r="C2">
            <v>1847</v>
          </cell>
          <cell r="D2">
            <v>1937</v>
          </cell>
          <cell r="E2">
            <v>1962</v>
          </cell>
          <cell r="F2">
            <v>1986</v>
          </cell>
          <cell r="G2">
            <v>1996</v>
          </cell>
          <cell r="H2">
            <v>1997</v>
          </cell>
          <cell r="I2">
            <v>1998</v>
          </cell>
          <cell r="J2">
            <v>1999</v>
          </cell>
          <cell r="K2">
            <v>2000</v>
          </cell>
          <cell r="L2">
            <v>2001</v>
          </cell>
          <cell r="M2">
            <v>2002</v>
          </cell>
          <cell r="N2">
            <v>2003</v>
          </cell>
          <cell r="O2">
            <v>2004</v>
          </cell>
          <cell r="P2">
            <v>2005</v>
          </cell>
          <cell r="Q2" t="str">
            <v>2006E</v>
          </cell>
          <cell r="R2" t="str">
            <v>2007E</v>
          </cell>
          <cell r="S2" t="str">
            <v>2008E</v>
          </cell>
          <cell r="T2" t="str">
            <v>2009E</v>
          </cell>
          <cell r="U2" t="str">
            <v>2010E</v>
          </cell>
        </row>
        <row r="3">
          <cell r="B3" t="str">
            <v>Actual</v>
          </cell>
          <cell r="G3">
            <v>2055.1445888483158</v>
          </cell>
          <cell r="H3">
            <v>2224.660161928372</v>
          </cell>
          <cell r="I3">
            <v>1814.9949815199464</v>
          </cell>
          <cell r="J3">
            <v>1621.756107296324</v>
          </cell>
          <cell r="K3">
            <v>1986.748322301157</v>
          </cell>
          <cell r="L3">
            <v>2255.9423215342531</v>
          </cell>
          <cell r="M3">
            <v>2694.4722301621464</v>
          </cell>
          <cell r="N3">
            <v>3478.0719926815259</v>
          </cell>
          <cell r="O3">
            <v>5012.5606170147839</v>
          </cell>
          <cell r="P3">
            <v>5583.0517159194042</v>
          </cell>
          <cell r="Q3">
            <v>6872.4190251586988</v>
          </cell>
        </row>
        <row r="4">
          <cell r="B4" t="str">
            <v>Forecast</v>
          </cell>
          <cell r="Q4">
            <v>6872.4190251586988</v>
          </cell>
          <cell r="R4">
            <v>8711.3099488232911</v>
          </cell>
          <cell r="S4">
            <v>9975.4970811944731</v>
          </cell>
          <cell r="T4">
            <v>11495.287373279902</v>
          </cell>
          <cell r="U4">
            <v>12937.576081668471</v>
          </cell>
        </row>
        <row r="5">
          <cell r="B5" t="str">
            <v>Tables</v>
          </cell>
          <cell r="G5">
            <v>0</v>
          </cell>
          <cell r="H5">
            <v>0</v>
          </cell>
          <cell r="I5">
            <v>0</v>
          </cell>
          <cell r="J5">
            <v>0</v>
          </cell>
          <cell r="K5">
            <v>0</v>
          </cell>
          <cell r="L5">
            <v>0</v>
          </cell>
          <cell r="M5">
            <v>0</v>
          </cell>
          <cell r="N5">
            <v>441</v>
          </cell>
          <cell r="O5">
            <v>660.54586717630195</v>
          </cell>
          <cell r="P5">
            <v>1251.75</v>
          </cell>
          <cell r="Q5">
            <v>2064.4426328502418</v>
          </cell>
          <cell r="R5">
            <v>3839.166666666667</v>
          </cell>
          <cell r="S5">
            <v>5581</v>
          </cell>
          <cell r="T5">
            <v>8198.5</v>
          </cell>
          <cell r="U5">
            <v>9966</v>
          </cell>
        </row>
        <row r="6">
          <cell r="B6" t="str">
            <v>Slots</v>
          </cell>
          <cell r="G6">
            <v>0</v>
          </cell>
          <cell r="H6">
            <v>0</v>
          </cell>
          <cell r="I6">
            <v>0</v>
          </cell>
          <cell r="J6">
            <v>0</v>
          </cell>
          <cell r="K6">
            <v>0</v>
          </cell>
          <cell r="L6">
            <v>0</v>
          </cell>
          <cell r="M6">
            <v>0</v>
          </cell>
          <cell r="N6">
            <v>824.25</v>
          </cell>
          <cell r="O6">
            <v>1548.6654323936932</v>
          </cell>
          <cell r="P6">
            <v>2918.5</v>
          </cell>
          <cell r="Q6">
            <v>4767.75</v>
          </cell>
          <cell r="R6">
            <v>11066.615942028986</v>
          </cell>
          <cell r="S6">
            <v>17875.782608695652</v>
          </cell>
          <cell r="T6">
            <v>27650.782608695652</v>
          </cell>
          <cell r="U6">
            <v>38425.782608695648</v>
          </cell>
        </row>
      </sheetData>
      <sheetData sheetId="14" refreshError="1"/>
      <sheetData sheetId="15" refreshError="1"/>
      <sheetData sheetId="16" refreshError="1"/>
      <sheetData sheetId="17" refreshError="1">
        <row r="1">
          <cell r="A1" t="str">
            <v>Macau Gaming Market</v>
          </cell>
        </row>
        <row r="2">
          <cell r="A2" t="str">
            <v>Days in Quarter</v>
          </cell>
          <cell r="B2">
            <v>365</v>
          </cell>
          <cell r="C2">
            <v>365</v>
          </cell>
          <cell r="D2">
            <v>366</v>
          </cell>
          <cell r="E2">
            <v>365</v>
          </cell>
          <cell r="F2">
            <v>365</v>
          </cell>
          <cell r="G2">
            <v>365</v>
          </cell>
          <cell r="H2">
            <v>366</v>
          </cell>
          <cell r="I2">
            <v>365</v>
          </cell>
          <cell r="J2">
            <v>365</v>
          </cell>
          <cell r="K2">
            <v>365</v>
          </cell>
          <cell r="L2">
            <v>366</v>
          </cell>
          <cell r="M2">
            <v>90</v>
          </cell>
          <cell r="N2">
            <v>91</v>
          </cell>
          <cell r="O2">
            <v>92</v>
          </cell>
          <cell r="P2">
            <v>92</v>
          </cell>
          <cell r="Q2">
            <v>365</v>
          </cell>
          <cell r="R2">
            <v>89</v>
          </cell>
          <cell r="S2">
            <v>181</v>
          </cell>
          <cell r="T2">
            <v>184</v>
          </cell>
          <cell r="U2">
            <v>184</v>
          </cell>
          <cell r="V2">
            <v>638</v>
          </cell>
        </row>
        <row r="3">
          <cell r="B3">
            <v>34699</v>
          </cell>
          <cell r="C3">
            <v>35064</v>
          </cell>
          <cell r="D3">
            <v>35430</v>
          </cell>
          <cell r="E3">
            <v>35795</v>
          </cell>
          <cell r="F3">
            <v>36160</v>
          </cell>
          <cell r="G3">
            <v>36525</v>
          </cell>
          <cell r="H3">
            <v>36891</v>
          </cell>
          <cell r="I3">
            <v>37256</v>
          </cell>
          <cell r="J3">
            <v>37621</v>
          </cell>
          <cell r="K3">
            <v>37986</v>
          </cell>
          <cell r="L3">
            <v>38352</v>
          </cell>
          <cell r="M3">
            <v>38442</v>
          </cell>
          <cell r="N3">
            <v>38533</v>
          </cell>
          <cell r="O3">
            <v>38625</v>
          </cell>
          <cell r="P3">
            <v>38717</v>
          </cell>
          <cell r="Q3">
            <v>38717</v>
          </cell>
          <cell r="R3">
            <v>38806</v>
          </cell>
          <cell r="S3">
            <v>38898</v>
          </cell>
          <cell r="T3">
            <v>38990</v>
          </cell>
          <cell r="U3">
            <v>39082</v>
          </cell>
          <cell r="V3">
            <v>39082</v>
          </cell>
        </row>
        <row r="5">
          <cell r="B5">
            <v>1994</v>
          </cell>
          <cell r="C5">
            <v>1995</v>
          </cell>
          <cell r="D5">
            <v>1996</v>
          </cell>
          <cell r="E5">
            <v>1997</v>
          </cell>
          <cell r="F5">
            <v>1998</v>
          </cell>
          <cell r="G5">
            <v>1999</v>
          </cell>
          <cell r="H5">
            <v>2000</v>
          </cell>
          <cell r="I5">
            <v>2001</v>
          </cell>
          <cell r="J5">
            <v>2002</v>
          </cell>
          <cell r="K5">
            <v>2003</v>
          </cell>
          <cell r="L5">
            <v>2004</v>
          </cell>
          <cell r="M5" t="str">
            <v>1Q05</v>
          </cell>
          <cell r="N5" t="str">
            <v>2Q05</v>
          </cell>
          <cell r="O5" t="str">
            <v>3Q05</v>
          </cell>
          <cell r="P5" t="str">
            <v>4Q05</v>
          </cell>
          <cell r="Q5">
            <v>2005</v>
          </cell>
          <cell r="R5" t="str">
            <v>1Q06</v>
          </cell>
          <cell r="S5" t="str">
            <v>2Q06</v>
          </cell>
          <cell r="T5" t="str">
            <v>3Q06</v>
          </cell>
          <cell r="U5" t="str">
            <v>4Q06</v>
          </cell>
          <cell r="V5">
            <v>2006</v>
          </cell>
        </row>
        <row r="7">
          <cell r="A7" t="str">
            <v>Gross Revenue (millions MOP)</v>
          </cell>
        </row>
        <row r="8">
          <cell r="A8" t="str">
            <v>VIP Baccarat</v>
          </cell>
          <cell r="B8">
            <v>9239.1136999999999</v>
          </cell>
          <cell r="C8">
            <v>10981.3902</v>
          </cell>
          <cell r="D8">
            <v>10474.283789999999</v>
          </cell>
          <cell r="E8">
            <v>12342.522059000001</v>
          </cell>
          <cell r="F8">
            <v>9246.3685659999992</v>
          </cell>
          <cell r="G8">
            <v>8603.4069400000008</v>
          </cell>
          <cell r="H8">
            <v>10790</v>
          </cell>
          <cell r="I8">
            <v>12755</v>
          </cell>
          <cell r="J8">
            <v>15864</v>
          </cell>
          <cell r="K8">
            <v>21532</v>
          </cell>
          <cell r="L8">
            <v>28916</v>
          </cell>
          <cell r="M8">
            <v>6998.2630949999993</v>
          </cell>
          <cell r="N8">
            <v>7433.2344050000002</v>
          </cell>
          <cell r="O8">
            <v>6992</v>
          </cell>
          <cell r="P8">
            <v>6600</v>
          </cell>
          <cell r="Q8">
            <v>28023.497499999998</v>
          </cell>
          <cell r="R8">
            <v>7777</v>
          </cell>
          <cell r="S8">
            <v>8097</v>
          </cell>
          <cell r="T8">
            <v>8849</v>
          </cell>
          <cell r="U8">
            <v>10988</v>
          </cell>
          <cell r="V8">
            <v>35711</v>
          </cell>
        </row>
        <row r="9">
          <cell r="A9" t="str">
            <v>Baccarat</v>
          </cell>
          <cell r="B9">
            <v>3020.9284699999998</v>
          </cell>
          <cell r="C9">
            <v>3163.5934200000002</v>
          </cell>
          <cell r="D9">
            <v>2744.5644000000002</v>
          </cell>
          <cell r="E9">
            <v>2582.4481500000002</v>
          </cell>
          <cell r="F9">
            <v>2612.9144900000001</v>
          </cell>
          <cell r="G9">
            <v>1976.75098</v>
          </cell>
          <cell r="H9">
            <v>2387</v>
          </cell>
          <cell r="I9">
            <v>2494</v>
          </cell>
          <cell r="J9">
            <v>2642</v>
          </cell>
          <cell r="K9">
            <v>3016</v>
          </cell>
          <cell r="L9">
            <v>5458</v>
          </cell>
          <cell r="M9">
            <v>1899.3174990000002</v>
          </cell>
          <cell r="N9">
            <v>2204.879238</v>
          </cell>
          <cell r="O9">
            <v>2596</v>
          </cell>
          <cell r="P9">
            <v>2948</v>
          </cell>
          <cell r="Q9">
            <v>9648.1967370000002</v>
          </cell>
          <cell r="R9">
            <v>2575</v>
          </cell>
          <cell r="S9">
            <v>2693</v>
          </cell>
          <cell r="T9">
            <v>2798</v>
          </cell>
          <cell r="U9">
            <v>3136</v>
          </cell>
          <cell r="V9">
            <v>11202</v>
          </cell>
        </row>
        <row r="10">
          <cell r="A10" t="str">
            <v>Other Table Games</v>
          </cell>
          <cell r="B10">
            <v>2860.811451</v>
          </cell>
          <cell r="C10">
            <v>3002.2017969999993</v>
          </cell>
          <cell r="D10">
            <v>2897.5868799999994</v>
          </cell>
          <cell r="E10">
            <v>2616.3740000000003</v>
          </cell>
          <cell r="F10">
            <v>2490.158308</v>
          </cell>
          <cell r="G10">
            <v>2283.9596200000001</v>
          </cell>
          <cell r="H10">
            <v>2484</v>
          </cell>
          <cell r="I10">
            <v>2639</v>
          </cell>
          <cell r="J10">
            <v>2816</v>
          </cell>
          <cell r="K10">
            <v>3074</v>
          </cell>
          <cell r="L10">
            <v>5190</v>
          </cell>
          <cell r="M10">
            <v>1458.6115065000001</v>
          </cell>
          <cell r="N10">
            <v>1407.146107</v>
          </cell>
          <cell r="O10">
            <v>1483.4</v>
          </cell>
          <cell r="P10">
            <v>1490.5</v>
          </cell>
          <cell r="Q10">
            <v>5839.6576134999996</v>
          </cell>
          <cell r="R10">
            <v>1574.5</v>
          </cell>
          <cell r="S10">
            <v>1426.5</v>
          </cell>
          <cell r="T10">
            <v>1382.5</v>
          </cell>
          <cell r="U10">
            <v>1703.6999999999998</v>
          </cell>
          <cell r="V10">
            <v>6087.2</v>
          </cell>
        </row>
        <row r="11">
          <cell r="B11" t="str">
            <v>______</v>
          </cell>
          <cell r="C11" t="str">
            <v>______</v>
          </cell>
          <cell r="D11" t="str">
            <v>______</v>
          </cell>
          <cell r="E11" t="str">
            <v>______</v>
          </cell>
          <cell r="F11" t="str">
            <v>______</v>
          </cell>
          <cell r="G11" t="str">
            <v>______</v>
          </cell>
          <cell r="H11" t="str">
            <v>______</v>
          </cell>
          <cell r="I11" t="str">
            <v>______</v>
          </cell>
          <cell r="J11" t="str">
            <v>______</v>
          </cell>
          <cell r="K11" t="str">
            <v>______</v>
          </cell>
          <cell r="L11" t="str">
            <v>______</v>
          </cell>
          <cell r="M11" t="str">
            <v>______</v>
          </cell>
          <cell r="N11" t="str">
            <v>______</v>
          </cell>
          <cell r="O11" t="str">
            <v>______</v>
          </cell>
          <cell r="P11" t="str">
            <v>______</v>
          </cell>
          <cell r="Q11" t="str">
            <v>______</v>
          </cell>
          <cell r="R11" t="str">
            <v>______</v>
          </cell>
          <cell r="S11" t="str">
            <v>______</v>
          </cell>
          <cell r="T11" t="str">
            <v>______</v>
          </cell>
          <cell r="U11" t="str">
            <v>______</v>
          </cell>
          <cell r="V11" t="str">
            <v>______</v>
          </cell>
        </row>
        <row r="12">
          <cell r="A12" t="str">
            <v>Total Table Games</v>
          </cell>
          <cell r="B12">
            <v>15120.853621</v>
          </cell>
          <cell r="C12">
            <v>17147.185416999997</v>
          </cell>
          <cell r="D12">
            <v>16116.43507</v>
          </cell>
          <cell r="E12">
            <v>17541.344209000003</v>
          </cell>
          <cell r="F12">
            <v>14349.441364</v>
          </cell>
          <cell r="G12">
            <v>12864.117540000001</v>
          </cell>
          <cell r="H12">
            <v>15661</v>
          </cell>
          <cell r="I12">
            <v>17888</v>
          </cell>
          <cell r="J12">
            <v>21322</v>
          </cell>
          <cell r="K12">
            <v>27622</v>
          </cell>
          <cell r="L12">
            <v>39564</v>
          </cell>
          <cell r="M12">
            <v>10356.192100499999</v>
          </cell>
          <cell r="N12">
            <v>11045.259750000001</v>
          </cell>
          <cell r="O12">
            <v>11071.4</v>
          </cell>
          <cell r="P12">
            <v>11038.5</v>
          </cell>
          <cell r="Q12">
            <v>43511.351850499996</v>
          </cell>
          <cell r="R12">
            <v>11926.5</v>
          </cell>
          <cell r="S12">
            <v>12216.5</v>
          </cell>
          <cell r="T12">
            <v>13029.5</v>
          </cell>
          <cell r="U12">
            <v>15827.7</v>
          </cell>
          <cell r="V12">
            <v>53000.2</v>
          </cell>
        </row>
        <row r="13">
          <cell r="A13" t="str">
            <v>Slot Machines</v>
          </cell>
          <cell r="B13">
            <v>292.82445200000001</v>
          </cell>
          <cell r="C13">
            <v>332.74785100000003</v>
          </cell>
          <cell r="D13">
            <v>295.19192099999998</v>
          </cell>
          <cell r="E13">
            <v>242.795143</v>
          </cell>
          <cell r="F13">
            <v>216.145647</v>
          </cell>
          <cell r="G13">
            <v>173.18694099999999</v>
          </cell>
          <cell r="H13">
            <v>217</v>
          </cell>
          <cell r="I13">
            <v>220</v>
          </cell>
          <cell r="J13">
            <v>225</v>
          </cell>
          <cell r="K13">
            <v>230</v>
          </cell>
          <cell r="L13">
            <v>622</v>
          </cell>
          <cell r="M13">
            <v>243.84791546000005</v>
          </cell>
          <cell r="N13">
            <v>295.16821077000003</v>
          </cell>
          <cell r="O13">
            <v>326</v>
          </cell>
          <cell r="P13">
            <v>349</v>
          </cell>
          <cell r="Q13">
            <v>1214.0161262300001</v>
          </cell>
          <cell r="R13">
            <v>425</v>
          </cell>
          <cell r="S13">
            <v>444</v>
          </cell>
          <cell r="T13">
            <v>519</v>
          </cell>
          <cell r="U13">
            <v>608</v>
          </cell>
          <cell r="V13">
            <v>1996</v>
          </cell>
        </row>
        <row r="14">
          <cell r="B14" t="str">
            <v>______</v>
          </cell>
          <cell r="C14" t="str">
            <v>______</v>
          </cell>
          <cell r="D14" t="str">
            <v>______</v>
          </cell>
          <cell r="E14" t="str">
            <v>______</v>
          </cell>
          <cell r="F14" t="str">
            <v>______</v>
          </cell>
          <cell r="G14" t="str">
            <v>______</v>
          </cell>
          <cell r="H14" t="str">
            <v>______</v>
          </cell>
          <cell r="I14" t="str">
            <v>______</v>
          </cell>
          <cell r="J14" t="str">
            <v>______</v>
          </cell>
          <cell r="K14" t="str">
            <v>______</v>
          </cell>
          <cell r="L14" t="str">
            <v>______</v>
          </cell>
          <cell r="M14" t="str">
            <v>______</v>
          </cell>
          <cell r="N14" t="str">
            <v>______</v>
          </cell>
          <cell r="O14" t="str">
            <v>______</v>
          </cell>
          <cell r="P14" t="str">
            <v>______</v>
          </cell>
          <cell r="Q14" t="str">
            <v>______</v>
          </cell>
          <cell r="R14" t="str">
            <v>______</v>
          </cell>
          <cell r="S14" t="str">
            <v>______</v>
          </cell>
          <cell r="T14" t="str">
            <v>______</v>
          </cell>
          <cell r="U14" t="str">
            <v>______</v>
          </cell>
          <cell r="V14" t="str">
            <v>______</v>
          </cell>
        </row>
        <row r="15">
          <cell r="A15" t="str">
            <v>Total Games of Fortune</v>
          </cell>
          <cell r="B15">
            <v>15413.678073000001</v>
          </cell>
          <cell r="C15">
            <v>17479.933267999997</v>
          </cell>
          <cell r="D15">
            <v>16411.626991000001</v>
          </cell>
          <cell r="E15">
            <v>17784.139352000002</v>
          </cell>
          <cell r="F15">
            <v>14565.587011</v>
          </cell>
          <cell r="G15">
            <v>13037.304481000001</v>
          </cell>
          <cell r="H15">
            <v>15878</v>
          </cell>
          <cell r="I15">
            <v>18108</v>
          </cell>
          <cell r="J15">
            <v>21547</v>
          </cell>
          <cell r="K15">
            <v>27852</v>
          </cell>
          <cell r="L15">
            <v>40186</v>
          </cell>
          <cell r="M15">
            <v>10600.040015959999</v>
          </cell>
          <cell r="N15">
            <v>11340.427960770001</v>
          </cell>
          <cell r="O15">
            <v>11397.4</v>
          </cell>
          <cell r="P15">
            <v>11387.5</v>
          </cell>
          <cell r="Q15">
            <v>44725.367976729998</v>
          </cell>
          <cell r="R15">
            <v>12351.5</v>
          </cell>
          <cell r="S15">
            <v>12660.5</v>
          </cell>
          <cell r="T15">
            <v>13548.5</v>
          </cell>
          <cell r="U15">
            <v>16435.7</v>
          </cell>
          <cell r="V15">
            <v>54996.2</v>
          </cell>
        </row>
        <row r="16">
          <cell r="A16" t="str">
            <v xml:space="preserve">  Year-over-Year Growth</v>
          </cell>
          <cell r="C16">
            <v>0.13405335087537851</v>
          </cell>
          <cell r="D16">
            <v>-6.1116153055098543E-2</v>
          </cell>
          <cell r="E16">
            <v>8.363048719987809E-2</v>
          </cell>
          <cell r="F16">
            <v>-0.18097880798701926</v>
          </cell>
          <cell r="G16">
            <v>-0.10492419762044825</v>
          </cell>
          <cell r="H16">
            <v>0.2178897887320117</v>
          </cell>
          <cell r="I16">
            <v>0.14044589998740387</v>
          </cell>
          <cell r="J16">
            <v>0.18991605920035348</v>
          </cell>
          <cell r="K16">
            <v>0.29261614145820758</v>
          </cell>
          <cell r="L16">
            <v>0.4428407295705874</v>
          </cell>
          <cell r="Q16">
            <v>0.1129589403456428</v>
          </cell>
          <cell r="R16">
            <v>0.16523145020234886</v>
          </cell>
          <cell r="S16">
            <v>0.11640407608923842</v>
          </cell>
          <cell r="T16">
            <v>0.18873602751504737</v>
          </cell>
          <cell r="U16">
            <v>0.4433106476399562</v>
          </cell>
          <cell r="V16">
            <v>0.22964220280118819</v>
          </cell>
        </row>
        <row r="17">
          <cell r="A17" t="str">
            <v xml:space="preserve">  % Slots</v>
          </cell>
          <cell r="B17">
            <v>1.8997701302256854E-2</v>
          </cell>
          <cell r="C17">
            <v>1.9035990921610197E-2</v>
          </cell>
          <cell r="D17">
            <v>1.7986755436367203E-2</v>
          </cell>
          <cell r="E17">
            <v>1.3652341459677962E-2</v>
          </cell>
          <cell r="F17">
            <v>1.4839473811578331E-2</v>
          </cell>
          <cell r="G17">
            <v>1.328395307882815E-2</v>
          </cell>
          <cell r="H17">
            <v>1.3666708653482806E-2</v>
          </cell>
          <cell r="I17">
            <v>1.2149326264634415E-2</v>
          </cell>
          <cell r="J17">
            <v>1.0442288949737782E-2</v>
          </cell>
          <cell r="K17">
            <v>8.2579347982191589E-3</v>
          </cell>
          <cell r="L17">
            <v>1.5478027173642562E-2</v>
          </cell>
          <cell r="M17">
            <v>2.3004433482595284E-2</v>
          </cell>
          <cell r="N17">
            <v>2.6027960478306189E-2</v>
          </cell>
          <cell r="O17">
            <v>2.8603014722656046E-2</v>
          </cell>
          <cell r="P17">
            <v>3.0647639956092206E-2</v>
          </cell>
          <cell r="Q17">
            <v>2.7143792911030629E-2</v>
          </cell>
          <cell r="R17">
            <v>3.4408776261992471E-2</v>
          </cell>
          <cell r="S17">
            <v>3.5069704987954663E-2</v>
          </cell>
          <cell r="T17">
            <v>3.8306823633612576E-2</v>
          </cell>
          <cell r="U17">
            <v>3.6992644061402923E-2</v>
          </cell>
          <cell r="V17">
            <v>3.6293416636058493E-2</v>
          </cell>
        </row>
        <row r="18">
          <cell r="A18" t="str">
            <v xml:space="preserve">  % VIP Baccarat</v>
          </cell>
          <cell r="B18">
            <v>0.59941006009357822</v>
          </cell>
          <cell r="C18">
            <v>0.62822838231901668</v>
          </cell>
          <cell r="D18">
            <v>0.6382233641883287</v>
          </cell>
          <cell r="E18">
            <v>0.69401851923815261</v>
          </cell>
          <cell r="F18">
            <v>0.63480919505798827</v>
          </cell>
          <cell r="G18">
            <v>0.65990688125281038</v>
          </cell>
          <cell r="H18">
            <v>0.67955661922156441</v>
          </cell>
          <cell r="I18">
            <v>0.70438480229732714</v>
          </cell>
          <cell r="J18">
            <v>0.73625098621617857</v>
          </cell>
          <cell r="K18">
            <v>0.77308631337067357</v>
          </cell>
          <cell r="L18">
            <v>0.71955407355795553</v>
          </cell>
          <cell r="M18">
            <v>0.66021100717195713</v>
          </cell>
          <cell r="N18">
            <v>0.65546330620976778</v>
          </cell>
          <cell r="O18">
            <v>0.61347324828469652</v>
          </cell>
          <cell r="P18">
            <v>0.57958287596048297</v>
          </cell>
          <cell r="Q18">
            <v>0.62656829373835987</v>
          </cell>
          <cell r="R18">
            <v>0.62964012468121278</v>
          </cell>
          <cell r="S18">
            <v>0.63954820109790289</v>
          </cell>
          <cell r="T18">
            <v>0.65313503339853118</v>
          </cell>
          <cell r="U18">
            <v>0.66854469234653835</v>
          </cell>
          <cell r="V18">
            <v>0.64933577228972184</v>
          </cell>
        </row>
        <row r="19">
          <cell r="A19" t="str">
            <v xml:space="preserve">  % Baccarat</v>
          </cell>
          <cell r="B19">
            <v>0.79540017067540836</v>
          </cell>
          <cell r="C19">
            <v>0.80921267851146816</v>
          </cell>
          <cell r="D19">
            <v>0.80545629005881658</v>
          </cell>
          <cell r="E19">
            <v>0.83922926567270406</v>
          </cell>
          <cell r="F19">
            <v>0.81419877187536716</v>
          </cell>
          <cell r="G19">
            <v>0.81152955623756906</v>
          </cell>
          <cell r="H19">
            <v>0.82989041440987532</v>
          </cell>
          <cell r="I19">
            <v>0.84211398277004634</v>
          </cell>
          <cell r="J19">
            <v>0.85886666357265518</v>
          </cell>
          <cell r="K19">
            <v>0.88137297142036475</v>
          </cell>
          <cell r="L19">
            <v>0.85537251779226597</v>
          </cell>
          <cell r="M19">
            <v>0.83939122688247547</v>
          </cell>
          <cell r="N19">
            <v>0.84988976397902927</v>
          </cell>
          <cell r="O19">
            <v>0.84124449435836246</v>
          </cell>
          <cell r="P19">
            <v>0.83846322722283206</v>
          </cell>
          <cell r="Q19">
            <v>0.84228919606877395</v>
          </cell>
          <cell r="R19">
            <v>0.8381168279156378</v>
          </cell>
          <cell r="S19">
            <v>0.8522570198649343</v>
          </cell>
          <cell r="T19">
            <v>0.85965236003985679</v>
          </cell>
          <cell r="U19">
            <v>0.85934885645272174</v>
          </cell>
          <cell r="V19">
            <v>0.85302257246864333</v>
          </cell>
        </row>
        <row r="21">
          <cell r="A21" t="str">
            <v>Racing Lottery, etc.</v>
          </cell>
          <cell r="B21">
            <v>379.63710399999997</v>
          </cell>
          <cell r="C21">
            <v>431.90696300000002</v>
          </cell>
          <cell r="D21">
            <v>549.1798389999999</v>
          </cell>
          <cell r="E21">
            <v>643.25811390000001</v>
          </cell>
          <cell r="F21">
            <v>968.56400000000008</v>
          </cell>
          <cell r="G21">
            <v>909.49300000000005</v>
          </cell>
          <cell r="H21">
            <v>1198.19</v>
          </cell>
          <cell r="I21">
            <v>1432.44</v>
          </cell>
          <cell r="J21">
            <v>1295.83</v>
          </cell>
          <cell r="K21">
            <v>1626.07</v>
          </cell>
          <cell r="L21">
            <v>2119.0299999999997</v>
          </cell>
          <cell r="M21">
            <v>353.34253695000001</v>
          </cell>
          <cell r="N21">
            <v>279.18853559999997</v>
          </cell>
          <cell r="O21">
            <v>209.01</v>
          </cell>
          <cell r="P21">
            <v>234.01</v>
          </cell>
          <cell r="Q21">
            <v>1075.5510725499998</v>
          </cell>
          <cell r="R21">
            <v>237.01</v>
          </cell>
          <cell r="S21">
            <v>240.01</v>
          </cell>
          <cell r="T21">
            <v>214</v>
          </cell>
          <cell r="U21">
            <v>195.01</v>
          </cell>
          <cell r="V21">
            <v>886.03</v>
          </cell>
        </row>
        <row r="22">
          <cell r="B22" t="str">
            <v>______</v>
          </cell>
          <cell r="C22" t="str">
            <v>______</v>
          </cell>
          <cell r="D22" t="str">
            <v>______</v>
          </cell>
          <cell r="E22" t="str">
            <v>______</v>
          </cell>
          <cell r="F22" t="str">
            <v>______</v>
          </cell>
          <cell r="G22" t="str">
            <v>______</v>
          </cell>
          <cell r="H22" t="str">
            <v>______</v>
          </cell>
          <cell r="I22" t="str">
            <v>______</v>
          </cell>
          <cell r="J22" t="str">
            <v>______</v>
          </cell>
          <cell r="K22" t="str">
            <v>______</v>
          </cell>
          <cell r="L22" t="str">
            <v>______</v>
          </cell>
          <cell r="M22" t="str">
            <v>______</v>
          </cell>
          <cell r="N22" t="str">
            <v>______</v>
          </cell>
          <cell r="O22" t="str">
            <v>______</v>
          </cell>
          <cell r="P22" t="str">
            <v>______</v>
          </cell>
          <cell r="Q22" t="str">
            <v>______</v>
          </cell>
          <cell r="R22" t="str">
            <v>______</v>
          </cell>
          <cell r="S22" t="str">
            <v>______</v>
          </cell>
          <cell r="T22" t="str">
            <v>______</v>
          </cell>
          <cell r="U22" t="str">
            <v>______</v>
          </cell>
          <cell r="V22" t="str">
            <v>______</v>
          </cell>
        </row>
        <row r="23">
          <cell r="A23" t="str">
            <v>Total Gaming Revenues</v>
          </cell>
          <cell r="B23">
            <v>15793.315177</v>
          </cell>
          <cell r="C23">
            <v>17911.840230999998</v>
          </cell>
          <cell r="D23">
            <v>16960.806830000001</v>
          </cell>
          <cell r="E23">
            <v>18427.397465900001</v>
          </cell>
          <cell r="F23">
            <v>15534.151011</v>
          </cell>
          <cell r="G23">
            <v>13946.797481000001</v>
          </cell>
          <cell r="H23">
            <v>17076.189999999999</v>
          </cell>
          <cell r="I23">
            <v>19540.439999999999</v>
          </cell>
          <cell r="J23">
            <v>22842.83</v>
          </cell>
          <cell r="K23">
            <v>29478.07</v>
          </cell>
          <cell r="L23">
            <v>42305.03</v>
          </cell>
          <cell r="M23">
            <v>10953.38255291</v>
          </cell>
          <cell r="N23">
            <v>11619.616496370001</v>
          </cell>
          <cell r="O23">
            <v>11606.41</v>
          </cell>
          <cell r="P23">
            <v>11621.51</v>
          </cell>
          <cell r="Q23">
            <v>45800.919049279997</v>
          </cell>
          <cell r="R23">
            <v>12588.51</v>
          </cell>
          <cell r="S23">
            <v>12900.51</v>
          </cell>
          <cell r="T23">
            <v>13762.5</v>
          </cell>
          <cell r="U23">
            <v>16630.71</v>
          </cell>
          <cell r="V23">
            <v>55882.229999999996</v>
          </cell>
        </row>
        <row r="24">
          <cell r="A24" t="str">
            <v xml:space="preserve">  Year-over-Year Growth</v>
          </cell>
          <cell r="C24">
            <v>0.13414061773966446</v>
          </cell>
          <cell r="D24">
            <v>-5.3095236934619594E-2</v>
          </cell>
          <cell r="E24">
            <v>8.6469390908097576E-2</v>
          </cell>
          <cell r="F24">
            <v>-0.15700787158110474</v>
          </cell>
          <cell r="G24">
            <v>-0.10218476239068142</v>
          </cell>
          <cell r="H24">
            <v>0.22438072419587574</v>
          </cell>
          <cell r="I24">
            <v>0.14430912281955166</v>
          </cell>
          <cell r="J24">
            <v>0.16900284742820548</v>
          </cell>
          <cell r="K24">
            <v>0.29047364096305039</v>
          </cell>
          <cell r="L24">
            <v>0.4351356788283629</v>
          </cell>
        </row>
        <row r="27">
          <cell r="A27" t="str">
            <v>Year-over-Year Growth</v>
          </cell>
        </row>
        <row r="28">
          <cell r="A28" t="str">
            <v xml:space="preserve">  VIP Baccarat</v>
          </cell>
          <cell r="C28">
            <v>0.18857615097863767</v>
          </cell>
          <cell r="D28">
            <v>-4.6178707865239144E-2</v>
          </cell>
          <cell r="E28">
            <v>0.17836429740271553</v>
          </cell>
          <cell r="F28">
            <v>-0.25085257925403737</v>
          </cell>
          <cell r="G28">
            <v>-6.9536664195308573E-2</v>
          </cell>
          <cell r="H28">
            <v>0.25415432226433765</v>
          </cell>
          <cell r="I28">
            <v>0.18211306765523627</v>
          </cell>
          <cell r="J28">
            <v>0.24374754998039982</v>
          </cell>
          <cell r="K28">
            <v>0.35728693898134134</v>
          </cell>
          <cell r="L28">
            <v>0.34293145086383059</v>
          </cell>
          <cell r="Q28">
            <v>-3.0865351362567517E-2</v>
          </cell>
          <cell r="U28">
            <v>0.6648484848484848</v>
          </cell>
          <cell r="V28">
            <v>0.27432344945522957</v>
          </cell>
        </row>
        <row r="29">
          <cell r="A29" t="str">
            <v xml:space="preserve">  Baccarat</v>
          </cell>
          <cell r="C29">
            <v>4.7225530632971413E-2</v>
          </cell>
          <cell r="D29">
            <v>-0.13245349966621178</v>
          </cell>
          <cell r="E29">
            <v>-5.9068116601672771E-2</v>
          </cell>
          <cell r="F29">
            <v>1.1797464355673526E-2</v>
          </cell>
          <cell r="G29">
            <v>-0.24346893571706596</v>
          </cell>
          <cell r="H29">
            <v>0.20753702623686054</v>
          </cell>
          <cell r="I29">
            <v>4.4826141600335045E-2</v>
          </cell>
          <cell r="J29">
            <v>5.9342421812349722E-2</v>
          </cell>
          <cell r="K29">
            <v>0.14155942467827409</v>
          </cell>
          <cell r="L29">
            <v>0.80968169761273212</v>
          </cell>
          <cell r="Q29">
            <v>0.76771651465738366</v>
          </cell>
          <cell r="U29">
            <v>6.3772048846675755E-2</v>
          </cell>
          <cell r="V29">
            <v>0.16104597629537332</v>
          </cell>
        </row>
        <row r="30">
          <cell r="A30" t="str">
            <v xml:space="preserve">  Other Table Games</v>
          </cell>
          <cell r="C30">
            <v>4.9423161372825097E-2</v>
          </cell>
          <cell r="D30">
            <v>-3.4846064346686467E-2</v>
          </cell>
          <cell r="E30">
            <v>-9.7050715525050735E-2</v>
          </cell>
          <cell r="F30">
            <v>-4.8240691888850828E-2</v>
          </cell>
          <cell r="G30">
            <v>-8.2805453507737381E-2</v>
          </cell>
          <cell r="H30">
            <v>8.7584902223446504E-2</v>
          </cell>
          <cell r="I30">
            <v>6.2399355877616802E-2</v>
          </cell>
          <cell r="J30">
            <v>6.7070860174308411E-2</v>
          </cell>
          <cell r="K30">
            <v>9.1619318181818121E-2</v>
          </cell>
          <cell r="L30">
            <v>0.68835393623942753</v>
          </cell>
          <cell r="Q30">
            <v>0.1251748773603083</v>
          </cell>
          <cell r="U30">
            <v>0.14303924857430372</v>
          </cell>
          <cell r="V30">
            <v>4.2389880175121464E-2</v>
          </cell>
        </row>
        <row r="31">
          <cell r="C31" t="str">
            <v>______</v>
          </cell>
          <cell r="D31" t="str">
            <v>______</v>
          </cell>
          <cell r="E31" t="str">
            <v>______</v>
          </cell>
          <cell r="F31" t="str">
            <v>______</v>
          </cell>
          <cell r="G31" t="str">
            <v>______</v>
          </cell>
          <cell r="H31" t="str">
            <v>______</v>
          </cell>
          <cell r="I31" t="str">
            <v>______</v>
          </cell>
          <cell r="J31" t="str">
            <v>______</v>
          </cell>
          <cell r="K31" t="str">
            <v>______</v>
          </cell>
          <cell r="L31" t="str">
            <v>______</v>
          </cell>
          <cell r="Q31" t="str">
            <v>______</v>
          </cell>
          <cell r="V31" t="str">
            <v>______</v>
          </cell>
        </row>
        <row r="32">
          <cell r="A32" t="str">
            <v>Total Table Games</v>
          </cell>
          <cell r="C32">
            <v>0.1340090875018991</v>
          </cell>
          <cell r="D32">
            <v>-6.0111926356035905E-2</v>
          </cell>
          <cell r="E32">
            <v>8.8413419767527035E-2</v>
          </cell>
          <cell r="F32">
            <v>-0.18196455225833386</v>
          </cell>
          <cell r="G32">
            <v>-0.10351091630134068</v>
          </cell>
          <cell r="H32">
            <v>0.21741735889020797</v>
          </cell>
          <cell r="I32">
            <v>0.14220037034672117</v>
          </cell>
          <cell r="J32">
            <v>0.19197227191413235</v>
          </cell>
          <cell r="K32">
            <v>0.29546946815495723</v>
          </cell>
          <cell r="L32">
            <v>0.4323365433350228</v>
          </cell>
          <cell r="Q32">
            <v>9.9771303470326478E-2</v>
          </cell>
          <cell r="V32">
            <v>0.21807753025239474</v>
          </cell>
        </row>
        <row r="33">
          <cell r="A33" t="str">
            <v xml:space="preserve">  Slot Machines</v>
          </cell>
          <cell r="C33">
            <v>0.13633902062249925</v>
          </cell>
          <cell r="D33">
            <v>-0.11286603320542565</v>
          </cell>
          <cell r="E33">
            <v>-0.17750071825305813</v>
          </cell>
          <cell r="F33">
            <v>-0.10976124015792199</v>
          </cell>
          <cell r="G33">
            <v>-0.19874888343229047</v>
          </cell>
          <cell r="H33">
            <v>0.25298130879279168</v>
          </cell>
          <cell r="I33">
            <v>1.3824884792626779E-2</v>
          </cell>
          <cell r="J33">
            <v>2.2727272727272707E-2</v>
          </cell>
          <cell r="K33">
            <v>2.2222222222222143E-2</v>
          </cell>
          <cell r="L33">
            <v>1.7043478260869565</v>
          </cell>
          <cell r="Q33">
            <v>0.95179441516077179</v>
          </cell>
          <cell r="V33">
            <v>0.64412972519431766</v>
          </cell>
        </row>
        <row r="34">
          <cell r="C34" t="str">
            <v>______</v>
          </cell>
          <cell r="D34" t="str">
            <v>______</v>
          </cell>
          <cell r="E34" t="str">
            <v>______</v>
          </cell>
          <cell r="F34" t="str">
            <v>______</v>
          </cell>
          <cell r="G34" t="str">
            <v>______</v>
          </cell>
          <cell r="H34" t="str">
            <v>______</v>
          </cell>
          <cell r="I34" t="str">
            <v>______</v>
          </cell>
          <cell r="J34" t="str">
            <v>______</v>
          </cell>
          <cell r="K34" t="str">
            <v>______</v>
          </cell>
          <cell r="L34" t="str">
            <v>______</v>
          </cell>
          <cell r="Q34" t="str">
            <v>______</v>
          </cell>
          <cell r="V34" t="str">
            <v>______</v>
          </cell>
        </row>
        <row r="35">
          <cell r="A35" t="str">
            <v>Total Games of Fortune</v>
          </cell>
          <cell r="C35">
            <v>0.13405335087537851</v>
          </cell>
          <cell r="D35">
            <v>-6.1116153055098543E-2</v>
          </cell>
          <cell r="E35">
            <v>8.363048719987809E-2</v>
          </cell>
          <cell r="F35">
            <v>-0.18097880798701926</v>
          </cell>
          <cell r="G35">
            <v>-0.10492419762044825</v>
          </cell>
          <cell r="H35">
            <v>0.2178897887320117</v>
          </cell>
          <cell r="I35">
            <v>0.14044589998740387</v>
          </cell>
          <cell r="J35">
            <v>0.18991605920035348</v>
          </cell>
          <cell r="K35">
            <v>0.29261614145820758</v>
          </cell>
          <cell r="L35">
            <v>0.4428407295705874</v>
          </cell>
          <cell r="Q35">
            <v>0.1129589403456428</v>
          </cell>
          <cell r="V35">
            <v>0.22964220280118819</v>
          </cell>
        </row>
        <row r="36">
          <cell r="A36" t="str">
            <v xml:space="preserve">  Racing Lottery, etc.</v>
          </cell>
          <cell r="C36">
            <v>0.13768374705545128</v>
          </cell>
          <cell r="D36">
            <v>0.27152346696480523</v>
          </cell>
          <cell r="E36">
            <v>0.17130686201319234</v>
          </cell>
          <cell r="F36">
            <v>0.50571594678799747</v>
          </cell>
          <cell r="G36">
            <v>-6.0988225868399026E-2</v>
          </cell>
          <cell r="H36">
            <v>0.31742630234647207</v>
          </cell>
          <cell r="I36">
            <v>0.1955032173528406</v>
          </cell>
          <cell r="J36">
            <v>-9.5368741448158434E-2</v>
          </cell>
          <cell r="K36">
            <v>0.25484824398262118</v>
          </cell>
          <cell r="L36">
            <v>0.30316038054942274</v>
          </cell>
          <cell r="Q36">
            <v>-0.49243235227910886</v>
          </cell>
          <cell r="V36">
            <v>-0.17620834322694567</v>
          </cell>
        </row>
        <row r="37">
          <cell r="C37" t="str">
            <v>______</v>
          </cell>
          <cell r="D37" t="str">
            <v>______</v>
          </cell>
          <cell r="E37" t="str">
            <v>______</v>
          </cell>
          <cell r="F37" t="str">
            <v>______</v>
          </cell>
          <cell r="G37" t="str">
            <v>______</v>
          </cell>
          <cell r="H37" t="str">
            <v>______</v>
          </cell>
          <cell r="I37" t="str">
            <v>______</v>
          </cell>
          <cell r="J37" t="str">
            <v>______</v>
          </cell>
          <cell r="K37" t="str">
            <v>______</v>
          </cell>
          <cell r="L37" t="str">
            <v>______</v>
          </cell>
          <cell r="Q37" t="str">
            <v>______</v>
          </cell>
          <cell r="V37" t="str">
            <v>______</v>
          </cell>
        </row>
        <row r="38">
          <cell r="A38" t="str">
            <v>Total Gaming Revenues</v>
          </cell>
          <cell r="C38">
            <v>0.13414061773966446</v>
          </cell>
          <cell r="D38">
            <v>-5.3095236934619594E-2</v>
          </cell>
          <cell r="E38">
            <v>8.6469390908097576E-2</v>
          </cell>
          <cell r="F38">
            <v>-0.15700787158110474</v>
          </cell>
          <cell r="G38">
            <v>-0.10218476239068142</v>
          </cell>
          <cell r="H38">
            <v>0.22438072419587574</v>
          </cell>
          <cell r="I38">
            <v>0.14430912281955166</v>
          </cell>
          <cell r="J38">
            <v>0.16900284742820548</v>
          </cell>
          <cell r="K38">
            <v>0.29047364096305039</v>
          </cell>
          <cell r="L38">
            <v>0.4351356788283629</v>
          </cell>
          <cell r="Q38">
            <v>8.2635304815526611E-2</v>
          </cell>
          <cell r="V38">
            <v>0.22011154273722977</v>
          </cell>
        </row>
        <row r="40">
          <cell r="A40" t="str">
            <v>Positions</v>
          </cell>
        </row>
        <row r="41">
          <cell r="A41" t="str">
            <v>Average Tables</v>
          </cell>
          <cell r="B41">
            <v>341</v>
          </cell>
          <cell r="C41">
            <v>341</v>
          </cell>
          <cell r="D41">
            <v>341</v>
          </cell>
          <cell r="E41">
            <v>341</v>
          </cell>
          <cell r="F41">
            <v>341</v>
          </cell>
          <cell r="G41">
            <v>341</v>
          </cell>
          <cell r="H41">
            <v>341</v>
          </cell>
          <cell r="I41">
            <v>341</v>
          </cell>
          <cell r="J41">
            <v>341</v>
          </cell>
          <cell r="K41">
            <v>441</v>
          </cell>
          <cell r="L41">
            <v>660.54586717630195</v>
          </cell>
          <cell r="M41">
            <v>1159</v>
          </cell>
          <cell r="N41">
            <v>1235.5</v>
          </cell>
          <cell r="O41">
            <v>1270.5</v>
          </cell>
          <cell r="P41">
            <v>1342</v>
          </cell>
          <cell r="Q41">
            <v>1251.75</v>
          </cell>
          <cell r="R41">
            <v>1251.75</v>
          </cell>
          <cell r="S41">
            <v>1561</v>
          </cell>
          <cell r="T41">
            <v>1890</v>
          </cell>
          <cell r="U41">
            <v>2182.5</v>
          </cell>
          <cell r="V41">
            <v>2064.4426328502418</v>
          </cell>
        </row>
        <row r="43">
          <cell r="A43" t="str">
            <v>Daily Win / Table</v>
          </cell>
          <cell r="B43">
            <v>121486.79243964166</v>
          </cell>
          <cell r="C43">
            <v>137767.12663801067</v>
          </cell>
          <cell r="D43">
            <v>129131.89325833693</v>
          </cell>
          <cell r="E43">
            <v>140933.95098220385</v>
          </cell>
          <cell r="F43">
            <v>115288.96769372917</v>
          </cell>
          <cell r="G43">
            <v>103355.30100831561</v>
          </cell>
          <cell r="H43">
            <v>125482.74922680001</v>
          </cell>
          <cell r="I43">
            <v>143719.11782428794</v>
          </cell>
          <cell r="J43">
            <v>171309.20339051139</v>
          </cell>
          <cell r="K43">
            <v>171602.52228745379</v>
          </cell>
          <cell r="L43">
            <v>163650.04464842996</v>
          </cell>
          <cell r="M43">
            <v>99282.830989358627</v>
          </cell>
          <cell r="N43">
            <v>98240.777635961786</v>
          </cell>
          <cell r="O43">
            <v>94719.641359957575</v>
          </cell>
          <cell r="P43">
            <v>89406.628652886662</v>
          </cell>
          <cell r="Q43">
            <v>95234.018895190544</v>
          </cell>
          <cell r="R43">
            <v>107054.61791693875</v>
          </cell>
          <cell r="S43">
            <v>43237.972542038151</v>
          </cell>
          <cell r="T43">
            <v>37466.931216931218</v>
          </cell>
          <cell r="U43">
            <v>39413.566412669956</v>
          </cell>
          <cell r="V43">
            <v>40239.632950425344</v>
          </cell>
        </row>
        <row r="44">
          <cell r="A44" t="str">
            <v xml:space="preserve">  Year-over-Year Growth</v>
          </cell>
          <cell r="C44">
            <v>0.1340090875018991</v>
          </cell>
          <cell r="D44">
            <v>-6.2679926557249077E-2</v>
          </cell>
          <cell r="E44">
            <v>9.139537434223266E-2</v>
          </cell>
          <cell r="F44">
            <v>-0.18196455225833374</v>
          </cell>
          <cell r="G44">
            <v>-0.10351091630134057</v>
          </cell>
          <cell r="H44">
            <v>0.21409108195334947</v>
          </cell>
          <cell r="I44">
            <v>0.14532968642986255</v>
          </cell>
          <cell r="J44">
            <v>0.19197227191413258</v>
          </cell>
          <cell r="K44">
            <v>1.7122191402276776E-3</v>
          </cell>
          <cell r="L44">
            <v>-4.6342428613622144E-2</v>
          </cell>
          <cell r="Q44">
            <v>-0.41806298250769092</v>
          </cell>
          <cell r="V44">
            <v>-0.57746576887917622</v>
          </cell>
        </row>
        <row r="46">
          <cell r="A46" t="str">
            <v>Average Slots</v>
          </cell>
          <cell r="B46">
            <v>700</v>
          </cell>
          <cell r="C46">
            <v>700</v>
          </cell>
          <cell r="D46">
            <v>700</v>
          </cell>
          <cell r="E46">
            <v>700</v>
          </cell>
          <cell r="F46">
            <v>700</v>
          </cell>
          <cell r="G46">
            <v>700</v>
          </cell>
          <cell r="H46">
            <v>700</v>
          </cell>
          <cell r="I46">
            <v>700</v>
          </cell>
          <cell r="J46">
            <v>700</v>
          </cell>
          <cell r="K46">
            <v>824.25</v>
          </cell>
          <cell r="L46">
            <v>1548.6654323936932</v>
          </cell>
          <cell r="M46">
            <v>2721</v>
          </cell>
          <cell r="N46">
            <v>2774.5</v>
          </cell>
          <cell r="O46">
            <v>2927</v>
          </cell>
          <cell r="P46">
            <v>3251.5</v>
          </cell>
          <cell r="Q46">
            <v>2918.5</v>
          </cell>
          <cell r="R46">
            <v>2918.5</v>
          </cell>
          <cell r="S46">
            <v>3988.5</v>
          </cell>
          <cell r="T46">
            <v>4378</v>
          </cell>
          <cell r="U46">
            <v>4849</v>
          </cell>
          <cell r="V46">
            <v>4767.75</v>
          </cell>
        </row>
        <row r="48">
          <cell r="A48" t="str">
            <v>Daily Win / Slot</v>
          </cell>
          <cell r="B48">
            <v>1146.0839608610568</v>
          </cell>
          <cell r="C48">
            <v>1302.339925636008</v>
          </cell>
          <cell r="D48">
            <v>1152.1932903981262</v>
          </cell>
          <cell r="E48">
            <v>950.27453228962816</v>
          </cell>
          <cell r="F48">
            <v>845.97122113502928</v>
          </cell>
          <cell r="G48">
            <v>677.8353855185909</v>
          </cell>
          <cell r="H48">
            <v>846.99453551912563</v>
          </cell>
          <cell r="I48">
            <v>861.05675146771034</v>
          </cell>
          <cell r="J48">
            <v>880.6262230919765</v>
          </cell>
          <cell r="K48">
            <v>764.49740527918698</v>
          </cell>
          <cell r="L48">
            <v>1097.3664914091933</v>
          </cell>
          <cell r="M48">
            <v>995.74468316386969</v>
          </cell>
          <cell r="N48">
            <v>1169.0779281882294</v>
          </cell>
          <cell r="O48">
            <v>1210.6177864262265</v>
          </cell>
          <cell r="P48">
            <v>1166.6856099860265</v>
          </cell>
          <cell r="Q48">
            <v>1139.6510463293914</v>
          </cell>
          <cell r="R48">
            <v>1636.2106900381716</v>
          </cell>
          <cell r="S48">
            <v>615.02787364501671</v>
          </cell>
          <cell r="T48">
            <v>644.27870578187378</v>
          </cell>
          <cell r="U48">
            <v>681.44933513857643</v>
          </cell>
          <cell r="V48">
            <v>656.18512836621574</v>
          </cell>
        </row>
        <row r="49">
          <cell r="A49" t="str">
            <v xml:space="preserve">  Year-over-Year Growth</v>
          </cell>
          <cell r="C49">
            <v>0.13633902062249925</v>
          </cell>
          <cell r="D49">
            <v>-0.11528989650267885</v>
          </cell>
          <cell r="E49">
            <v>-0.1752472955633404</v>
          </cell>
          <cell r="F49">
            <v>-0.10976124015792199</v>
          </cell>
          <cell r="G49">
            <v>-0.19874888343229047</v>
          </cell>
          <cell r="H49">
            <v>0.24955786259390433</v>
          </cell>
          <cell r="I49">
            <v>1.6602487216716089E-2</v>
          </cell>
          <cell r="J49">
            <v>2.2727272727272707E-2</v>
          </cell>
          <cell r="K49">
            <v>-0.13187072422741208</v>
          </cell>
          <cell r="L49">
            <v>0.4354090462981306</v>
          </cell>
          <cell r="Q49">
            <v>3.8532755693950538E-2</v>
          </cell>
          <cell r="V49">
            <v>-0.42422276495979305</v>
          </cell>
        </row>
        <row r="52">
          <cell r="A52" t="str">
            <v>Gaming Revenue Details (millions MOP)</v>
          </cell>
        </row>
        <row r="54">
          <cell r="A54" t="str">
            <v>Gross revenue from Different Gaming Activities</v>
          </cell>
        </row>
        <row r="55">
          <cell r="A55" t="str">
            <v>Games of Fortune</v>
          </cell>
          <cell r="B55">
            <v>15414.038073</v>
          </cell>
          <cell r="C55">
            <v>17479.870634999999</v>
          </cell>
          <cell r="D55">
            <v>16411.627327999999</v>
          </cell>
          <cell r="E55">
            <v>17784.139304</v>
          </cell>
          <cell r="F55">
            <v>14565.585999999999</v>
          </cell>
          <cell r="G55">
            <v>13037.304</v>
          </cell>
          <cell r="H55">
            <v>15878</v>
          </cell>
          <cell r="I55">
            <v>18109</v>
          </cell>
          <cell r="J55">
            <v>21546</v>
          </cell>
          <cell r="K55">
            <v>27849</v>
          </cell>
          <cell r="L55">
            <v>40187</v>
          </cell>
          <cell r="M55">
            <v>10600.040015959999</v>
          </cell>
          <cell r="N55">
            <v>11340.427959770001</v>
          </cell>
          <cell r="O55">
            <v>11396</v>
          </cell>
          <cell r="P55">
            <v>11388</v>
          </cell>
          <cell r="Q55">
            <v>44724.467975730004</v>
          </cell>
          <cell r="R55">
            <v>12352</v>
          </cell>
          <cell r="S55">
            <v>12660</v>
          </cell>
          <cell r="T55">
            <v>13549</v>
          </cell>
          <cell r="U55">
            <v>16437</v>
          </cell>
          <cell r="V55">
            <v>54998</v>
          </cell>
        </row>
        <row r="56">
          <cell r="A56" t="str">
            <v>Greyhound Racing</v>
          </cell>
          <cell r="B56">
            <v>103.246269</v>
          </cell>
          <cell r="C56">
            <v>103.437545</v>
          </cell>
          <cell r="D56">
            <v>94.963158000000007</v>
          </cell>
          <cell r="E56">
            <v>80.415359899999999</v>
          </cell>
          <cell r="F56">
            <v>73.572000000000003</v>
          </cell>
          <cell r="G56">
            <v>82.878</v>
          </cell>
          <cell r="H56">
            <v>92</v>
          </cell>
          <cell r="I56">
            <v>94</v>
          </cell>
          <cell r="J56">
            <v>76</v>
          </cell>
          <cell r="K56">
            <v>74</v>
          </cell>
          <cell r="L56">
            <v>84</v>
          </cell>
          <cell r="M56">
            <v>16.964230000000001</v>
          </cell>
          <cell r="N56">
            <v>16.809089</v>
          </cell>
          <cell r="O56">
            <v>16</v>
          </cell>
          <cell r="P56">
            <v>17</v>
          </cell>
          <cell r="Q56">
            <v>66.773319000000001</v>
          </cell>
          <cell r="R56">
            <v>18</v>
          </cell>
          <cell r="S56">
            <v>17</v>
          </cell>
          <cell r="T56">
            <v>14</v>
          </cell>
          <cell r="U56">
            <v>17</v>
          </cell>
          <cell r="V56">
            <v>66</v>
          </cell>
        </row>
        <row r="57">
          <cell r="A57" t="str">
            <v>Horse Racing</v>
          </cell>
          <cell r="B57">
            <v>262.66829999999999</v>
          </cell>
          <cell r="C57">
            <v>314.14199100000002</v>
          </cell>
          <cell r="D57">
            <v>441.95364000000001</v>
          </cell>
          <cell r="E57">
            <v>554.70159200000001</v>
          </cell>
          <cell r="F57">
            <v>777.202</v>
          </cell>
          <cell r="G57">
            <v>648.88900000000001</v>
          </cell>
          <cell r="H57">
            <v>758</v>
          </cell>
          <cell r="I57">
            <v>823</v>
          </cell>
          <cell r="J57">
            <v>539</v>
          </cell>
          <cell r="K57">
            <v>1003</v>
          </cell>
          <cell r="L57">
            <v>1566</v>
          </cell>
          <cell r="M57">
            <v>248.41574299999999</v>
          </cell>
          <cell r="N57">
            <v>150.86894899999999</v>
          </cell>
          <cell r="O57">
            <v>108</v>
          </cell>
          <cell r="P57">
            <v>129</v>
          </cell>
          <cell r="Q57">
            <v>636.28469199999995</v>
          </cell>
          <cell r="R57">
            <v>119</v>
          </cell>
          <cell r="S57">
            <v>116</v>
          </cell>
          <cell r="T57">
            <v>97</v>
          </cell>
          <cell r="U57">
            <v>104</v>
          </cell>
          <cell r="V57">
            <v>436</v>
          </cell>
        </row>
        <row r="58">
          <cell r="A58" t="str">
            <v>Chinese Lottery</v>
          </cell>
          <cell r="B58">
            <v>9.0780799999999999</v>
          </cell>
          <cell r="C58">
            <v>10.283067000000001</v>
          </cell>
          <cell r="D58">
            <v>9.0239309999999993</v>
          </cell>
          <cell r="E58">
            <v>6.8172569999999997</v>
          </cell>
          <cell r="F58">
            <v>6.8780000000000001</v>
          </cell>
          <cell r="G58">
            <v>5.3119999999999994</v>
          </cell>
          <cell r="H58">
            <v>5</v>
          </cell>
          <cell r="I58">
            <v>4</v>
          </cell>
          <cell r="J58">
            <v>4</v>
          </cell>
          <cell r="K58">
            <v>3</v>
          </cell>
          <cell r="L58">
            <v>5</v>
          </cell>
          <cell r="M58">
            <v>1.9022275</v>
          </cell>
          <cell r="N58">
            <v>1.68655925</v>
          </cell>
          <cell r="O58">
            <v>2</v>
          </cell>
          <cell r="P58">
            <v>1</v>
          </cell>
          <cell r="Q58">
            <v>6.5887867499999997</v>
          </cell>
          <cell r="R58">
            <v>2</v>
          </cell>
          <cell r="S58">
            <v>2</v>
          </cell>
          <cell r="T58">
            <v>2</v>
          </cell>
          <cell r="U58">
            <v>2</v>
          </cell>
          <cell r="V58">
            <v>8</v>
          </cell>
        </row>
        <row r="59">
          <cell r="A59" t="str">
            <v>Instant Lottery</v>
          </cell>
          <cell r="B59">
            <v>4.6444549999999998</v>
          </cell>
          <cell r="C59">
            <v>4.0443600000000002</v>
          </cell>
          <cell r="D59">
            <v>3.2391100000000002</v>
          </cell>
          <cell r="E59">
            <v>1.3239050000000001</v>
          </cell>
          <cell r="F59">
            <v>1.1739999999999999</v>
          </cell>
          <cell r="G59">
            <v>1.1869999999999998</v>
          </cell>
          <cell r="H59">
            <v>1.19</v>
          </cell>
          <cell r="I59">
            <v>1.44</v>
          </cell>
          <cell r="J59">
            <v>0.83</v>
          </cell>
          <cell r="K59">
            <v>7.0000000000000007E-2</v>
          </cell>
          <cell r="L59">
            <v>0.03</v>
          </cell>
          <cell r="M59">
            <v>5.2300000000000003E-3</v>
          </cell>
          <cell r="N59">
            <v>5.1399999999999996E-3</v>
          </cell>
          <cell r="O59">
            <v>0.01</v>
          </cell>
          <cell r="P59">
            <v>0.01</v>
          </cell>
          <cell r="Q59">
            <v>3.0370000000000001E-2</v>
          </cell>
          <cell r="R59">
            <v>0.01</v>
          </cell>
          <cell r="S59">
            <v>0.01</v>
          </cell>
          <cell r="T59">
            <v>0</v>
          </cell>
          <cell r="U59">
            <v>0.01</v>
          </cell>
          <cell r="V59">
            <v>0.03</v>
          </cell>
        </row>
        <row r="60">
          <cell r="A60" t="str">
            <v>Sports Lottery - Football</v>
          </cell>
          <cell r="B60">
            <v>0</v>
          </cell>
          <cell r="C60">
            <v>0</v>
          </cell>
          <cell r="D60">
            <v>0</v>
          </cell>
          <cell r="E60">
            <v>0</v>
          </cell>
          <cell r="F60">
            <v>109.73800000000001</v>
          </cell>
          <cell r="G60">
            <v>171.227</v>
          </cell>
          <cell r="H60">
            <v>342</v>
          </cell>
          <cell r="I60">
            <v>486</v>
          </cell>
          <cell r="J60">
            <v>622</v>
          </cell>
          <cell r="K60">
            <v>496</v>
          </cell>
          <cell r="L60">
            <v>429</v>
          </cell>
          <cell r="M60">
            <v>65.20258917000001</v>
          </cell>
          <cell r="N60">
            <v>98.774498149999971</v>
          </cell>
          <cell r="O60">
            <v>81</v>
          </cell>
          <cell r="P60">
            <v>78</v>
          </cell>
          <cell r="Q60">
            <v>322.97708732000001</v>
          </cell>
          <cell r="R60">
            <v>71</v>
          </cell>
          <cell r="S60">
            <v>94</v>
          </cell>
          <cell r="T60">
            <v>93</v>
          </cell>
          <cell r="U60">
            <v>59</v>
          </cell>
          <cell r="V60">
            <v>317</v>
          </cell>
        </row>
        <row r="61">
          <cell r="A61" t="str">
            <v>Sports Lottery - Basketball</v>
          </cell>
          <cell r="B61">
            <v>0</v>
          </cell>
          <cell r="C61">
            <v>0</v>
          </cell>
          <cell r="D61">
            <v>0</v>
          </cell>
          <cell r="E61">
            <v>0</v>
          </cell>
          <cell r="F61">
            <v>0</v>
          </cell>
          <cell r="G61">
            <v>0</v>
          </cell>
          <cell r="H61">
            <v>0</v>
          </cell>
          <cell r="I61">
            <v>24</v>
          </cell>
          <cell r="J61">
            <v>54</v>
          </cell>
          <cell r="K61">
            <v>50</v>
          </cell>
          <cell r="L61">
            <v>35</v>
          </cell>
          <cell r="M61">
            <v>20.852517280000015</v>
          </cell>
          <cell r="N61">
            <v>11.044300199999995</v>
          </cell>
          <cell r="O61">
            <v>2</v>
          </cell>
          <cell r="P61">
            <v>9</v>
          </cell>
          <cell r="Q61">
            <v>42.89681748000001</v>
          </cell>
          <cell r="R61">
            <v>27</v>
          </cell>
          <cell r="S61">
            <v>11</v>
          </cell>
          <cell r="T61">
            <v>8</v>
          </cell>
          <cell r="U61">
            <v>13</v>
          </cell>
          <cell r="V61">
            <v>59</v>
          </cell>
        </row>
        <row r="63">
          <cell r="A63" t="str">
            <v>Betting amount from Pari-Mutuels and Lotteries</v>
          </cell>
        </row>
        <row r="64">
          <cell r="A64" t="str">
            <v>Greyhound Racing</v>
          </cell>
          <cell r="B64">
            <v>550.52965200000006</v>
          </cell>
          <cell r="C64">
            <v>551.99609950000001</v>
          </cell>
          <cell r="D64">
            <v>506.08776999999998</v>
          </cell>
          <cell r="E64">
            <v>358.97035599999998</v>
          </cell>
          <cell r="F64">
            <v>320.24492900000001</v>
          </cell>
          <cell r="G64">
            <v>362.27925499999998</v>
          </cell>
          <cell r="H64">
            <v>401</v>
          </cell>
          <cell r="I64">
            <v>415</v>
          </cell>
          <cell r="J64">
            <v>334</v>
          </cell>
          <cell r="K64">
            <v>328</v>
          </cell>
          <cell r="L64">
            <v>376</v>
          </cell>
          <cell r="M64">
            <v>76.277507</v>
          </cell>
          <cell r="N64">
            <v>76.270222000000004</v>
          </cell>
          <cell r="O64">
            <v>74</v>
          </cell>
          <cell r="P64">
            <v>77</v>
          </cell>
          <cell r="Q64">
            <v>303.547729</v>
          </cell>
          <cell r="R64">
            <v>81</v>
          </cell>
          <cell r="S64">
            <v>78</v>
          </cell>
          <cell r="T64">
            <v>65</v>
          </cell>
          <cell r="U64">
            <v>78</v>
          </cell>
          <cell r="V64">
            <v>302</v>
          </cell>
        </row>
        <row r="65">
          <cell r="A65" t="str">
            <v>Horse Racing</v>
          </cell>
          <cell r="B65">
            <v>1364.1008939999999</v>
          </cell>
          <cell r="C65">
            <v>1624.7835070000001</v>
          </cell>
          <cell r="D65">
            <v>2238.271236</v>
          </cell>
          <cell r="E65">
            <v>2777.8784609999998</v>
          </cell>
          <cell r="F65">
            <v>3904.017175</v>
          </cell>
          <cell r="G65">
            <v>3269.517163</v>
          </cell>
          <cell r="H65">
            <v>3799</v>
          </cell>
          <cell r="I65">
            <v>4130</v>
          </cell>
          <cell r="J65">
            <v>2723</v>
          </cell>
          <cell r="K65">
            <v>5207</v>
          </cell>
          <cell r="L65">
            <v>8172</v>
          </cell>
          <cell r="M65">
            <v>1289.7429569999999</v>
          </cell>
          <cell r="N65">
            <v>779.04902500000003</v>
          </cell>
          <cell r="O65">
            <v>552</v>
          </cell>
          <cell r="P65">
            <v>665</v>
          </cell>
          <cell r="Q65">
            <v>3285.7919819999997</v>
          </cell>
          <cell r="R65">
            <v>616</v>
          </cell>
          <cell r="S65">
            <v>600</v>
          </cell>
          <cell r="T65">
            <v>499</v>
          </cell>
          <cell r="U65">
            <v>538</v>
          </cell>
          <cell r="V65">
            <v>2253</v>
          </cell>
        </row>
        <row r="66">
          <cell r="A66" t="str">
            <v>Chinese Lottery</v>
          </cell>
          <cell r="B66">
            <v>22.994900000000001</v>
          </cell>
          <cell r="C66">
            <v>23.673475</v>
          </cell>
          <cell r="D66">
            <v>22.069095000000001</v>
          </cell>
          <cell r="E66">
            <v>16.574525000000001</v>
          </cell>
          <cell r="F66">
            <v>14.95759</v>
          </cell>
          <cell r="G66">
            <v>12.949125</v>
          </cell>
          <cell r="H66">
            <v>12</v>
          </cell>
          <cell r="I66">
            <v>10</v>
          </cell>
          <cell r="J66">
            <v>9</v>
          </cell>
          <cell r="K66">
            <v>8</v>
          </cell>
          <cell r="L66">
            <v>20</v>
          </cell>
          <cell r="M66">
            <v>8.6151250000000008</v>
          </cell>
          <cell r="N66">
            <v>8.0336499999999997</v>
          </cell>
          <cell r="O66">
            <v>8</v>
          </cell>
          <cell r="P66">
            <v>7</v>
          </cell>
          <cell r="Q66">
            <v>31.648775000000001</v>
          </cell>
          <cell r="R66">
            <v>8</v>
          </cell>
          <cell r="S66">
            <v>7</v>
          </cell>
          <cell r="T66">
            <v>8</v>
          </cell>
          <cell r="U66">
            <v>8</v>
          </cell>
          <cell r="V66">
            <v>31</v>
          </cell>
        </row>
        <row r="67">
          <cell r="A67" t="str">
            <v>Instant Lottery</v>
          </cell>
          <cell r="B67">
            <v>8.3965599999999991</v>
          </cell>
          <cell r="C67">
            <v>7.2491599999999998</v>
          </cell>
          <cell r="D67">
            <v>5.9154749999999998</v>
          </cell>
          <cell r="E67">
            <v>2.459225</v>
          </cell>
          <cell r="F67">
            <v>2.19042</v>
          </cell>
          <cell r="G67">
            <v>2.1422500000000002</v>
          </cell>
          <cell r="H67">
            <v>2.11</v>
          </cell>
          <cell r="I67">
            <v>2.57</v>
          </cell>
          <cell r="J67">
            <v>1.53</v>
          </cell>
          <cell r="K67">
            <v>0.11</v>
          </cell>
          <cell r="L67">
            <v>7.0000000000000007E-2</v>
          </cell>
          <cell r="M67">
            <v>9.1599999999999997E-3</v>
          </cell>
          <cell r="N67">
            <v>7.7099999999999998E-3</v>
          </cell>
          <cell r="O67">
            <v>0.01</v>
          </cell>
          <cell r="P67">
            <v>0.01</v>
          </cell>
          <cell r="Q67">
            <v>3.687E-2</v>
          </cell>
          <cell r="R67">
            <v>0.01</v>
          </cell>
          <cell r="S67">
            <v>0.02</v>
          </cell>
          <cell r="T67">
            <v>0.01</v>
          </cell>
          <cell r="U67">
            <v>0.01</v>
          </cell>
          <cell r="V67">
            <v>0.05</v>
          </cell>
        </row>
        <row r="68">
          <cell r="A68" t="str">
            <v>Sports Lottery - Football</v>
          </cell>
          <cell r="B68">
            <v>0</v>
          </cell>
          <cell r="C68">
            <v>0</v>
          </cell>
          <cell r="D68">
            <v>0</v>
          </cell>
          <cell r="E68">
            <v>0</v>
          </cell>
          <cell r="F68">
            <v>1707.12260853</v>
          </cell>
          <cell r="G68">
            <v>3487.3826166200001</v>
          </cell>
          <cell r="H68">
            <v>6523</v>
          </cell>
          <cell r="I68">
            <v>7872</v>
          </cell>
          <cell r="J68">
            <v>9670</v>
          </cell>
          <cell r="K68">
            <v>9883</v>
          </cell>
          <cell r="L68">
            <v>8593</v>
          </cell>
          <cell r="M68">
            <v>1644.4183855300003</v>
          </cell>
          <cell r="N68">
            <v>1624.3166911100002</v>
          </cell>
          <cell r="O68">
            <v>1441</v>
          </cell>
          <cell r="P68">
            <v>1654</v>
          </cell>
          <cell r="Q68">
            <v>6363.7350766400004</v>
          </cell>
          <cell r="R68">
            <v>1419</v>
          </cell>
          <cell r="S68">
            <v>1841</v>
          </cell>
          <cell r="T68">
            <v>1225</v>
          </cell>
          <cell r="U68">
            <v>1195</v>
          </cell>
          <cell r="V68">
            <v>5680</v>
          </cell>
        </row>
        <row r="69">
          <cell r="A69" t="str">
            <v>Sports Lottery - Baketball</v>
          </cell>
          <cell r="B69">
            <v>0</v>
          </cell>
          <cell r="C69">
            <v>0</v>
          </cell>
          <cell r="D69">
            <v>0</v>
          </cell>
          <cell r="E69">
            <v>0</v>
          </cell>
          <cell r="F69">
            <v>0</v>
          </cell>
          <cell r="G69">
            <v>0</v>
          </cell>
          <cell r="H69">
            <v>1.6</v>
          </cell>
          <cell r="I69">
            <v>462</v>
          </cell>
          <cell r="J69">
            <v>661</v>
          </cell>
          <cell r="K69">
            <v>589</v>
          </cell>
          <cell r="L69">
            <v>654</v>
          </cell>
          <cell r="M69">
            <v>295.19138844999998</v>
          </cell>
          <cell r="N69">
            <v>201.88244124000002</v>
          </cell>
          <cell r="O69">
            <v>61</v>
          </cell>
          <cell r="P69">
            <v>213</v>
          </cell>
          <cell r="Q69">
            <v>771.07382969000003</v>
          </cell>
          <cell r="R69">
            <v>293</v>
          </cell>
          <cell r="S69">
            <v>194</v>
          </cell>
          <cell r="T69">
            <v>90</v>
          </cell>
          <cell r="U69">
            <v>187</v>
          </cell>
          <cell r="V69">
            <v>764</v>
          </cell>
        </row>
        <row r="71">
          <cell r="A71" t="str">
            <v xml:space="preserve">Gross Revenue from Different Games of Fortune </v>
          </cell>
        </row>
        <row r="72">
          <cell r="A72" t="str">
            <v>Roulette</v>
          </cell>
          <cell r="B72">
            <v>90.769450000000006</v>
          </cell>
          <cell r="C72">
            <v>96.566919999999996</v>
          </cell>
          <cell r="D72">
            <v>61.403799999999997</v>
          </cell>
          <cell r="E72">
            <v>57.496290000000002</v>
          </cell>
          <cell r="F72">
            <v>43.511989999999997</v>
          </cell>
          <cell r="G72">
            <v>42.732990000000001</v>
          </cell>
          <cell r="H72">
            <v>41</v>
          </cell>
          <cell r="I72">
            <v>43</v>
          </cell>
          <cell r="J72">
            <v>48</v>
          </cell>
          <cell r="K72">
            <v>46</v>
          </cell>
          <cell r="L72">
            <v>124</v>
          </cell>
          <cell r="M72">
            <v>42.015459999999997</v>
          </cell>
          <cell r="N72">
            <v>41.775561000000003</v>
          </cell>
          <cell r="O72">
            <v>51</v>
          </cell>
          <cell r="P72">
            <v>46</v>
          </cell>
          <cell r="Q72">
            <v>180.791021</v>
          </cell>
          <cell r="R72">
            <v>45</v>
          </cell>
          <cell r="S72">
            <v>58</v>
          </cell>
          <cell r="T72">
            <v>59</v>
          </cell>
          <cell r="U72">
            <v>79</v>
          </cell>
          <cell r="V72">
            <v>241</v>
          </cell>
          <cell r="X72">
            <v>79</v>
          </cell>
        </row>
        <row r="73">
          <cell r="A73" t="str">
            <v>Black Jack</v>
          </cell>
          <cell r="B73">
            <v>541.56880999999998</v>
          </cell>
          <cell r="C73">
            <v>599.01314000000002</v>
          </cell>
          <cell r="D73">
            <v>597.51099999999997</v>
          </cell>
          <cell r="E73">
            <v>616.18097</v>
          </cell>
          <cell r="F73">
            <v>580.40067999999997</v>
          </cell>
          <cell r="G73">
            <v>485.77318000000002</v>
          </cell>
          <cell r="H73">
            <v>418</v>
          </cell>
          <cell r="I73">
            <v>509</v>
          </cell>
          <cell r="J73">
            <v>573</v>
          </cell>
          <cell r="K73">
            <v>620</v>
          </cell>
          <cell r="L73">
            <v>1176</v>
          </cell>
          <cell r="M73">
            <v>343.27547999999996</v>
          </cell>
          <cell r="N73">
            <v>345.90821699999998</v>
          </cell>
          <cell r="O73">
            <v>365</v>
          </cell>
          <cell r="P73">
            <v>364</v>
          </cell>
          <cell r="Q73">
            <v>1418.1836969999999</v>
          </cell>
          <cell r="R73">
            <v>407</v>
          </cell>
          <cell r="S73">
            <v>355</v>
          </cell>
          <cell r="T73">
            <v>360</v>
          </cell>
          <cell r="U73">
            <v>452</v>
          </cell>
          <cell r="V73">
            <v>1574</v>
          </cell>
          <cell r="X73">
            <v>452</v>
          </cell>
        </row>
        <row r="74">
          <cell r="A74" t="str">
            <v>VIP Baccarat</v>
          </cell>
          <cell r="B74">
            <v>9239.1136999999999</v>
          </cell>
          <cell r="C74">
            <v>10981.3902</v>
          </cell>
          <cell r="D74">
            <v>10474.283789999999</v>
          </cell>
          <cell r="E74">
            <v>12342.522059000001</v>
          </cell>
          <cell r="F74">
            <v>9246.3685659999992</v>
          </cell>
          <cell r="G74">
            <v>8603.4069400000008</v>
          </cell>
          <cell r="H74">
            <v>10790</v>
          </cell>
          <cell r="I74">
            <v>12755</v>
          </cell>
          <cell r="J74">
            <v>15864</v>
          </cell>
          <cell r="K74">
            <v>21532</v>
          </cell>
          <cell r="L74">
            <v>28916</v>
          </cell>
          <cell r="M74">
            <v>6998.2630949999993</v>
          </cell>
          <cell r="N74">
            <v>7433.2344050000002</v>
          </cell>
          <cell r="O74">
            <v>6992</v>
          </cell>
          <cell r="P74">
            <v>6600</v>
          </cell>
          <cell r="Q74">
            <v>28023.497499999998</v>
          </cell>
          <cell r="R74">
            <v>7777</v>
          </cell>
          <cell r="S74">
            <v>8097</v>
          </cell>
          <cell r="T74">
            <v>8849</v>
          </cell>
          <cell r="U74">
            <v>10988</v>
          </cell>
          <cell r="V74">
            <v>35711</v>
          </cell>
          <cell r="X74">
            <v>10659</v>
          </cell>
        </row>
        <row r="75">
          <cell r="A75" t="str">
            <v>Baccarat</v>
          </cell>
          <cell r="B75">
            <v>3020.9284699999998</v>
          </cell>
          <cell r="C75">
            <v>3163.5934200000002</v>
          </cell>
          <cell r="D75">
            <v>2744.5644000000002</v>
          </cell>
          <cell r="E75">
            <v>2582.4481500000002</v>
          </cell>
          <cell r="F75">
            <v>2612.9144900000001</v>
          </cell>
          <cell r="G75">
            <v>1976.75098</v>
          </cell>
          <cell r="H75">
            <v>2387</v>
          </cell>
          <cell r="I75">
            <v>2494</v>
          </cell>
          <cell r="J75">
            <v>2642</v>
          </cell>
          <cell r="K75">
            <v>3016</v>
          </cell>
          <cell r="L75">
            <v>5458</v>
          </cell>
          <cell r="M75">
            <v>1899.3174990000002</v>
          </cell>
          <cell r="N75">
            <v>2204.879238</v>
          </cell>
          <cell r="O75">
            <v>2596</v>
          </cell>
          <cell r="P75">
            <v>2948</v>
          </cell>
          <cell r="Q75">
            <v>9648.1967370000002</v>
          </cell>
          <cell r="R75">
            <v>2575</v>
          </cell>
          <cell r="S75">
            <v>2693</v>
          </cell>
          <cell r="T75">
            <v>2798</v>
          </cell>
          <cell r="U75">
            <v>3136</v>
          </cell>
          <cell r="V75">
            <v>11202</v>
          </cell>
          <cell r="X75">
            <v>3464</v>
          </cell>
        </row>
        <row r="76">
          <cell r="A76" t="str">
            <v>Mini Baccarat</v>
          </cell>
          <cell r="B76">
            <v>30.61</v>
          </cell>
          <cell r="C76">
            <v>40.965000000000003</v>
          </cell>
          <cell r="D76">
            <v>36.311999999999998</v>
          </cell>
          <cell r="E76">
            <v>2.5529999999999999</v>
          </cell>
          <cell r="F76">
            <v>0</v>
          </cell>
          <cell r="G76">
            <v>0</v>
          </cell>
          <cell r="H76">
            <v>0</v>
          </cell>
          <cell r="I76">
            <v>0</v>
          </cell>
          <cell r="J76">
            <v>0</v>
          </cell>
          <cell r="K76">
            <v>0</v>
          </cell>
          <cell r="L76">
            <v>353</v>
          </cell>
          <cell r="M76">
            <v>135.036146</v>
          </cell>
          <cell r="N76">
            <v>106.23892499999999</v>
          </cell>
          <cell r="O76">
            <v>132</v>
          </cell>
          <cell r="P76">
            <v>131</v>
          </cell>
          <cell r="Q76">
            <v>504.27507100000003</v>
          </cell>
          <cell r="R76">
            <v>101</v>
          </cell>
          <cell r="S76">
            <v>93</v>
          </cell>
          <cell r="T76">
            <v>70</v>
          </cell>
          <cell r="U76">
            <v>109</v>
          </cell>
          <cell r="V76">
            <v>373</v>
          </cell>
          <cell r="X76">
            <v>111</v>
          </cell>
        </row>
        <row r="77">
          <cell r="A77" t="str">
            <v>Fantan</v>
          </cell>
          <cell r="B77">
            <v>175.46276</v>
          </cell>
          <cell r="C77">
            <v>183.58168000000001</v>
          </cell>
          <cell r="D77">
            <v>158.52176</v>
          </cell>
          <cell r="E77">
            <v>111.31638</v>
          </cell>
          <cell r="F77">
            <v>127.88188</v>
          </cell>
          <cell r="G77">
            <v>72.850049999999996</v>
          </cell>
          <cell r="H77">
            <v>135</v>
          </cell>
          <cell r="I77">
            <v>142</v>
          </cell>
          <cell r="J77">
            <v>147</v>
          </cell>
          <cell r="K77">
            <v>134</v>
          </cell>
          <cell r="L77">
            <v>144</v>
          </cell>
          <cell r="M77">
            <v>31.649409999999996</v>
          </cell>
          <cell r="N77">
            <v>41.008322</v>
          </cell>
          <cell r="O77">
            <v>32</v>
          </cell>
          <cell r="P77">
            <v>36</v>
          </cell>
          <cell r="Q77">
            <v>140.65773200000001</v>
          </cell>
          <cell r="R77">
            <v>45</v>
          </cell>
          <cell r="S77">
            <v>36</v>
          </cell>
          <cell r="T77">
            <v>31</v>
          </cell>
          <cell r="U77">
            <v>30</v>
          </cell>
          <cell r="V77">
            <v>142</v>
          </cell>
          <cell r="X77">
            <v>30</v>
          </cell>
        </row>
        <row r="78">
          <cell r="A78" t="str">
            <v>Cussec</v>
          </cell>
          <cell r="B78">
            <v>1162.9651899999999</v>
          </cell>
          <cell r="C78">
            <v>1231.8126</v>
          </cell>
          <cell r="D78">
            <v>1021.88512</v>
          </cell>
          <cell r="E78">
            <v>801.6069</v>
          </cell>
          <cell r="F78">
            <v>539.37118999999996</v>
          </cell>
          <cell r="G78">
            <v>466.86399999999998</v>
          </cell>
          <cell r="H78">
            <v>550</v>
          </cell>
          <cell r="I78">
            <v>578</v>
          </cell>
          <cell r="J78">
            <v>623</v>
          </cell>
          <cell r="K78">
            <v>664</v>
          </cell>
          <cell r="L78">
            <v>1180</v>
          </cell>
          <cell r="M78">
            <v>351.92583300000001</v>
          </cell>
          <cell r="N78">
            <v>354.79086000000001</v>
          </cell>
          <cell r="O78">
            <v>377</v>
          </cell>
          <cell r="P78">
            <v>400</v>
          </cell>
          <cell r="Q78">
            <v>1483.7166930000001</v>
          </cell>
          <cell r="R78">
            <v>457</v>
          </cell>
          <cell r="S78">
            <v>428</v>
          </cell>
          <cell r="T78">
            <v>451</v>
          </cell>
          <cell r="U78">
            <v>536</v>
          </cell>
          <cell r="V78">
            <v>1872</v>
          </cell>
          <cell r="X78">
            <v>536</v>
          </cell>
        </row>
        <row r="79">
          <cell r="A79" t="str">
            <v>Paikao</v>
          </cell>
          <cell r="B79">
            <v>418.05205000000001</v>
          </cell>
          <cell r="C79">
            <v>429.5256</v>
          </cell>
          <cell r="D79">
            <v>388.85861999999997</v>
          </cell>
          <cell r="E79">
            <v>284.50403</v>
          </cell>
          <cell r="F79">
            <v>242.435</v>
          </cell>
          <cell r="G79">
            <v>184.29990000000001</v>
          </cell>
          <cell r="H79">
            <v>204</v>
          </cell>
          <cell r="I79">
            <v>189</v>
          </cell>
          <cell r="J79">
            <v>160</v>
          </cell>
          <cell r="K79">
            <v>145</v>
          </cell>
          <cell r="L79">
            <v>132</v>
          </cell>
          <cell r="M79">
            <v>28.23732</v>
          </cell>
          <cell r="N79">
            <v>24.637160000000002</v>
          </cell>
          <cell r="O79">
            <v>19</v>
          </cell>
          <cell r="P79">
            <v>21</v>
          </cell>
          <cell r="Q79">
            <v>92.874480000000005</v>
          </cell>
          <cell r="R79">
            <v>22</v>
          </cell>
          <cell r="S79">
            <v>18</v>
          </cell>
          <cell r="T79">
            <v>18</v>
          </cell>
          <cell r="U79">
            <v>16</v>
          </cell>
          <cell r="V79">
            <v>74</v>
          </cell>
          <cell r="X79">
            <v>16</v>
          </cell>
        </row>
        <row r="80">
          <cell r="A80" t="str">
            <v>Boule</v>
          </cell>
          <cell r="B80">
            <v>44.889000000000003</v>
          </cell>
          <cell r="C80">
            <v>42.902999999999999</v>
          </cell>
          <cell r="D80">
            <v>35.441000000000003</v>
          </cell>
          <cell r="E80">
            <v>28.248999999999999</v>
          </cell>
          <cell r="F80">
            <v>12.46824</v>
          </cell>
          <cell r="G80">
            <v>7.5485300000000004</v>
          </cell>
          <cell r="H80">
            <v>3</v>
          </cell>
          <cell r="I80">
            <v>3</v>
          </cell>
          <cell r="J80">
            <v>4</v>
          </cell>
          <cell r="K80">
            <v>4</v>
          </cell>
          <cell r="L80">
            <v>5</v>
          </cell>
          <cell r="M80">
            <v>0.12589</v>
          </cell>
          <cell r="N80">
            <v>0.11267000000000001</v>
          </cell>
          <cell r="O80">
            <v>0</v>
          </cell>
          <cell r="P80">
            <v>0</v>
          </cell>
          <cell r="Q80">
            <v>0.23855999999999999</v>
          </cell>
          <cell r="R80">
            <v>0</v>
          </cell>
          <cell r="S80">
            <v>0</v>
          </cell>
          <cell r="T80">
            <v>0</v>
          </cell>
          <cell r="U80">
            <v>0</v>
          </cell>
          <cell r="V80">
            <v>0</v>
          </cell>
          <cell r="X80">
            <v>0</v>
          </cell>
        </row>
        <row r="81">
          <cell r="A81" t="str">
            <v>Mahjong</v>
          </cell>
          <cell r="B81">
            <v>11.50094</v>
          </cell>
          <cell r="C81">
            <v>11.77711</v>
          </cell>
          <cell r="D81">
            <v>11.028029999999999</v>
          </cell>
          <cell r="E81">
            <v>10.085559999999999</v>
          </cell>
          <cell r="F81">
            <v>8.8136399999999995</v>
          </cell>
          <cell r="G81">
            <v>8.2141599999999997</v>
          </cell>
          <cell r="H81">
            <v>7</v>
          </cell>
          <cell r="I81">
            <v>2</v>
          </cell>
          <cell r="J81">
            <v>0</v>
          </cell>
          <cell r="K81">
            <v>0</v>
          </cell>
          <cell r="L81">
            <v>0</v>
          </cell>
          <cell r="M81">
            <v>0</v>
          </cell>
          <cell r="N81">
            <v>0</v>
          </cell>
          <cell r="O81">
            <v>0</v>
          </cell>
          <cell r="P81">
            <v>0</v>
          </cell>
          <cell r="Q81">
            <v>0</v>
          </cell>
          <cell r="R81">
            <v>0</v>
          </cell>
          <cell r="S81">
            <v>0</v>
          </cell>
          <cell r="T81">
            <v>0</v>
          </cell>
          <cell r="U81">
            <v>0</v>
          </cell>
          <cell r="V81">
            <v>0</v>
          </cell>
          <cell r="X81">
            <v>0</v>
          </cell>
        </row>
        <row r="82">
          <cell r="A82" t="str">
            <v>Slot Machines</v>
          </cell>
          <cell r="B82">
            <v>292.82445200000001</v>
          </cell>
          <cell r="C82">
            <v>332.74785100000003</v>
          </cell>
          <cell r="D82">
            <v>295.19192099999998</v>
          </cell>
          <cell r="E82">
            <v>242.795143</v>
          </cell>
          <cell r="F82">
            <v>216.145647</v>
          </cell>
          <cell r="G82">
            <v>173.18694099999999</v>
          </cell>
          <cell r="H82">
            <v>217</v>
          </cell>
          <cell r="I82">
            <v>220</v>
          </cell>
          <cell r="J82">
            <v>225</v>
          </cell>
          <cell r="K82">
            <v>230</v>
          </cell>
          <cell r="L82">
            <v>622</v>
          </cell>
          <cell r="M82">
            <v>243.84791546000005</v>
          </cell>
          <cell r="N82">
            <v>295.16821077000003</v>
          </cell>
          <cell r="O82">
            <v>326</v>
          </cell>
          <cell r="P82">
            <v>349</v>
          </cell>
          <cell r="Q82">
            <v>1214.0161262300001</v>
          </cell>
          <cell r="R82">
            <v>425</v>
          </cell>
          <cell r="S82">
            <v>444</v>
          </cell>
          <cell r="T82">
            <v>519</v>
          </cell>
          <cell r="U82">
            <v>608</v>
          </cell>
          <cell r="V82">
            <v>1996</v>
          </cell>
          <cell r="X82">
            <v>608</v>
          </cell>
        </row>
        <row r="83">
          <cell r="A83" t="str">
            <v>Mahjong Paikao</v>
          </cell>
          <cell r="B83">
            <v>313.20218999999997</v>
          </cell>
          <cell r="C83">
            <v>299.0376</v>
          </cell>
          <cell r="D83">
            <v>231.39268999999999</v>
          </cell>
          <cell r="E83">
            <v>122.54004</v>
          </cell>
          <cell r="F83">
            <v>83.96602</v>
          </cell>
          <cell r="G83">
            <v>75.593010000000007</v>
          </cell>
          <cell r="H83">
            <v>80</v>
          </cell>
          <cell r="I83">
            <v>73</v>
          </cell>
          <cell r="J83">
            <v>62</v>
          </cell>
          <cell r="K83">
            <v>53</v>
          </cell>
          <cell r="L83">
            <v>34</v>
          </cell>
          <cell r="M83">
            <v>1.85605</v>
          </cell>
          <cell r="N83">
            <v>1.70651</v>
          </cell>
          <cell r="O83">
            <v>1</v>
          </cell>
          <cell r="P83">
            <v>1</v>
          </cell>
          <cell r="Q83">
            <v>5.5625599999999995</v>
          </cell>
          <cell r="R83">
            <v>1</v>
          </cell>
          <cell r="S83">
            <v>1</v>
          </cell>
          <cell r="T83">
            <v>1</v>
          </cell>
          <cell r="U83">
            <v>0</v>
          </cell>
          <cell r="V83">
            <v>3</v>
          </cell>
          <cell r="X83">
            <v>0</v>
          </cell>
        </row>
        <row r="84">
          <cell r="A84" t="str">
            <v>Super Pan 9</v>
          </cell>
          <cell r="B84">
            <v>18.787759999999999</v>
          </cell>
          <cell r="C84">
            <v>18.844909999999999</v>
          </cell>
          <cell r="D84">
            <v>12.31</v>
          </cell>
          <cell r="E84">
            <v>7.6135000000000002</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X84">
            <v>0</v>
          </cell>
        </row>
        <row r="85">
          <cell r="A85" t="str">
            <v>Paikao II</v>
          </cell>
          <cell r="B85">
            <v>49.632300000000001</v>
          </cell>
          <cell r="C85">
            <v>44.689900000000002</v>
          </cell>
          <cell r="D85">
            <v>30.6965</v>
          </cell>
          <cell r="E85">
            <v>2.0091000000000001</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X85">
            <v>0</v>
          </cell>
        </row>
        <row r="86">
          <cell r="A86" t="str">
            <v>3-Card Poker</v>
          </cell>
          <cell r="B86">
            <v>0</v>
          </cell>
          <cell r="C86">
            <v>0</v>
          </cell>
          <cell r="D86">
            <v>104.59577</v>
          </cell>
          <cell r="E86">
            <v>177.94281000000001</v>
          </cell>
          <cell r="F86">
            <v>188.59272000000001</v>
          </cell>
          <cell r="G86">
            <v>176.21997999999999</v>
          </cell>
          <cell r="H86">
            <v>182</v>
          </cell>
          <cell r="I86">
            <v>187</v>
          </cell>
          <cell r="J86">
            <v>179</v>
          </cell>
          <cell r="K86">
            <v>179</v>
          </cell>
          <cell r="L86">
            <v>194</v>
          </cell>
          <cell r="M86">
            <v>46.857120000000002</v>
          </cell>
          <cell r="N86">
            <v>42.012740000000001</v>
          </cell>
          <cell r="O86">
            <v>40</v>
          </cell>
          <cell r="P86">
            <v>38</v>
          </cell>
          <cell r="Q86">
            <v>166.86986000000002</v>
          </cell>
          <cell r="R86">
            <v>37</v>
          </cell>
          <cell r="S86">
            <v>29</v>
          </cell>
          <cell r="T86">
            <v>28</v>
          </cell>
          <cell r="U86">
            <v>31</v>
          </cell>
          <cell r="V86">
            <v>125</v>
          </cell>
          <cell r="X86">
            <v>31</v>
          </cell>
        </row>
        <row r="87">
          <cell r="A87" t="str">
            <v>Fish-Prawn-Crab</v>
          </cell>
          <cell r="B87">
            <v>0</v>
          </cell>
          <cell r="C87">
            <v>0</v>
          </cell>
          <cell r="D87">
            <v>149.16498000000001</v>
          </cell>
          <cell r="E87">
            <v>282.16962000000001</v>
          </cell>
          <cell r="F87">
            <v>504.71276999999998</v>
          </cell>
          <cell r="G87">
            <v>629.00999000000002</v>
          </cell>
          <cell r="H87">
            <v>724</v>
          </cell>
          <cell r="I87">
            <v>775</v>
          </cell>
          <cell r="J87">
            <v>876</v>
          </cell>
          <cell r="K87">
            <v>1044</v>
          </cell>
          <cell r="L87">
            <v>1261</v>
          </cell>
          <cell r="M87">
            <v>268.28909499999997</v>
          </cell>
          <cell r="N87">
            <v>249.79626999999999</v>
          </cell>
          <cell r="O87">
            <v>255</v>
          </cell>
          <cell r="P87">
            <v>253</v>
          </cell>
          <cell r="Q87">
            <v>1026.0853649999999</v>
          </cell>
          <cell r="R87">
            <v>246</v>
          </cell>
          <cell r="S87">
            <v>200</v>
          </cell>
          <cell r="T87">
            <v>183</v>
          </cell>
          <cell r="U87">
            <v>224</v>
          </cell>
          <cell r="V87">
            <v>853</v>
          </cell>
          <cell r="X87">
            <v>224</v>
          </cell>
        </row>
        <row r="88">
          <cell r="A88" t="str">
            <v>Mahjong Baccarat</v>
          </cell>
          <cell r="B88">
            <v>0</v>
          </cell>
          <cell r="C88">
            <v>0</v>
          </cell>
          <cell r="D88">
            <v>15.99089</v>
          </cell>
          <cell r="E88">
            <v>13.477180000000001</v>
          </cell>
          <cell r="F88">
            <v>25.643660000000001</v>
          </cell>
          <cell r="G88">
            <v>8.5906400000000005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X88">
            <v>0</v>
          </cell>
        </row>
        <row r="89">
          <cell r="A89" t="str">
            <v>3-Card Baccarat</v>
          </cell>
          <cell r="B89">
            <v>0</v>
          </cell>
          <cell r="C89">
            <v>0</v>
          </cell>
          <cell r="D89">
            <v>38.990720000000003</v>
          </cell>
          <cell r="E89">
            <v>95.209620000000001</v>
          </cell>
          <cell r="F89">
            <v>130.62496999999999</v>
          </cell>
          <cell r="G89">
            <v>116.48183</v>
          </cell>
          <cell r="H89">
            <v>130</v>
          </cell>
          <cell r="I89">
            <v>126</v>
          </cell>
          <cell r="J89">
            <v>133</v>
          </cell>
          <cell r="K89">
            <v>149</v>
          </cell>
          <cell r="L89">
            <v>218</v>
          </cell>
          <cell r="M89">
            <v>60.483826999999998</v>
          </cell>
          <cell r="N89">
            <v>60.356791999999999</v>
          </cell>
          <cell r="O89">
            <v>67</v>
          </cell>
          <cell r="P89">
            <v>61</v>
          </cell>
          <cell r="Q89">
            <v>248.840619</v>
          </cell>
          <cell r="R89">
            <v>73</v>
          </cell>
          <cell r="S89">
            <v>63</v>
          </cell>
          <cell r="T89">
            <v>53</v>
          </cell>
          <cell r="U89">
            <v>51</v>
          </cell>
          <cell r="V89">
            <v>240</v>
          </cell>
          <cell r="X89">
            <v>51</v>
          </cell>
        </row>
        <row r="90">
          <cell r="A90" t="str">
            <v>Pachinko</v>
          </cell>
          <cell r="B90">
            <v>0</v>
          </cell>
          <cell r="C90">
            <v>0</v>
          </cell>
          <cell r="D90">
            <v>0</v>
          </cell>
          <cell r="E90">
            <v>0</v>
          </cell>
          <cell r="F90">
            <v>-0.68845199999999995</v>
          </cell>
          <cell r="G90">
            <v>7.8533600000000003</v>
          </cell>
          <cell r="H90">
            <v>8</v>
          </cell>
          <cell r="I90">
            <v>10</v>
          </cell>
          <cell r="J90">
            <v>9</v>
          </cell>
          <cell r="K90">
            <v>8</v>
          </cell>
          <cell r="L90">
            <v>8</v>
          </cell>
          <cell r="M90">
            <v>1.882134</v>
          </cell>
          <cell r="N90">
            <v>0</v>
          </cell>
          <cell r="O90">
            <v>0</v>
          </cell>
          <cell r="P90">
            <v>0</v>
          </cell>
          <cell r="Q90">
            <v>1.882134</v>
          </cell>
          <cell r="R90">
            <v>0</v>
          </cell>
          <cell r="S90">
            <v>0</v>
          </cell>
          <cell r="T90">
            <v>0</v>
          </cell>
          <cell r="U90">
            <v>0</v>
          </cell>
          <cell r="V90">
            <v>0</v>
          </cell>
          <cell r="X90">
            <v>0</v>
          </cell>
        </row>
        <row r="91">
          <cell r="A91" t="str">
            <v>Tombola</v>
          </cell>
          <cell r="B91">
            <v>3.3710010000000001</v>
          </cell>
          <cell r="C91">
            <v>3.484337</v>
          </cell>
          <cell r="D91">
            <v>3.484</v>
          </cell>
          <cell r="E91">
            <v>3.42</v>
          </cell>
          <cell r="F91">
            <v>2.4239999999999999</v>
          </cell>
          <cell r="G91">
            <v>1.9279999999999999</v>
          </cell>
          <cell r="H91">
            <v>2</v>
          </cell>
          <cell r="I91">
            <v>2</v>
          </cell>
          <cell r="J91">
            <v>2</v>
          </cell>
          <cell r="K91">
            <v>2</v>
          </cell>
          <cell r="L91">
            <v>1</v>
          </cell>
          <cell r="M91">
            <v>0.2731905</v>
          </cell>
          <cell r="N91">
            <v>0</v>
          </cell>
          <cell r="O91">
            <v>0.4</v>
          </cell>
          <cell r="P91">
            <v>0.5</v>
          </cell>
          <cell r="Q91">
            <v>1.1731905</v>
          </cell>
          <cell r="R91">
            <v>0.5</v>
          </cell>
          <cell r="S91">
            <v>0.5</v>
          </cell>
          <cell r="T91">
            <v>0.5</v>
          </cell>
          <cell r="U91">
            <v>0.6</v>
          </cell>
          <cell r="V91">
            <v>2.1</v>
          </cell>
          <cell r="X91">
            <v>0.6</v>
          </cell>
        </row>
        <row r="92">
          <cell r="A92" t="str">
            <v>Lucky Wheel</v>
          </cell>
          <cell r="B92">
            <v>0</v>
          </cell>
          <cell r="C92">
            <v>0</v>
          </cell>
          <cell r="D92">
            <v>0</v>
          </cell>
          <cell r="E92">
            <v>0</v>
          </cell>
          <cell r="F92">
            <v>0</v>
          </cell>
          <cell r="G92">
            <v>0</v>
          </cell>
          <cell r="H92">
            <v>0</v>
          </cell>
          <cell r="I92">
            <v>0</v>
          </cell>
          <cell r="J92">
            <v>0</v>
          </cell>
          <cell r="K92">
            <v>7</v>
          </cell>
          <cell r="L92">
            <v>31</v>
          </cell>
          <cell r="M92">
            <v>9.2730149999999991</v>
          </cell>
          <cell r="N92">
            <v>10.028420000000001</v>
          </cell>
          <cell r="O92">
            <v>10</v>
          </cell>
          <cell r="P92">
            <v>8</v>
          </cell>
          <cell r="Q92">
            <v>37.301434999999998</v>
          </cell>
          <cell r="R92">
            <v>9</v>
          </cell>
          <cell r="S92">
            <v>6</v>
          </cell>
          <cell r="T92">
            <v>5</v>
          </cell>
          <cell r="U92">
            <v>6</v>
          </cell>
          <cell r="V92">
            <v>26</v>
          </cell>
          <cell r="X92">
            <v>6</v>
          </cell>
        </row>
        <row r="93">
          <cell r="A93" t="str">
            <v>Football Poker</v>
          </cell>
          <cell r="B93">
            <v>0</v>
          </cell>
          <cell r="C93">
            <v>0</v>
          </cell>
          <cell r="D93">
            <v>0</v>
          </cell>
          <cell r="E93">
            <v>0</v>
          </cell>
          <cell r="F93">
            <v>0</v>
          </cell>
          <cell r="G93">
            <v>0</v>
          </cell>
          <cell r="H93">
            <v>0</v>
          </cell>
          <cell r="I93">
            <v>0</v>
          </cell>
          <cell r="J93">
            <v>0</v>
          </cell>
          <cell r="K93">
            <v>4</v>
          </cell>
          <cell r="L93">
            <v>2</v>
          </cell>
          <cell r="M93">
            <v>0</v>
          </cell>
          <cell r="N93">
            <v>0</v>
          </cell>
          <cell r="O93">
            <v>0</v>
          </cell>
          <cell r="P93">
            <v>0</v>
          </cell>
          <cell r="Q93">
            <v>0</v>
          </cell>
          <cell r="R93">
            <v>0</v>
          </cell>
          <cell r="S93">
            <v>0</v>
          </cell>
          <cell r="T93">
            <v>0</v>
          </cell>
          <cell r="U93">
            <v>0</v>
          </cell>
          <cell r="V93">
            <v>0</v>
          </cell>
          <cell r="X93">
            <v>0</v>
          </cell>
        </row>
        <row r="94">
          <cell r="A94" t="str">
            <v>Stud Poker</v>
          </cell>
          <cell r="B94">
            <v>0</v>
          </cell>
          <cell r="C94">
            <v>0</v>
          </cell>
          <cell r="D94">
            <v>0</v>
          </cell>
          <cell r="E94">
            <v>0</v>
          </cell>
          <cell r="F94">
            <v>0</v>
          </cell>
          <cell r="G94">
            <v>0</v>
          </cell>
          <cell r="H94">
            <v>0</v>
          </cell>
          <cell r="I94">
            <v>0</v>
          </cell>
          <cell r="J94">
            <v>0</v>
          </cell>
          <cell r="K94">
            <v>15</v>
          </cell>
          <cell r="L94">
            <v>327</v>
          </cell>
          <cell r="M94">
            <v>133.351136</v>
          </cell>
          <cell r="N94">
            <v>122.72178</v>
          </cell>
          <cell r="O94">
            <v>127</v>
          </cell>
          <cell r="P94">
            <v>124</v>
          </cell>
          <cell r="Q94">
            <v>507.07291599999996</v>
          </cell>
          <cell r="R94">
            <v>124</v>
          </cell>
          <cell r="S94">
            <v>132</v>
          </cell>
          <cell r="T94">
            <v>119</v>
          </cell>
          <cell r="U94">
            <v>164</v>
          </cell>
          <cell r="V94">
            <v>539</v>
          </cell>
          <cell r="X94">
            <v>164</v>
          </cell>
        </row>
        <row r="95">
          <cell r="A95" t="str">
            <v>Q Poker</v>
          </cell>
          <cell r="B95">
            <v>0</v>
          </cell>
          <cell r="C95">
            <v>0</v>
          </cell>
          <cell r="D95">
            <v>0</v>
          </cell>
          <cell r="E95">
            <v>0</v>
          </cell>
          <cell r="F95">
            <v>0</v>
          </cell>
          <cell r="G95">
            <v>0</v>
          </cell>
          <cell r="H95">
            <v>0</v>
          </cell>
          <cell r="I95">
            <v>0</v>
          </cell>
          <cell r="J95">
            <v>0</v>
          </cell>
          <cell r="K95">
            <v>0</v>
          </cell>
          <cell r="L95">
            <v>0</v>
          </cell>
          <cell r="M95">
            <v>4.0804</v>
          </cell>
          <cell r="N95">
            <v>6.0518799999999997</v>
          </cell>
          <cell r="O95">
            <v>7</v>
          </cell>
          <cell r="P95">
            <v>7</v>
          </cell>
          <cell r="Q95">
            <v>24.132280000000002</v>
          </cell>
          <cell r="R95">
            <v>7</v>
          </cell>
          <cell r="S95">
            <v>7</v>
          </cell>
          <cell r="T95">
            <v>4</v>
          </cell>
          <cell r="U95">
            <v>5</v>
          </cell>
          <cell r="V95">
            <v>23</v>
          </cell>
          <cell r="X95">
            <v>5</v>
          </cell>
        </row>
        <row r="96">
          <cell r="A96" t="str">
            <v>Casino War</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0.1</v>
          </cell>
          <cell r="V96">
            <v>0.1</v>
          </cell>
          <cell r="X96">
            <v>0.1</v>
          </cell>
        </row>
        <row r="97">
          <cell r="B97" t="str">
            <v>______</v>
          </cell>
          <cell r="C97" t="str">
            <v>______</v>
          </cell>
          <cell r="D97" t="str">
            <v>______</v>
          </cell>
          <cell r="E97" t="str">
            <v>______</v>
          </cell>
          <cell r="F97" t="str">
            <v>______</v>
          </cell>
          <cell r="G97" t="str">
            <v>______</v>
          </cell>
          <cell r="H97" t="str">
            <v>______</v>
          </cell>
          <cell r="I97" t="str">
            <v>______</v>
          </cell>
          <cell r="J97" t="str">
            <v>______</v>
          </cell>
          <cell r="K97" t="str">
            <v>______</v>
          </cell>
          <cell r="L97" t="str">
            <v>______</v>
          </cell>
          <cell r="M97" t="str">
            <v>______</v>
          </cell>
          <cell r="N97" t="str">
            <v>______</v>
          </cell>
          <cell r="O97" t="str">
            <v>______</v>
          </cell>
          <cell r="P97" t="str">
            <v>______</v>
          </cell>
          <cell r="Q97" t="str">
            <v>______</v>
          </cell>
          <cell r="R97" t="str">
            <v>______</v>
          </cell>
          <cell r="S97" t="str">
            <v>______</v>
          </cell>
          <cell r="T97" t="str">
            <v>______</v>
          </cell>
          <cell r="U97" t="str">
            <v>______</v>
          </cell>
          <cell r="V97" t="str">
            <v>______</v>
          </cell>
          <cell r="X97" t="str">
            <v>______</v>
          </cell>
        </row>
        <row r="98">
          <cell r="A98" t="str">
            <v>Total</v>
          </cell>
          <cell r="B98">
            <v>15413.678073000001</v>
          </cell>
          <cell r="C98">
            <v>17479.933267999997</v>
          </cell>
          <cell r="D98">
            <v>16411.626990999997</v>
          </cell>
          <cell r="E98">
            <v>17784.139352000002</v>
          </cell>
          <cell r="F98">
            <v>14565.587011</v>
          </cell>
          <cell r="G98">
            <v>13037.304481000001</v>
          </cell>
          <cell r="H98">
            <v>15878</v>
          </cell>
          <cell r="I98">
            <v>18108</v>
          </cell>
          <cell r="J98">
            <v>21547</v>
          </cell>
          <cell r="K98">
            <v>27852</v>
          </cell>
          <cell r="L98">
            <v>40186</v>
          </cell>
          <cell r="M98">
            <v>10600.040015960001</v>
          </cell>
          <cell r="N98">
            <v>11340.427960770001</v>
          </cell>
          <cell r="O98">
            <v>11397.4</v>
          </cell>
          <cell r="P98">
            <v>11387.5</v>
          </cell>
          <cell r="Q98">
            <v>44725.367976729991</v>
          </cell>
          <cell r="R98">
            <v>12351.5</v>
          </cell>
          <cell r="S98">
            <v>12660.5</v>
          </cell>
          <cell r="T98">
            <v>13548.5</v>
          </cell>
          <cell r="U98">
            <v>16435.699999999997</v>
          </cell>
          <cell r="V98">
            <v>54996.2</v>
          </cell>
          <cell r="X98">
            <v>16436.7</v>
          </cell>
        </row>
        <row r="100">
          <cell r="A100" t="str">
            <v>Gaming Tables</v>
          </cell>
          <cell r="J100">
            <v>339</v>
          </cell>
          <cell r="K100">
            <v>424</v>
          </cell>
          <cell r="L100">
            <v>1092</v>
          </cell>
          <cell r="M100">
            <v>1226</v>
          </cell>
          <cell r="N100">
            <v>1245</v>
          </cell>
          <cell r="O100">
            <v>1296</v>
          </cell>
          <cell r="P100">
            <v>1388</v>
          </cell>
          <cell r="Q100">
            <v>1388</v>
          </cell>
          <cell r="R100">
            <v>1648</v>
          </cell>
          <cell r="S100">
            <v>1925</v>
          </cell>
          <cell r="T100">
            <v>2440</v>
          </cell>
          <cell r="U100">
            <v>2762</v>
          </cell>
          <cell r="V100">
            <v>2762</v>
          </cell>
        </row>
        <row r="101">
          <cell r="A101" t="str">
            <v xml:space="preserve">  Mass Market</v>
          </cell>
          <cell r="K101">
            <v>258</v>
          </cell>
          <cell r="L101">
            <v>826</v>
          </cell>
          <cell r="M101">
            <v>940</v>
          </cell>
          <cell r="N101">
            <v>959</v>
          </cell>
          <cell r="O101">
            <v>1006</v>
          </cell>
          <cell r="P101">
            <v>1089</v>
          </cell>
          <cell r="Q101">
            <v>1089</v>
          </cell>
          <cell r="R101">
            <v>1285</v>
          </cell>
          <cell r="S101">
            <v>1497</v>
          </cell>
          <cell r="V101">
            <v>0</v>
          </cell>
        </row>
        <row r="102">
          <cell r="A102" t="str">
            <v xml:space="preserve">  VIP</v>
          </cell>
          <cell r="K102">
            <v>166</v>
          </cell>
          <cell r="L102">
            <v>266</v>
          </cell>
          <cell r="M102">
            <v>286</v>
          </cell>
          <cell r="N102">
            <v>286</v>
          </cell>
          <cell r="O102">
            <v>290</v>
          </cell>
          <cell r="P102">
            <v>299</v>
          </cell>
          <cell r="Q102">
            <v>299</v>
          </cell>
          <cell r="R102">
            <v>363</v>
          </cell>
          <cell r="S102">
            <v>428</v>
          </cell>
          <cell r="V102">
            <v>0</v>
          </cell>
        </row>
        <row r="103">
          <cell r="A103" t="str">
            <v>Slot Machines</v>
          </cell>
          <cell r="J103">
            <v>808</v>
          </cell>
          <cell r="K103">
            <v>814</v>
          </cell>
          <cell r="L103">
            <v>2254</v>
          </cell>
          <cell r="M103">
            <v>2777</v>
          </cell>
          <cell r="N103">
            <v>2772</v>
          </cell>
          <cell r="O103">
            <v>3082</v>
          </cell>
          <cell r="P103">
            <v>3421</v>
          </cell>
          <cell r="Q103">
            <v>3421</v>
          </cell>
          <cell r="R103">
            <v>4223</v>
          </cell>
          <cell r="S103">
            <v>4533</v>
          </cell>
          <cell r="T103">
            <v>5165</v>
          </cell>
          <cell r="U103">
            <v>5165</v>
          </cell>
          <cell r="V103">
            <v>5165</v>
          </cell>
        </row>
        <row r="104">
          <cell r="A104" t="str">
            <v>Pachinkos</v>
          </cell>
          <cell r="J104">
            <v>188</v>
          </cell>
          <cell r="K104">
            <v>188</v>
          </cell>
          <cell r="L104">
            <v>188</v>
          </cell>
        </row>
        <row r="106">
          <cell r="A106" t="str">
            <v>Total Casinos</v>
          </cell>
          <cell r="J106">
            <v>11</v>
          </cell>
          <cell r="K106">
            <v>11</v>
          </cell>
          <cell r="L106">
            <v>15</v>
          </cell>
          <cell r="M106">
            <v>17</v>
          </cell>
          <cell r="N106">
            <v>17</v>
          </cell>
          <cell r="O106">
            <v>16</v>
          </cell>
          <cell r="P106">
            <v>17</v>
          </cell>
          <cell r="Q106">
            <v>17</v>
          </cell>
          <cell r="R106">
            <v>19</v>
          </cell>
          <cell r="S106">
            <v>21</v>
          </cell>
          <cell r="T106">
            <v>22</v>
          </cell>
          <cell r="U106">
            <v>24</v>
          </cell>
          <cell r="V106">
            <v>24</v>
          </cell>
        </row>
        <row r="108">
          <cell r="A108" t="str">
            <v>Sources:</v>
          </cell>
        </row>
        <row r="109">
          <cell r="A109" t="str">
            <v>All</v>
          </cell>
          <cell r="B109" t="str">
            <v>DICJ</v>
          </cell>
        </row>
        <row r="110">
          <cell r="A110" t="str">
            <v>Mass market tables</v>
          </cell>
          <cell r="B110" t="str">
            <v>LVS</v>
          </cell>
        </row>
      </sheetData>
      <sheetData sheetId="18" refreshError="1"/>
      <sheetData sheetId="19" refreshError="1">
        <row r="1">
          <cell r="A1" t="str">
            <v>Province</v>
          </cell>
          <cell r="B1" t="str">
            <v>City</v>
          </cell>
          <cell r="C1" t="str">
            <v>Pop.</v>
          </cell>
          <cell r="D1" t="str">
            <v>Date</v>
          </cell>
        </row>
        <row r="2">
          <cell r="A2" t="str">
            <v>Municipalities</v>
          </cell>
          <cell r="B2" t="str">
            <v>Beijing</v>
          </cell>
          <cell r="C2">
            <v>13820000</v>
          </cell>
          <cell r="D2">
            <v>37865</v>
          </cell>
        </row>
        <row r="3">
          <cell r="A3" t="str">
            <v>Municipalities</v>
          </cell>
          <cell r="B3" t="str">
            <v>Shanghai</v>
          </cell>
          <cell r="C3">
            <v>17110000</v>
          </cell>
          <cell r="D3">
            <v>37865</v>
          </cell>
          <cell r="H3" t="str">
            <v>Date</v>
          </cell>
        </row>
        <row r="4">
          <cell r="A4" t="str">
            <v>Municipalities</v>
          </cell>
          <cell r="B4" t="str">
            <v>Tianjin</v>
          </cell>
          <cell r="C4">
            <v>10113000</v>
          </cell>
          <cell r="D4">
            <v>38412</v>
          </cell>
          <cell r="F4" t="str">
            <v>Province</v>
          </cell>
          <cell r="G4" t="str">
            <v>Category</v>
          </cell>
          <cell r="H4">
            <v>37803</v>
          </cell>
          <cell r="I4">
            <v>37865</v>
          </cell>
          <cell r="J4">
            <v>38108</v>
          </cell>
          <cell r="K4">
            <v>38169</v>
          </cell>
          <cell r="L4">
            <v>38412</v>
          </cell>
          <cell r="M4">
            <v>38657</v>
          </cell>
          <cell r="N4">
            <v>38838</v>
          </cell>
          <cell r="O4">
            <v>39089</v>
          </cell>
          <cell r="P4" t="str">
            <v>Total</v>
          </cell>
        </row>
        <row r="5">
          <cell r="A5" t="str">
            <v>Municipalities</v>
          </cell>
          <cell r="B5" t="str">
            <v>Chongging</v>
          </cell>
          <cell r="C5">
            <v>31300000</v>
          </cell>
          <cell r="D5">
            <v>38412</v>
          </cell>
          <cell r="F5" t="str">
            <v>Guangdong</v>
          </cell>
          <cell r="G5" t="str">
            <v>Population</v>
          </cell>
          <cell r="H5">
            <v>10170000</v>
          </cell>
          <cell r="I5">
            <v>12890000</v>
          </cell>
          <cell r="J5">
            <v>53910000</v>
          </cell>
          <cell r="P5">
            <v>76970000</v>
          </cell>
        </row>
        <row r="6">
          <cell r="A6" t="str">
            <v>Guangdong</v>
          </cell>
          <cell r="B6" t="str">
            <v>Zhongshan</v>
          </cell>
          <cell r="C6">
            <v>1380000</v>
          </cell>
          <cell r="D6">
            <v>37803</v>
          </cell>
          <cell r="G6" t="str">
            <v># of Cities</v>
          </cell>
          <cell r="H6">
            <v>4</v>
          </cell>
          <cell r="I6">
            <v>4</v>
          </cell>
          <cell r="J6">
            <v>13</v>
          </cell>
          <cell r="P6">
            <v>21</v>
          </cell>
        </row>
        <row r="7">
          <cell r="A7" t="str">
            <v>Guangdong</v>
          </cell>
          <cell r="B7" t="str">
            <v>Dongguan</v>
          </cell>
          <cell r="C7">
            <v>1590000</v>
          </cell>
          <cell r="D7">
            <v>37803</v>
          </cell>
          <cell r="F7" t="str">
            <v>Jiangsu</v>
          </cell>
          <cell r="G7" t="str">
            <v>Population</v>
          </cell>
          <cell r="K7">
            <v>16549700</v>
          </cell>
          <cell r="P7">
            <v>16549700</v>
          </cell>
        </row>
        <row r="8">
          <cell r="A8" t="str">
            <v>Guangdong</v>
          </cell>
          <cell r="B8" t="str">
            <v>Jiangmen</v>
          </cell>
          <cell r="C8">
            <v>3810000</v>
          </cell>
          <cell r="D8">
            <v>37803</v>
          </cell>
          <cell r="G8" t="str">
            <v># of Cities</v>
          </cell>
          <cell r="K8">
            <v>3</v>
          </cell>
          <cell r="P8">
            <v>3</v>
          </cell>
        </row>
        <row r="9">
          <cell r="A9" t="str">
            <v>Guangdong</v>
          </cell>
          <cell r="B9" t="str">
            <v>Foshan</v>
          </cell>
          <cell r="C9">
            <v>3390000</v>
          </cell>
          <cell r="D9">
            <v>37803</v>
          </cell>
          <cell r="F9" t="str">
            <v>Zhejiang</v>
          </cell>
          <cell r="G9" t="str">
            <v>Population</v>
          </cell>
          <cell r="K9">
            <v>17330000</v>
          </cell>
          <cell r="P9">
            <v>17330000</v>
          </cell>
        </row>
        <row r="10">
          <cell r="A10" t="str">
            <v>Guangdong</v>
          </cell>
          <cell r="B10" t="str">
            <v>Guangzhou</v>
          </cell>
          <cell r="C10">
            <v>7250000</v>
          </cell>
          <cell r="D10">
            <v>37865</v>
          </cell>
          <cell r="G10" t="str">
            <v># of Cities</v>
          </cell>
          <cell r="K10">
            <v>3</v>
          </cell>
          <cell r="P10">
            <v>3</v>
          </cell>
        </row>
        <row r="11">
          <cell r="A11" t="str">
            <v>Guangdong</v>
          </cell>
          <cell r="B11" t="str">
            <v>Huizhou</v>
          </cell>
          <cell r="C11">
            <v>2860000</v>
          </cell>
          <cell r="D11">
            <v>37865</v>
          </cell>
          <cell r="F11" t="str">
            <v>Fujian</v>
          </cell>
          <cell r="G11" t="str">
            <v>Population</v>
          </cell>
          <cell r="K11">
            <v>15722123</v>
          </cell>
          <cell r="P11">
            <v>15722123</v>
          </cell>
        </row>
        <row r="12">
          <cell r="A12" t="str">
            <v>Guangdong</v>
          </cell>
          <cell r="B12" t="str">
            <v>Shenzhen</v>
          </cell>
          <cell r="C12">
            <v>1500000</v>
          </cell>
          <cell r="D12">
            <v>37865</v>
          </cell>
          <cell r="G12" t="str">
            <v># of Cities</v>
          </cell>
          <cell r="K12">
            <v>3</v>
          </cell>
          <cell r="P12">
            <v>3</v>
          </cell>
        </row>
        <row r="13">
          <cell r="A13" t="str">
            <v>Guangdong</v>
          </cell>
          <cell r="B13" t="str">
            <v>Zhuhai</v>
          </cell>
          <cell r="C13">
            <v>1280000</v>
          </cell>
          <cell r="D13">
            <v>37865</v>
          </cell>
          <cell r="F13" t="str">
            <v>Municipalities</v>
          </cell>
          <cell r="G13" t="str">
            <v>Population</v>
          </cell>
          <cell r="I13">
            <v>30930000</v>
          </cell>
          <cell r="L13">
            <v>41413000</v>
          </cell>
          <cell r="P13">
            <v>72343000</v>
          </cell>
        </row>
        <row r="14">
          <cell r="A14" t="str">
            <v>Guangdong</v>
          </cell>
          <cell r="B14" t="str">
            <v>Chaozhou</v>
          </cell>
          <cell r="C14">
            <v>2490000</v>
          </cell>
          <cell r="D14">
            <v>38108</v>
          </cell>
          <cell r="G14" t="str">
            <v># of Cities</v>
          </cell>
          <cell r="I14">
            <v>2</v>
          </cell>
          <cell r="L14">
            <v>2</v>
          </cell>
          <cell r="P14">
            <v>4</v>
          </cell>
        </row>
        <row r="15">
          <cell r="A15" t="str">
            <v>Guangdong</v>
          </cell>
          <cell r="B15" t="str">
            <v>Heyuan</v>
          </cell>
          <cell r="C15">
            <v>3340000</v>
          </cell>
          <cell r="D15">
            <v>38108</v>
          </cell>
          <cell r="F15" t="str">
            <v>Liaoning</v>
          </cell>
          <cell r="G15" t="str">
            <v>Population</v>
          </cell>
          <cell r="M15">
            <v>13100000</v>
          </cell>
          <cell r="P15">
            <v>13100000</v>
          </cell>
        </row>
        <row r="16">
          <cell r="A16" t="str">
            <v>Guangdong</v>
          </cell>
          <cell r="B16" t="str">
            <v>Jieyang</v>
          </cell>
          <cell r="C16">
            <v>5900000</v>
          </cell>
          <cell r="D16">
            <v>38108</v>
          </cell>
          <cell r="G16" t="str">
            <v># of Cities</v>
          </cell>
          <cell r="M16">
            <v>2</v>
          </cell>
          <cell r="P16">
            <v>2</v>
          </cell>
        </row>
        <row r="17">
          <cell r="A17" t="str">
            <v>Guangdong</v>
          </cell>
          <cell r="B17" t="str">
            <v>Maoming</v>
          </cell>
          <cell r="C17">
            <v>6680000</v>
          </cell>
          <cell r="D17">
            <v>38108</v>
          </cell>
          <cell r="F17" t="str">
            <v>Shandong</v>
          </cell>
          <cell r="G17" t="str">
            <v>Population</v>
          </cell>
          <cell r="M17">
            <v>5900000</v>
          </cell>
          <cell r="P17">
            <v>5900000</v>
          </cell>
        </row>
        <row r="18">
          <cell r="A18" t="str">
            <v>Guangdong</v>
          </cell>
          <cell r="B18" t="str">
            <v>Meizhou</v>
          </cell>
          <cell r="C18">
            <v>4880000</v>
          </cell>
          <cell r="D18">
            <v>38108</v>
          </cell>
          <cell r="G18" t="str">
            <v># of Cities</v>
          </cell>
          <cell r="M18">
            <v>1</v>
          </cell>
          <cell r="P18">
            <v>1</v>
          </cell>
        </row>
        <row r="19">
          <cell r="A19" t="str">
            <v>Guangdong</v>
          </cell>
          <cell r="B19" t="str">
            <v>Qingyuan</v>
          </cell>
          <cell r="C19">
            <v>3870000</v>
          </cell>
          <cell r="D19">
            <v>38108</v>
          </cell>
          <cell r="F19" t="str">
            <v>Sichuan</v>
          </cell>
          <cell r="G19" t="str">
            <v>Population</v>
          </cell>
          <cell r="M19">
            <v>11200000</v>
          </cell>
          <cell r="P19">
            <v>11200000</v>
          </cell>
        </row>
        <row r="20">
          <cell r="A20" t="str">
            <v>Guangdong</v>
          </cell>
          <cell r="B20" t="str">
            <v>Shantou</v>
          </cell>
          <cell r="C20">
            <v>4850000</v>
          </cell>
          <cell r="D20">
            <v>38108</v>
          </cell>
          <cell r="G20" t="str">
            <v># of Cities</v>
          </cell>
          <cell r="M20">
            <v>1</v>
          </cell>
          <cell r="P20">
            <v>1</v>
          </cell>
        </row>
        <row r="21">
          <cell r="A21" t="str">
            <v>Guangdong</v>
          </cell>
          <cell r="B21" t="str">
            <v>Shanwei</v>
          </cell>
          <cell r="C21">
            <v>3060000</v>
          </cell>
          <cell r="D21">
            <v>38108</v>
          </cell>
          <cell r="F21" t="str">
            <v>Hunan</v>
          </cell>
          <cell r="G21" t="str">
            <v>Population</v>
          </cell>
          <cell r="N21">
            <v>2100000</v>
          </cell>
          <cell r="P21">
            <v>2100000</v>
          </cell>
        </row>
        <row r="22">
          <cell r="A22" t="str">
            <v>Guangdong</v>
          </cell>
          <cell r="B22" t="str">
            <v>Shaoguan</v>
          </cell>
          <cell r="C22">
            <v>3150000</v>
          </cell>
          <cell r="D22">
            <v>38108</v>
          </cell>
          <cell r="G22" t="str">
            <v># of Cities</v>
          </cell>
          <cell r="N22">
            <v>1</v>
          </cell>
          <cell r="P22">
            <v>1</v>
          </cell>
        </row>
        <row r="23">
          <cell r="A23" t="str">
            <v>Guangdong</v>
          </cell>
          <cell r="B23" t="str">
            <v>Yangjiang</v>
          </cell>
          <cell r="C23">
            <v>2580000</v>
          </cell>
          <cell r="D23">
            <v>38108</v>
          </cell>
          <cell r="F23" t="str">
            <v>Guangxi</v>
          </cell>
          <cell r="G23" t="str">
            <v>Population</v>
          </cell>
          <cell r="N23">
            <v>1400000</v>
          </cell>
          <cell r="P23">
            <v>1400000</v>
          </cell>
        </row>
        <row r="24">
          <cell r="A24" t="str">
            <v>Guangdong</v>
          </cell>
          <cell r="B24" t="str">
            <v>Yunfu</v>
          </cell>
          <cell r="C24">
            <v>2610000</v>
          </cell>
          <cell r="D24">
            <v>38108</v>
          </cell>
          <cell r="G24" t="str">
            <v># of Cities</v>
          </cell>
          <cell r="N24">
            <v>1</v>
          </cell>
          <cell r="P24">
            <v>1</v>
          </cell>
        </row>
        <row r="25">
          <cell r="A25" t="str">
            <v>Guangdong</v>
          </cell>
          <cell r="B25" t="str">
            <v>Zhanjiang</v>
          </cell>
          <cell r="C25">
            <v>6570000</v>
          </cell>
          <cell r="D25">
            <v>38108</v>
          </cell>
          <cell r="F25" t="str">
            <v>Hainan</v>
          </cell>
          <cell r="G25" t="str">
            <v>Population</v>
          </cell>
          <cell r="N25">
            <v>630000</v>
          </cell>
          <cell r="P25">
            <v>630000</v>
          </cell>
        </row>
        <row r="26">
          <cell r="A26" t="str">
            <v>Guangdong</v>
          </cell>
          <cell r="B26" t="str">
            <v>Zhaoqiang</v>
          </cell>
          <cell r="C26">
            <v>3930000</v>
          </cell>
          <cell r="D26">
            <v>38108</v>
          </cell>
          <cell r="G26" t="str">
            <v># of Cities</v>
          </cell>
          <cell r="N26">
            <v>1</v>
          </cell>
          <cell r="P26">
            <v>1</v>
          </cell>
        </row>
        <row r="27">
          <cell r="A27" t="str">
            <v>Jiangsu</v>
          </cell>
          <cell r="B27" t="str">
            <v>Nanjing</v>
          </cell>
          <cell r="C27">
            <v>6240000</v>
          </cell>
          <cell r="D27">
            <v>38169</v>
          </cell>
          <cell r="F27" t="str">
            <v>Yunnan</v>
          </cell>
          <cell r="G27" t="str">
            <v>Population</v>
          </cell>
          <cell r="N27">
            <v>5780000</v>
          </cell>
          <cell r="P27">
            <v>5780000</v>
          </cell>
        </row>
        <row r="28">
          <cell r="A28" t="str">
            <v>Jiangsu</v>
          </cell>
          <cell r="B28" t="str">
            <v>Suzhou</v>
          </cell>
          <cell r="C28">
            <v>5909700</v>
          </cell>
          <cell r="D28">
            <v>38169</v>
          </cell>
          <cell r="G28" t="str">
            <v># of Cities</v>
          </cell>
          <cell r="N28">
            <v>1</v>
          </cell>
          <cell r="P28">
            <v>1</v>
          </cell>
        </row>
        <row r="29">
          <cell r="A29" t="str">
            <v>Jiangsu</v>
          </cell>
          <cell r="B29" t="str">
            <v>Wuxi</v>
          </cell>
          <cell r="C29">
            <v>4400000</v>
          </cell>
          <cell r="D29">
            <v>38169</v>
          </cell>
          <cell r="F29" t="str">
            <v>Guizhou</v>
          </cell>
          <cell r="G29" t="str">
            <v>Population</v>
          </cell>
          <cell r="N29">
            <v>3300000</v>
          </cell>
          <cell r="P29">
            <v>3300000</v>
          </cell>
        </row>
        <row r="30">
          <cell r="A30" t="str">
            <v>Zhejiang</v>
          </cell>
          <cell r="B30" t="str">
            <v>Hangzhou</v>
          </cell>
          <cell r="C30">
            <v>6370000</v>
          </cell>
          <cell r="D30">
            <v>38169</v>
          </cell>
          <cell r="G30" t="str">
            <v># of Cities</v>
          </cell>
          <cell r="N30">
            <v>1</v>
          </cell>
          <cell r="P30">
            <v>1</v>
          </cell>
        </row>
        <row r="31">
          <cell r="A31" t="str">
            <v>Zhejiang</v>
          </cell>
          <cell r="B31" t="str">
            <v>Ningbo</v>
          </cell>
          <cell r="C31">
            <v>5490000</v>
          </cell>
          <cell r="D31">
            <v>38169</v>
          </cell>
          <cell r="F31" t="str">
            <v>Jiangxi</v>
          </cell>
          <cell r="G31" t="str">
            <v>Population</v>
          </cell>
          <cell r="N31">
            <v>2000000</v>
          </cell>
          <cell r="P31">
            <v>2000000</v>
          </cell>
        </row>
        <row r="32">
          <cell r="A32" t="str">
            <v>Zhejiang</v>
          </cell>
          <cell r="B32" t="str">
            <v>Taizhou</v>
          </cell>
          <cell r="C32">
            <v>5470000</v>
          </cell>
          <cell r="D32">
            <v>38169</v>
          </cell>
          <cell r="G32" t="str">
            <v># of Cities</v>
          </cell>
          <cell r="N32">
            <v>1</v>
          </cell>
          <cell r="P32">
            <v>1</v>
          </cell>
        </row>
        <row r="33">
          <cell r="A33" t="str">
            <v>Fujian</v>
          </cell>
          <cell r="B33" t="str">
            <v>Fuzhou</v>
          </cell>
          <cell r="C33">
            <v>6386013</v>
          </cell>
          <cell r="D33">
            <v>38169</v>
          </cell>
          <cell r="F33" t="str">
            <v>Hebei</v>
          </cell>
          <cell r="G33" t="str">
            <v>Population</v>
          </cell>
          <cell r="O33">
            <v>9000000</v>
          </cell>
          <cell r="P33">
            <v>9000000</v>
          </cell>
        </row>
        <row r="34">
          <cell r="A34" t="str">
            <v>Fujian</v>
          </cell>
          <cell r="B34" t="str">
            <v>Xiamen</v>
          </cell>
          <cell r="C34">
            <v>2053070</v>
          </cell>
          <cell r="D34">
            <v>38169</v>
          </cell>
          <cell r="G34" t="str">
            <v># of Cities</v>
          </cell>
          <cell r="O34">
            <v>1</v>
          </cell>
          <cell r="P34">
            <v>1</v>
          </cell>
        </row>
        <row r="35">
          <cell r="A35" t="str">
            <v>Fujian</v>
          </cell>
          <cell r="B35" t="str">
            <v>Quanzhou</v>
          </cell>
          <cell r="C35">
            <v>7283040</v>
          </cell>
          <cell r="D35">
            <v>38169</v>
          </cell>
          <cell r="F35" t="str">
            <v>Henan</v>
          </cell>
          <cell r="G35" t="str">
            <v>Population</v>
          </cell>
          <cell r="O35">
            <v>7082000</v>
          </cell>
          <cell r="P35">
            <v>7082000</v>
          </cell>
        </row>
        <row r="36">
          <cell r="A36" t="str">
            <v>Liaoning</v>
          </cell>
          <cell r="B36" t="str">
            <v>Shenyang</v>
          </cell>
          <cell r="C36">
            <v>7200000</v>
          </cell>
          <cell r="D36">
            <v>38657</v>
          </cell>
          <cell r="G36" t="str">
            <v># of Cities</v>
          </cell>
          <cell r="O36">
            <v>1</v>
          </cell>
          <cell r="P36">
            <v>1</v>
          </cell>
        </row>
        <row r="37">
          <cell r="A37" t="str">
            <v>Liaoning</v>
          </cell>
          <cell r="B37" t="str">
            <v>Dalian</v>
          </cell>
          <cell r="C37">
            <v>5900000</v>
          </cell>
          <cell r="D37">
            <v>38657</v>
          </cell>
          <cell r="F37" t="str">
            <v>Jilin</v>
          </cell>
          <cell r="G37" t="str">
            <v>Population</v>
          </cell>
          <cell r="O37">
            <v>6830000</v>
          </cell>
          <cell r="P37">
            <v>6830000</v>
          </cell>
        </row>
        <row r="38">
          <cell r="A38" t="str">
            <v>Shandong</v>
          </cell>
          <cell r="B38" t="str">
            <v>Jinan</v>
          </cell>
          <cell r="C38">
            <v>5900000</v>
          </cell>
          <cell r="D38">
            <v>38657</v>
          </cell>
          <cell r="G38" t="str">
            <v># of Cities</v>
          </cell>
          <cell r="O38">
            <v>1</v>
          </cell>
          <cell r="P38">
            <v>1</v>
          </cell>
        </row>
        <row r="39">
          <cell r="A39" t="str">
            <v>Sichuan</v>
          </cell>
          <cell r="B39" t="str">
            <v>Chengdu</v>
          </cell>
          <cell r="C39">
            <v>11200000</v>
          </cell>
          <cell r="D39">
            <v>38657</v>
          </cell>
          <cell r="F39" t="str">
            <v>Anhui</v>
          </cell>
          <cell r="G39" t="str">
            <v>Population</v>
          </cell>
          <cell r="O39">
            <v>4446800</v>
          </cell>
          <cell r="P39">
            <v>4446800</v>
          </cell>
        </row>
        <row r="40">
          <cell r="A40" t="str">
            <v>Jiangxi</v>
          </cell>
          <cell r="B40" t="str">
            <v>Nanchang</v>
          </cell>
          <cell r="C40">
            <v>2000000</v>
          </cell>
          <cell r="D40">
            <v>38838</v>
          </cell>
          <cell r="G40" t="str">
            <v># of Cities</v>
          </cell>
          <cell r="O40">
            <v>1</v>
          </cell>
          <cell r="P40">
            <v>1</v>
          </cell>
        </row>
        <row r="41">
          <cell r="A41" t="str">
            <v>Hunan</v>
          </cell>
          <cell r="B41" t="str">
            <v>Changsha</v>
          </cell>
          <cell r="C41">
            <v>2100000</v>
          </cell>
          <cell r="D41">
            <v>38838</v>
          </cell>
          <cell r="E41" t="str">
            <v>http://www.world-gazetteer.com/wg.php?x=&amp;men=gcis&amp;lng=en&amp;dat=32&amp;srt=npan&amp;col=aohdq&amp;geo=-54</v>
          </cell>
          <cell r="F41" t="str">
            <v>Hubei</v>
          </cell>
          <cell r="G41" t="str">
            <v>Population</v>
          </cell>
          <cell r="O41">
            <v>9100000</v>
          </cell>
          <cell r="P41">
            <v>9100000</v>
          </cell>
        </row>
        <row r="42">
          <cell r="A42" t="str">
            <v>Guangxi</v>
          </cell>
          <cell r="B42" t="str">
            <v>Nanning</v>
          </cell>
          <cell r="C42">
            <v>1400000</v>
          </cell>
          <cell r="D42">
            <v>38838</v>
          </cell>
          <cell r="G42" t="str">
            <v># of Cities</v>
          </cell>
          <cell r="O42">
            <v>1</v>
          </cell>
          <cell r="P42">
            <v>1</v>
          </cell>
        </row>
        <row r="43">
          <cell r="A43" t="str">
            <v>Hainan</v>
          </cell>
          <cell r="B43" t="str">
            <v>Haikou</v>
          </cell>
          <cell r="C43">
            <v>630000</v>
          </cell>
          <cell r="D43">
            <v>38838</v>
          </cell>
          <cell r="F43" t="str">
            <v>Total Population</v>
          </cell>
          <cell r="H43">
            <v>10170000</v>
          </cell>
          <cell r="I43">
            <v>43820000</v>
          </cell>
          <cell r="J43">
            <v>53910000</v>
          </cell>
          <cell r="K43">
            <v>49601823</v>
          </cell>
          <cell r="L43">
            <v>41413000</v>
          </cell>
          <cell r="M43">
            <v>30200000</v>
          </cell>
          <cell r="N43">
            <v>15210000</v>
          </cell>
          <cell r="O43">
            <v>36458800</v>
          </cell>
          <cell r="P43">
            <v>280783623</v>
          </cell>
        </row>
        <row r="44">
          <cell r="A44" t="str">
            <v>Yunnan</v>
          </cell>
          <cell r="B44" t="str">
            <v>Kunming</v>
          </cell>
          <cell r="C44">
            <v>5780000</v>
          </cell>
          <cell r="D44">
            <v>38838</v>
          </cell>
          <cell r="F44" t="str">
            <v>Total # of Cities</v>
          </cell>
          <cell r="H44">
            <v>4</v>
          </cell>
          <cell r="I44">
            <v>6</v>
          </cell>
          <cell r="J44">
            <v>13</v>
          </cell>
          <cell r="K44">
            <v>9</v>
          </cell>
          <cell r="L44">
            <v>2</v>
          </cell>
          <cell r="M44">
            <v>4</v>
          </cell>
          <cell r="N44">
            <v>6</v>
          </cell>
          <cell r="O44">
            <v>5</v>
          </cell>
          <cell r="P44">
            <v>49</v>
          </cell>
        </row>
        <row r="45">
          <cell r="A45" t="str">
            <v>Guizhou</v>
          </cell>
          <cell r="B45" t="str">
            <v xml:space="preserve">Guiyang </v>
          </cell>
          <cell r="C45">
            <v>3300000</v>
          </cell>
          <cell r="D45">
            <v>38838</v>
          </cell>
        </row>
        <row r="46">
          <cell r="A46" t="str">
            <v>Hebei</v>
          </cell>
          <cell r="B46" t="str">
            <v>Shijiazhuang</v>
          </cell>
          <cell r="C46">
            <v>9000000</v>
          </cell>
          <cell r="D46">
            <v>39089</v>
          </cell>
          <cell r="E46" t="str">
            <v>http://en.wikipedia.org</v>
          </cell>
        </row>
        <row r="47">
          <cell r="A47" t="str">
            <v>Henan</v>
          </cell>
          <cell r="B47" t="str">
            <v>Zhengzhou</v>
          </cell>
          <cell r="C47">
            <v>7082000</v>
          </cell>
          <cell r="D47">
            <v>39089</v>
          </cell>
          <cell r="E47" t="str">
            <v>http://en.wikipedia.org</v>
          </cell>
        </row>
        <row r="48">
          <cell r="A48" t="str">
            <v>Jilin</v>
          </cell>
          <cell r="B48" t="str">
            <v>Changchun</v>
          </cell>
          <cell r="C48">
            <v>6830000</v>
          </cell>
          <cell r="D48">
            <v>39089</v>
          </cell>
          <cell r="E48" t="str">
            <v>http://en.wikipedia.org</v>
          </cell>
        </row>
        <row r="49">
          <cell r="A49" t="str">
            <v>Anhui</v>
          </cell>
          <cell r="B49" t="str">
            <v>Hefei</v>
          </cell>
          <cell r="C49">
            <v>4446800</v>
          </cell>
          <cell r="D49">
            <v>39089</v>
          </cell>
          <cell r="E49" t="str">
            <v>http://en.wikipedia.org</v>
          </cell>
        </row>
        <row r="50">
          <cell r="A50" t="str">
            <v>Hubei</v>
          </cell>
          <cell r="B50" t="str">
            <v>Wuhan</v>
          </cell>
          <cell r="C50">
            <v>9100000</v>
          </cell>
          <cell r="D50">
            <v>39089</v>
          </cell>
          <cell r="E50" t="str">
            <v>http://en.wikipedia.org</v>
          </cell>
          <cell r="F50" t="str">
            <v>Cummulative Population</v>
          </cell>
          <cell r="H50">
            <v>10170</v>
          </cell>
          <cell r="I50">
            <v>53990</v>
          </cell>
          <cell r="J50">
            <v>107900</v>
          </cell>
          <cell r="K50">
            <v>157501.823</v>
          </cell>
          <cell r="L50">
            <v>198914.823</v>
          </cell>
          <cell r="M50">
            <v>229114.823</v>
          </cell>
          <cell r="N50">
            <v>244324.823</v>
          </cell>
          <cell r="O50">
            <v>280783.62300000002</v>
          </cell>
        </row>
        <row r="51">
          <cell r="F51" t="str">
            <v>Growth in Covered Population</v>
          </cell>
          <cell r="I51">
            <v>4.3087512291052112</v>
          </cell>
          <cell r="J51">
            <v>0.99851824411928125</v>
          </cell>
          <cell r="K51">
            <v>0.45970178869323441</v>
          </cell>
          <cell r="L51">
            <v>0.26293663915242438</v>
          </cell>
          <cell r="M51">
            <v>0.15182377836165584</v>
          </cell>
          <cell r="N51">
            <v>6.6385927374066123E-2</v>
          </cell>
          <cell r="O51">
            <v>0.14922266003237827</v>
          </cell>
        </row>
        <row r="53">
          <cell r="A53" t="str">
            <v>2 hour  flight</v>
          </cell>
        </row>
        <row r="54">
          <cell r="A54" t="str">
            <v>Guangxi</v>
          </cell>
          <cell r="B54">
            <v>48.57</v>
          </cell>
        </row>
        <row r="55">
          <cell r="A55" t="str">
            <v>Guangdong</v>
          </cell>
          <cell r="B55">
            <v>79.540000000000006</v>
          </cell>
        </row>
        <row r="56">
          <cell r="A56" t="str">
            <v>Fujian</v>
          </cell>
          <cell r="B56">
            <v>34.880000000000003</v>
          </cell>
          <cell r="G56">
            <v>37803</v>
          </cell>
          <cell r="H56">
            <v>37865</v>
          </cell>
          <cell r="I56">
            <v>38108</v>
          </cell>
          <cell r="J56">
            <v>38169</v>
          </cell>
          <cell r="K56">
            <v>38412</v>
          </cell>
          <cell r="L56">
            <v>38657</v>
          </cell>
          <cell r="M56">
            <v>38838</v>
          </cell>
        </row>
        <row r="57">
          <cell r="A57" t="str">
            <v>Zhejiang</v>
          </cell>
          <cell r="B57">
            <v>46.8</v>
          </cell>
          <cell r="F57" t="str">
            <v>Guangdong</v>
          </cell>
          <cell r="G57">
            <v>10170000</v>
          </cell>
          <cell r="H57">
            <v>23060000</v>
          </cell>
          <cell r="I57">
            <v>76970000</v>
          </cell>
          <cell r="J57">
            <v>76970000</v>
          </cell>
          <cell r="K57">
            <v>76970000</v>
          </cell>
          <cell r="L57">
            <v>76970000</v>
          </cell>
          <cell r="M57">
            <v>76970000</v>
          </cell>
          <cell r="N57">
            <v>76.97</v>
          </cell>
          <cell r="O57">
            <v>0</v>
          </cell>
        </row>
        <row r="58">
          <cell r="A58" t="str">
            <v>Jiangxi</v>
          </cell>
          <cell r="B58">
            <v>42.54</v>
          </cell>
          <cell r="F58" t="str">
            <v>Jiangsu</v>
          </cell>
          <cell r="G58">
            <v>0</v>
          </cell>
          <cell r="H58">
            <v>0</v>
          </cell>
          <cell r="I58">
            <v>0</v>
          </cell>
          <cell r="J58">
            <v>16549700</v>
          </cell>
          <cell r="K58">
            <v>16549700</v>
          </cell>
          <cell r="L58">
            <v>16549700</v>
          </cell>
          <cell r="M58">
            <v>16549700</v>
          </cell>
          <cell r="N58">
            <v>16.549700000000001</v>
          </cell>
          <cell r="O58">
            <v>10</v>
          </cell>
          <cell r="P58" t="e">
            <v>#REF!</v>
          </cell>
        </row>
        <row r="59">
          <cell r="A59" t="str">
            <v>Hunan</v>
          </cell>
          <cell r="B59">
            <v>66.63</v>
          </cell>
          <cell r="F59" t="str">
            <v>Zhejiang</v>
          </cell>
          <cell r="G59">
            <v>0</v>
          </cell>
          <cell r="H59">
            <v>0</v>
          </cell>
          <cell r="I59">
            <v>0</v>
          </cell>
          <cell r="J59">
            <v>17330000</v>
          </cell>
          <cell r="K59">
            <v>17330000</v>
          </cell>
          <cell r="L59">
            <v>17330000</v>
          </cell>
          <cell r="M59">
            <v>17330000</v>
          </cell>
          <cell r="N59">
            <v>17.329999999999998</v>
          </cell>
          <cell r="O59">
            <v>20</v>
          </cell>
          <cell r="P59" t="e">
            <v>#REF!</v>
          </cell>
        </row>
        <row r="60">
          <cell r="A60" t="str">
            <v>Guizhou</v>
          </cell>
          <cell r="B60">
            <v>38.700000000000003</v>
          </cell>
          <cell r="F60" t="str">
            <v>Fujian</v>
          </cell>
          <cell r="G60">
            <v>0</v>
          </cell>
          <cell r="H60">
            <v>0</v>
          </cell>
          <cell r="I60">
            <v>0</v>
          </cell>
          <cell r="J60">
            <v>15722123</v>
          </cell>
          <cell r="K60">
            <v>15722123</v>
          </cell>
          <cell r="L60">
            <v>15722123</v>
          </cell>
          <cell r="M60">
            <v>15722123</v>
          </cell>
          <cell r="N60">
            <v>15.722123</v>
          </cell>
          <cell r="P60" t="e">
            <v>#REF!</v>
          </cell>
        </row>
        <row r="61">
          <cell r="A61" t="str">
            <v>Hainan</v>
          </cell>
          <cell r="B61">
            <v>8.11</v>
          </cell>
          <cell r="F61" t="str">
            <v>Municipalities</v>
          </cell>
          <cell r="G61">
            <v>0</v>
          </cell>
          <cell r="H61">
            <v>30930000</v>
          </cell>
          <cell r="I61">
            <v>30930000</v>
          </cell>
          <cell r="J61">
            <v>30930000</v>
          </cell>
          <cell r="K61">
            <v>72343000</v>
          </cell>
          <cell r="L61">
            <v>72343000</v>
          </cell>
          <cell r="M61">
            <v>72343000</v>
          </cell>
          <cell r="N61">
            <v>72.343000000000004</v>
          </cell>
        </row>
        <row r="62">
          <cell r="A62" t="str">
            <v>Hubei</v>
          </cell>
          <cell r="B62">
            <v>60.02</v>
          </cell>
          <cell r="F62" t="str">
            <v>Liaoning</v>
          </cell>
          <cell r="G62">
            <v>0</v>
          </cell>
          <cell r="H62">
            <v>0</v>
          </cell>
          <cell r="I62">
            <v>0</v>
          </cell>
          <cell r="J62">
            <v>0</v>
          </cell>
          <cell r="K62">
            <v>0</v>
          </cell>
          <cell r="L62">
            <v>13100000</v>
          </cell>
          <cell r="M62">
            <v>13100000</v>
          </cell>
          <cell r="N62">
            <v>13.1</v>
          </cell>
        </row>
        <row r="63">
          <cell r="A63" t="str">
            <v>Chongqing</v>
          </cell>
          <cell r="B63">
            <v>31.3</v>
          </cell>
          <cell r="F63" t="str">
            <v>Sichuan</v>
          </cell>
          <cell r="G63">
            <v>0</v>
          </cell>
          <cell r="H63">
            <v>0</v>
          </cell>
          <cell r="I63">
            <v>0</v>
          </cell>
          <cell r="J63">
            <v>0</v>
          </cell>
          <cell r="K63">
            <v>0</v>
          </cell>
          <cell r="L63">
            <v>11200000</v>
          </cell>
          <cell r="M63">
            <v>11200000</v>
          </cell>
          <cell r="N63">
            <v>11.2</v>
          </cell>
        </row>
        <row r="64">
          <cell r="F64" t="str">
            <v>Shandong</v>
          </cell>
          <cell r="G64">
            <v>0</v>
          </cell>
          <cell r="H64">
            <v>0</v>
          </cell>
          <cell r="I64">
            <v>0</v>
          </cell>
          <cell r="J64">
            <v>0</v>
          </cell>
          <cell r="K64">
            <v>0</v>
          </cell>
          <cell r="L64">
            <v>5900000</v>
          </cell>
          <cell r="M64">
            <v>5900000</v>
          </cell>
          <cell r="N64">
            <v>5.9</v>
          </cell>
        </row>
        <row r="65">
          <cell r="A65" t="str">
            <v>3 hour flight</v>
          </cell>
          <cell r="F65" t="str">
            <v xml:space="preserve">Jiangxi </v>
          </cell>
          <cell r="G65" t="e">
            <v>#REF!</v>
          </cell>
          <cell r="H65" t="e">
            <v>#REF!</v>
          </cell>
          <cell r="I65" t="e">
            <v>#REF!</v>
          </cell>
          <cell r="J65" t="e">
            <v>#REF!</v>
          </cell>
          <cell r="K65" t="e">
            <v>#REF!</v>
          </cell>
          <cell r="L65" t="e">
            <v>#REF!</v>
          </cell>
          <cell r="M65" t="e">
            <v>#REF!</v>
          </cell>
          <cell r="N65" t="e">
            <v>#REF!</v>
          </cell>
        </row>
        <row r="66">
          <cell r="A66" t="str">
            <v>Shanghai</v>
          </cell>
          <cell r="B66">
            <v>17.11</v>
          </cell>
          <cell r="F66" t="str">
            <v>Hunan</v>
          </cell>
          <cell r="G66">
            <v>0</v>
          </cell>
          <cell r="H66">
            <v>0</v>
          </cell>
          <cell r="I66">
            <v>0</v>
          </cell>
          <cell r="J66">
            <v>0</v>
          </cell>
          <cell r="K66">
            <v>0</v>
          </cell>
          <cell r="L66">
            <v>0</v>
          </cell>
          <cell r="M66">
            <v>2100000</v>
          </cell>
          <cell r="N66">
            <v>2.1</v>
          </cell>
        </row>
        <row r="67">
          <cell r="A67" t="str">
            <v>Jiangsu</v>
          </cell>
          <cell r="B67">
            <v>74.06</v>
          </cell>
          <cell r="F67" t="str">
            <v>Guangxi</v>
          </cell>
          <cell r="G67">
            <v>0</v>
          </cell>
          <cell r="H67">
            <v>0</v>
          </cell>
          <cell r="I67">
            <v>0</v>
          </cell>
          <cell r="J67">
            <v>0</v>
          </cell>
          <cell r="K67">
            <v>0</v>
          </cell>
          <cell r="L67">
            <v>0</v>
          </cell>
          <cell r="M67">
            <v>1400000</v>
          </cell>
          <cell r="N67">
            <v>1.4</v>
          </cell>
        </row>
        <row r="68">
          <cell r="A68" t="str">
            <v>Anhui</v>
          </cell>
          <cell r="B68">
            <v>64.099999999999994</v>
          </cell>
          <cell r="F68" t="str">
            <v>Hainan</v>
          </cell>
          <cell r="G68">
            <v>0</v>
          </cell>
          <cell r="H68">
            <v>0</v>
          </cell>
          <cell r="I68">
            <v>0</v>
          </cell>
          <cell r="J68">
            <v>0</v>
          </cell>
          <cell r="K68">
            <v>0</v>
          </cell>
          <cell r="L68">
            <v>0</v>
          </cell>
          <cell r="M68">
            <v>630000</v>
          </cell>
          <cell r="N68">
            <v>0.63</v>
          </cell>
        </row>
        <row r="69">
          <cell r="A69" t="str">
            <v>Henan</v>
          </cell>
          <cell r="B69">
            <v>96.67</v>
          </cell>
          <cell r="F69" t="str">
            <v>Yunnan</v>
          </cell>
          <cell r="G69">
            <v>0</v>
          </cell>
          <cell r="H69">
            <v>0</v>
          </cell>
          <cell r="I69">
            <v>0</v>
          </cell>
          <cell r="J69">
            <v>0</v>
          </cell>
          <cell r="K69">
            <v>0</v>
          </cell>
          <cell r="L69">
            <v>0</v>
          </cell>
          <cell r="M69">
            <v>5780000</v>
          </cell>
          <cell r="N69">
            <v>5.78</v>
          </cell>
        </row>
        <row r="70">
          <cell r="A70" t="str">
            <v>Shangdong</v>
          </cell>
          <cell r="B70">
            <v>91.25</v>
          </cell>
          <cell r="F70" t="str">
            <v>Guizhou</v>
          </cell>
          <cell r="G70">
            <v>0</v>
          </cell>
          <cell r="H70">
            <v>0</v>
          </cell>
          <cell r="I70">
            <v>0</v>
          </cell>
          <cell r="J70">
            <v>0</v>
          </cell>
          <cell r="K70">
            <v>0</v>
          </cell>
          <cell r="L70">
            <v>0</v>
          </cell>
          <cell r="M70">
            <v>3300000</v>
          </cell>
          <cell r="N70">
            <v>3.3</v>
          </cell>
        </row>
        <row r="71">
          <cell r="A71" t="str">
            <v>Tianjin</v>
          </cell>
          <cell r="B71">
            <v>10.11</v>
          </cell>
          <cell r="F71" t="str">
            <v>Other</v>
          </cell>
          <cell r="G71" t="e">
            <v>#REF!</v>
          </cell>
          <cell r="H71" t="e">
            <v>#REF!</v>
          </cell>
          <cell r="I71" t="e">
            <v>#REF!</v>
          </cell>
          <cell r="J71" t="e">
            <v>#REF!</v>
          </cell>
          <cell r="K71" t="e">
            <v>#REF!</v>
          </cell>
          <cell r="L71" t="e">
            <v>#REF!</v>
          </cell>
          <cell r="M71" t="e">
            <v>#REF!</v>
          </cell>
        </row>
        <row r="72">
          <cell r="A72" t="str">
            <v>Shanxi</v>
          </cell>
          <cell r="B72">
            <v>33.14</v>
          </cell>
        </row>
        <row r="73">
          <cell r="A73" t="str">
            <v>Shaanxi</v>
          </cell>
          <cell r="B73">
            <v>36.9</v>
          </cell>
        </row>
        <row r="74">
          <cell r="A74" t="str">
            <v>Ningxia</v>
          </cell>
          <cell r="B74">
            <v>5.8</v>
          </cell>
        </row>
        <row r="75">
          <cell r="A75" t="str">
            <v>Sichuan</v>
          </cell>
          <cell r="B75">
            <v>87</v>
          </cell>
        </row>
        <row r="76">
          <cell r="A76" t="str">
            <v>Yunnan</v>
          </cell>
          <cell r="B76">
            <v>43.76</v>
          </cell>
        </row>
        <row r="77">
          <cell r="A77" t="str">
            <v>Hebei</v>
          </cell>
          <cell r="B77">
            <v>67.69</v>
          </cell>
        </row>
        <row r="78">
          <cell r="A78" t="str">
            <v>Beijing</v>
          </cell>
          <cell r="B78">
            <v>14.56</v>
          </cell>
        </row>
        <row r="80">
          <cell r="A80" t="str">
            <v>Other</v>
          </cell>
        </row>
        <row r="81">
          <cell r="A81" t="str">
            <v>Inner Mongolia</v>
          </cell>
          <cell r="B81">
            <v>23.8</v>
          </cell>
        </row>
        <row r="82">
          <cell r="A82" t="str">
            <v>Liaoning</v>
          </cell>
          <cell r="B82">
            <v>42.1</v>
          </cell>
        </row>
        <row r="83">
          <cell r="A83" t="str">
            <v>Jilin</v>
          </cell>
          <cell r="B83">
            <v>27.04</v>
          </cell>
        </row>
        <row r="84">
          <cell r="A84" t="str">
            <v>Heilongjiang</v>
          </cell>
          <cell r="B84">
            <v>38.15</v>
          </cell>
        </row>
        <row r="85">
          <cell r="A85" t="str">
            <v>Tibet</v>
          </cell>
          <cell r="B85">
            <v>2.7</v>
          </cell>
        </row>
        <row r="86">
          <cell r="A86" t="str">
            <v>Gansu</v>
          </cell>
          <cell r="B86">
            <v>26.03</v>
          </cell>
        </row>
        <row r="87">
          <cell r="A87" t="str">
            <v>Qinghai</v>
          </cell>
          <cell r="B87">
            <v>5.34</v>
          </cell>
        </row>
        <row r="88">
          <cell r="A88" t="str">
            <v>Xinjiang</v>
          </cell>
          <cell r="B88">
            <v>19.34</v>
          </cell>
        </row>
        <row r="89">
          <cell r="A89" t="str">
            <v>Other</v>
          </cell>
          <cell r="B89">
            <v>57.100000000000364</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TSI"/>
      <sheetName val="Interface"/>
      <sheetName val="Page Sizes"/>
      <sheetName val="Sample Layout"/>
      <sheetName val="Rate hike"/>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lpr"/>
      <sheetName val="PE1_S"/>
      <sheetName val="BALSHT_S"/>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ST_TPLATE"/>
      <sheetName val="TPLATE_VALID"/>
      <sheetName val="WES"/>
      <sheetName val="Output"/>
      <sheetName val="Model"/>
      <sheetName val="Rail"/>
      <sheetName val="Bunnings"/>
      <sheetName val="Fert. &amp; Chem."/>
      <sheetName val="Energy"/>
      <sheetName val="Rural"/>
      <sheetName val="Div_Val"/>
      <sheetName val="DCF"/>
      <sheetName val="EVA"/>
      <sheetName val="WACC"/>
      <sheetName val="AVA"/>
    </sheetNames>
    <sheetDataSet>
      <sheetData sheetId="0" refreshError="1"/>
      <sheetData sheetId="1" refreshError="1"/>
      <sheetData sheetId="2" refreshError="1"/>
      <sheetData sheetId="3" refreshError="1"/>
      <sheetData sheetId="4" refreshError="1"/>
      <sheetData sheetId="5" refreshError="1"/>
      <sheetData sheetId="6" refreshError="1">
        <row r="102">
          <cell r="G102">
            <v>3</v>
          </cell>
        </row>
      </sheetData>
      <sheetData sheetId="7" refreshError="1">
        <row r="8">
          <cell r="J8">
            <v>407.40000000000003</v>
          </cell>
        </row>
        <row r="35">
          <cell r="A35" t="str">
            <v>Chemical Sales</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1"/>
      <sheetName val="ch01i"/>
      <sheetName val="ch9801i"/>
      <sheetName val="ch0001i"/>
      <sheetName val="Sheet1"/>
      <sheetName val="ch98-01"/>
      <sheetName val="ch98-01i"/>
      <sheetName val="ch00-01i"/>
      <sheetName val="ch_DIESELi"/>
      <sheetName val="ch_daily (ptte)"/>
      <sheetName val="working"/>
      <sheetName val="bloomberg"/>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35796</v>
          </cell>
          <cell r="D3">
            <v>35796</v>
          </cell>
          <cell r="G3">
            <v>35796</v>
          </cell>
          <cell r="J3">
            <v>35796</v>
          </cell>
          <cell r="M3">
            <v>35796</v>
          </cell>
          <cell r="P3">
            <v>35796</v>
          </cell>
        </row>
      </sheetData>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Reports"/>
      <sheetName val="Tonnage_and_Liability"/>
      <sheetName val="Graphs"/>
      <sheetName val="RTG"/>
      <sheetName val="Graph-Data"/>
      <sheetName val="0"/>
      <sheetName val="1"/>
      <sheetName val="2"/>
      <sheetName val="3"/>
      <sheetName val="4"/>
      <sheetName val="5"/>
      <sheetName val="6"/>
      <sheetName val="7"/>
      <sheetName val="Notes_(Ross)"/>
      <sheetName val="Rev4"/>
      <sheetName val="Stats4"/>
      <sheetName val="Old_Comments"/>
      <sheetName val="#REF"/>
      <sheetName val="Notes_(Ross)1"/>
      <sheetName val="Old_Comments1"/>
      <sheetName val="Notes (Ross)"/>
      <sheetName val="Old Com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ATE_FUNCS"/>
      <sheetName val="INDUST_TPLATE"/>
      <sheetName val="TPLATE_VALID"/>
      <sheetName val="C_flow_EPS"/>
      <sheetName val="P&amp;L"/>
      <sheetName val="Bunnings"/>
      <sheetName val="B_Sheet"/>
      <sheetName val="Int_Rec"/>
      <sheetName val="Div_Charts"/>
      <sheetName val="DIVIS"/>
      <sheetName val="EVA"/>
      <sheetName val="Div_Value"/>
      <sheetName val="DCF"/>
      <sheetName val="WACC"/>
      <sheetName val="EVA_Macro"/>
      <sheetName val="Div_Details"/>
      <sheetName val="Fert. &amp; Chem."/>
      <sheetName val="Energy"/>
      <sheetName val="H_Ware_C1"/>
      <sheetName val="Chip"/>
      <sheetName val="Rural"/>
      <sheetName val="WESAMP"/>
      <sheetName val="WES"/>
      <sheetName val="FIF"/>
      <sheetName val="EVA_Chart"/>
      <sheetName val="EVA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7">
          <cell r="A17" t="str">
            <v>Price ($/t)</v>
          </cell>
        </row>
        <row r="18">
          <cell r="A18" t="str">
            <v>SSP + trace</v>
          </cell>
          <cell r="B18">
            <v>165</v>
          </cell>
          <cell r="C18">
            <v>170</v>
          </cell>
          <cell r="D18">
            <v>155</v>
          </cell>
          <cell r="E18">
            <v>147</v>
          </cell>
          <cell r="F18">
            <v>147</v>
          </cell>
          <cell r="G18">
            <v>150</v>
          </cell>
          <cell r="H18">
            <v>150</v>
          </cell>
          <cell r="I18">
            <v>165</v>
          </cell>
          <cell r="J18">
            <v>160</v>
          </cell>
          <cell r="K18">
            <v>155</v>
          </cell>
          <cell r="L18">
            <v>155</v>
          </cell>
          <cell r="M18">
            <v>155</v>
          </cell>
          <cell r="N18">
            <v>155</v>
          </cell>
        </row>
        <row r="19">
          <cell r="A19" t="str">
            <v>Dbl/Trp + SSP/potash</v>
          </cell>
          <cell r="B19">
            <v>211.00371747211921</v>
          </cell>
          <cell r="C19">
            <v>210.18181818181856</v>
          </cell>
          <cell r="D19">
            <v>230.41984732824326</v>
          </cell>
          <cell r="E19">
            <v>220.57142857142844</v>
          </cell>
          <cell r="F19">
            <v>220</v>
          </cell>
          <cell r="G19">
            <v>230</v>
          </cell>
          <cell r="H19">
            <v>230</v>
          </cell>
          <cell r="I19">
            <v>250</v>
          </cell>
          <cell r="J19">
            <v>240</v>
          </cell>
          <cell r="K19">
            <v>230</v>
          </cell>
          <cell r="L19">
            <v>230</v>
          </cell>
          <cell r="M19">
            <v>230</v>
          </cell>
          <cell r="N19">
            <v>230</v>
          </cell>
        </row>
        <row r="20">
          <cell r="A20" t="str">
            <v>DAP</v>
          </cell>
          <cell r="B20">
            <v>420</v>
          </cell>
          <cell r="C20">
            <v>390</v>
          </cell>
          <cell r="D20">
            <v>350</v>
          </cell>
          <cell r="E20">
            <v>340</v>
          </cell>
          <cell r="F20">
            <v>340</v>
          </cell>
          <cell r="G20">
            <v>340</v>
          </cell>
          <cell r="H20">
            <v>350</v>
          </cell>
          <cell r="I20">
            <v>360</v>
          </cell>
          <cell r="J20">
            <v>360</v>
          </cell>
          <cell r="K20">
            <v>340</v>
          </cell>
          <cell r="L20">
            <v>340</v>
          </cell>
          <cell r="M20">
            <v>340</v>
          </cell>
          <cell r="N20">
            <v>340</v>
          </cell>
        </row>
        <row r="21">
          <cell r="A21" t="str">
            <v>Agras</v>
          </cell>
          <cell r="B21">
            <v>310</v>
          </cell>
          <cell r="C21">
            <v>310</v>
          </cell>
          <cell r="D21">
            <v>280</v>
          </cell>
          <cell r="E21">
            <v>270</v>
          </cell>
          <cell r="F21">
            <v>270</v>
          </cell>
          <cell r="G21">
            <v>290</v>
          </cell>
          <cell r="H21">
            <v>340</v>
          </cell>
          <cell r="I21">
            <v>380</v>
          </cell>
          <cell r="J21">
            <v>365</v>
          </cell>
          <cell r="K21">
            <v>320</v>
          </cell>
          <cell r="L21">
            <v>320</v>
          </cell>
          <cell r="M21">
            <v>320</v>
          </cell>
          <cell r="N21">
            <v>320</v>
          </cell>
        </row>
        <row r="22">
          <cell r="A22" t="str">
            <v>UREA</v>
          </cell>
          <cell r="B22">
            <v>295</v>
          </cell>
          <cell r="C22">
            <v>345</v>
          </cell>
          <cell r="D22">
            <v>300</v>
          </cell>
          <cell r="E22">
            <v>280</v>
          </cell>
          <cell r="F22">
            <v>285</v>
          </cell>
          <cell r="G22">
            <v>305</v>
          </cell>
          <cell r="H22">
            <v>350</v>
          </cell>
          <cell r="I22">
            <v>380</v>
          </cell>
          <cell r="J22">
            <v>370</v>
          </cell>
          <cell r="K22">
            <v>310</v>
          </cell>
          <cell r="L22">
            <v>310</v>
          </cell>
          <cell r="M22">
            <v>310</v>
          </cell>
          <cell r="N22">
            <v>310</v>
          </cell>
        </row>
        <row r="23">
          <cell r="A23" t="str">
            <v>Other (domestic)</v>
          </cell>
          <cell r="B23">
            <v>300</v>
          </cell>
          <cell r="C23">
            <v>300</v>
          </cell>
          <cell r="D23">
            <v>300</v>
          </cell>
          <cell r="E23">
            <v>300</v>
          </cell>
          <cell r="F23">
            <v>275</v>
          </cell>
          <cell r="G23">
            <v>280</v>
          </cell>
          <cell r="H23">
            <v>280</v>
          </cell>
          <cell r="I23">
            <v>280</v>
          </cell>
          <cell r="J23">
            <v>300</v>
          </cell>
          <cell r="K23">
            <v>280</v>
          </cell>
          <cell r="L23">
            <v>280</v>
          </cell>
          <cell r="M23">
            <v>280</v>
          </cell>
          <cell r="N23">
            <v>280</v>
          </cell>
        </row>
        <row r="47">
          <cell r="A47" t="str">
            <v>Price ($/t)</v>
          </cell>
        </row>
        <row r="48">
          <cell r="A48" t="str">
            <v>Ammonium Nitrate</v>
          </cell>
          <cell r="C48">
            <v>315</v>
          </cell>
          <cell r="D48">
            <v>320</v>
          </cell>
          <cell r="E48">
            <v>305</v>
          </cell>
          <cell r="F48">
            <v>315</v>
          </cell>
          <cell r="G48">
            <v>320</v>
          </cell>
          <cell r="H48">
            <v>370</v>
          </cell>
          <cell r="I48">
            <v>400</v>
          </cell>
          <cell r="J48">
            <v>370</v>
          </cell>
          <cell r="K48">
            <v>370</v>
          </cell>
          <cell r="L48">
            <v>370</v>
          </cell>
          <cell r="M48">
            <v>370</v>
          </cell>
          <cell r="N48">
            <v>370</v>
          </cell>
        </row>
        <row r="49">
          <cell r="A49" t="str">
            <v>Sodium Cyanide</v>
          </cell>
          <cell r="C49">
            <v>1350</v>
          </cell>
          <cell r="D49">
            <v>1350</v>
          </cell>
          <cell r="E49">
            <v>1350</v>
          </cell>
          <cell r="F49">
            <v>1560</v>
          </cell>
          <cell r="G49">
            <v>1559.52194969536</v>
          </cell>
          <cell r="H49">
            <v>1701.2611665790855</v>
          </cell>
          <cell r="I49">
            <v>1714.2500935045505</v>
          </cell>
          <cell r="J49">
            <v>1600</v>
          </cell>
          <cell r="K49">
            <v>1600</v>
          </cell>
          <cell r="L49">
            <v>1600</v>
          </cell>
          <cell r="M49">
            <v>1600</v>
          </cell>
          <cell r="N49">
            <v>1600</v>
          </cell>
        </row>
        <row r="50">
          <cell r="A50" t="str">
            <v>Chlorine</v>
          </cell>
          <cell r="C50">
            <v>600</v>
          </cell>
          <cell r="D50">
            <v>600</v>
          </cell>
          <cell r="E50">
            <v>600</v>
          </cell>
          <cell r="F50">
            <v>700</v>
          </cell>
          <cell r="G50">
            <v>320</v>
          </cell>
          <cell r="H50">
            <v>350</v>
          </cell>
          <cell r="I50">
            <v>450</v>
          </cell>
          <cell r="J50">
            <v>450</v>
          </cell>
          <cell r="K50">
            <v>450</v>
          </cell>
          <cell r="L50">
            <v>450</v>
          </cell>
          <cell r="M50">
            <v>450</v>
          </cell>
          <cell r="N50">
            <v>450</v>
          </cell>
        </row>
        <row r="51">
          <cell r="A51" t="str">
            <v>Caustic Soda</v>
          </cell>
          <cell r="C51">
            <v>450</v>
          </cell>
          <cell r="D51">
            <v>450</v>
          </cell>
          <cell r="E51">
            <v>350</v>
          </cell>
          <cell r="F51">
            <v>100</v>
          </cell>
          <cell r="G51">
            <v>250</v>
          </cell>
          <cell r="H51">
            <v>250</v>
          </cell>
          <cell r="I51">
            <v>250</v>
          </cell>
          <cell r="J51">
            <v>250</v>
          </cell>
          <cell r="K51">
            <v>250</v>
          </cell>
          <cell r="L51">
            <v>250</v>
          </cell>
          <cell r="M51">
            <v>250</v>
          </cell>
          <cell r="N51">
            <v>250</v>
          </cell>
        </row>
        <row r="52">
          <cell r="A52" t="str">
            <v>Acid - H2SO4</v>
          </cell>
          <cell r="C52">
            <v>200</v>
          </cell>
          <cell r="D52">
            <v>200</v>
          </cell>
          <cell r="E52">
            <v>200</v>
          </cell>
          <cell r="F52">
            <v>200</v>
          </cell>
          <cell r="G52">
            <v>100</v>
          </cell>
          <cell r="H52">
            <v>110</v>
          </cell>
          <cell r="I52">
            <v>110</v>
          </cell>
          <cell r="J52">
            <v>110</v>
          </cell>
          <cell r="K52">
            <v>110</v>
          </cell>
          <cell r="L52">
            <v>110</v>
          </cell>
          <cell r="M52">
            <v>110</v>
          </cell>
          <cell r="N52">
            <v>110</v>
          </cell>
        </row>
        <row r="53">
          <cell r="A53" t="str">
            <v>Acid - HCl</v>
          </cell>
          <cell r="C53">
            <v>250</v>
          </cell>
          <cell r="D53">
            <v>200</v>
          </cell>
          <cell r="E53">
            <v>200</v>
          </cell>
          <cell r="F53">
            <v>200</v>
          </cell>
          <cell r="G53">
            <v>100</v>
          </cell>
          <cell r="H53">
            <v>100</v>
          </cell>
          <cell r="I53">
            <v>110</v>
          </cell>
          <cell r="J53">
            <v>110</v>
          </cell>
          <cell r="K53">
            <v>110</v>
          </cell>
          <cell r="L53">
            <v>110</v>
          </cell>
          <cell r="M53">
            <v>110</v>
          </cell>
          <cell r="N53">
            <v>110</v>
          </cell>
        </row>
        <row r="54">
          <cell r="A54" t="str">
            <v>Ammonia/Other</v>
          </cell>
          <cell r="C54">
            <v>300</v>
          </cell>
          <cell r="D54">
            <v>300</v>
          </cell>
          <cell r="E54">
            <v>250</v>
          </cell>
          <cell r="F54">
            <v>200</v>
          </cell>
          <cell r="G54">
            <v>210</v>
          </cell>
          <cell r="H54">
            <v>250</v>
          </cell>
          <cell r="I54">
            <v>230</v>
          </cell>
          <cell r="J54">
            <v>200</v>
          </cell>
          <cell r="K54">
            <v>230</v>
          </cell>
          <cell r="L54">
            <v>240</v>
          </cell>
          <cell r="M54">
            <v>240</v>
          </cell>
          <cell r="N54">
            <v>240</v>
          </cell>
        </row>
        <row r="67">
          <cell r="A67" t="str">
            <v>Summary</v>
          </cell>
        </row>
        <row r="69">
          <cell r="A69" t="str">
            <v>Sales ($m)</v>
          </cell>
        </row>
        <row r="70">
          <cell r="A70" t="str">
            <v>Fertilisers</v>
          </cell>
          <cell r="C70">
            <v>194.56000000000003</v>
          </cell>
          <cell r="D70">
            <v>215.44999999999985</v>
          </cell>
          <cell r="E70">
            <v>216.82499999999999</v>
          </cell>
          <cell r="F70">
            <v>233.25800000000001</v>
          </cell>
          <cell r="G70">
            <v>268.64087499999999</v>
          </cell>
          <cell r="H70">
            <v>302.40323999999998</v>
          </cell>
          <cell r="I70">
            <v>352.25399999999996</v>
          </cell>
          <cell r="J70">
            <v>348.30210000000005</v>
          </cell>
          <cell r="K70">
            <v>319.47909599999997</v>
          </cell>
          <cell r="L70">
            <v>325.8686779200001</v>
          </cell>
          <cell r="M70">
            <v>332.38605147840002</v>
          </cell>
          <cell r="N70">
            <v>339.03377250796802</v>
          </cell>
        </row>
        <row r="71">
          <cell r="A71" t="str">
            <v>Chemicals</v>
          </cell>
        </row>
        <row r="72">
          <cell r="A72" t="str">
            <v>Ammonium Nitrate</v>
          </cell>
          <cell r="C72">
            <v>36.225000000000001</v>
          </cell>
          <cell r="D72">
            <v>35.200000000000003</v>
          </cell>
          <cell r="E72">
            <v>35.075000000000003</v>
          </cell>
          <cell r="F72">
            <v>37.799999999999997</v>
          </cell>
          <cell r="G72">
            <v>34.335999999999999</v>
          </cell>
          <cell r="H72">
            <v>41.271279999999997</v>
          </cell>
          <cell r="I72">
            <v>69.2</v>
          </cell>
          <cell r="J72">
            <v>66.599999999999994</v>
          </cell>
          <cell r="K72">
            <v>74</v>
          </cell>
          <cell r="L72">
            <v>77.7</v>
          </cell>
          <cell r="M72">
            <v>81.584999999999994</v>
          </cell>
          <cell r="N72">
            <v>85.664249999999996</v>
          </cell>
        </row>
        <row r="73">
          <cell r="A73" t="str">
            <v>Sodium Cyanide</v>
          </cell>
          <cell r="C73">
            <v>20.25</v>
          </cell>
          <cell r="D73">
            <v>27</v>
          </cell>
          <cell r="E73">
            <v>29.7</v>
          </cell>
          <cell r="F73">
            <v>39</v>
          </cell>
          <cell r="G73">
            <v>39.93</v>
          </cell>
          <cell r="H73">
            <v>51.8</v>
          </cell>
          <cell r="I73">
            <v>55</v>
          </cell>
          <cell r="J73">
            <v>51.2</v>
          </cell>
          <cell r="K73">
            <v>64</v>
          </cell>
          <cell r="L73">
            <v>64</v>
          </cell>
          <cell r="M73">
            <v>67.2</v>
          </cell>
          <cell r="N73">
            <v>67.2</v>
          </cell>
        </row>
        <row r="74">
          <cell r="A74" t="str">
            <v>Other</v>
          </cell>
          <cell r="C74">
            <v>32.700000000000003</v>
          </cell>
          <cell r="D74">
            <v>34.299999999999997</v>
          </cell>
          <cell r="E74">
            <v>29.55</v>
          </cell>
          <cell r="F74">
            <v>25.23</v>
          </cell>
          <cell r="G74">
            <v>21.366280000000003</v>
          </cell>
          <cell r="H74">
            <v>17.748799999999999</v>
          </cell>
          <cell r="I74">
            <v>14.809999999999999</v>
          </cell>
          <cell r="J74">
            <v>13.149999999999999</v>
          </cell>
          <cell r="K74">
            <v>16.799999999999997</v>
          </cell>
          <cell r="L74">
            <v>66.25</v>
          </cell>
          <cell r="M74">
            <v>71.05</v>
          </cell>
          <cell r="N74">
            <v>71.05</v>
          </cell>
        </row>
        <row r="75">
          <cell r="A75" t="str">
            <v>Total</v>
          </cell>
          <cell r="C75">
            <v>283.73500000000001</v>
          </cell>
          <cell r="D75">
            <v>311.94999999999987</v>
          </cell>
          <cell r="E75">
            <v>311.14999999999998</v>
          </cell>
          <cell r="F75">
            <v>335.28800000000001</v>
          </cell>
          <cell r="G75">
            <v>364.27315500000003</v>
          </cell>
          <cell r="H75">
            <v>413.22332</v>
          </cell>
          <cell r="I75">
            <v>491.26399999999995</v>
          </cell>
          <cell r="J75">
            <v>479.25209999999998</v>
          </cell>
          <cell r="K75">
            <v>474.27909599999998</v>
          </cell>
          <cell r="L75">
            <v>533.81867792000003</v>
          </cell>
          <cell r="M75">
            <v>552.2210514784</v>
          </cell>
          <cell r="N75">
            <v>562.94802250796795</v>
          </cell>
        </row>
        <row r="76">
          <cell r="A76" t="str">
            <v>Actual/Forecast</v>
          </cell>
          <cell r="C76">
            <v>267</v>
          </cell>
          <cell r="D76">
            <v>288.3</v>
          </cell>
          <cell r="E76">
            <v>297.56</v>
          </cell>
          <cell r="F76">
            <v>325.01900000000001</v>
          </cell>
          <cell r="G76">
            <v>365.75599999999997</v>
          </cell>
          <cell r="H76">
            <v>415.4</v>
          </cell>
          <cell r="I76">
            <v>489.69399999999996</v>
          </cell>
          <cell r="J76">
            <v>467.59199999999998</v>
          </cell>
          <cell r="K76">
            <v>434.86055999999996</v>
          </cell>
          <cell r="L76">
            <v>478.34661599999998</v>
          </cell>
          <cell r="M76">
            <v>492.69701448000001</v>
          </cell>
          <cell r="N76">
            <v>502.55095476960003</v>
          </cell>
        </row>
        <row r="78">
          <cell r="A78" t="str">
            <v>EBIT ($m)</v>
          </cell>
        </row>
        <row r="79">
          <cell r="A79" t="str">
            <v>Fertilisers</v>
          </cell>
          <cell r="E79">
            <v>22</v>
          </cell>
          <cell r="F79">
            <v>28.5</v>
          </cell>
          <cell r="G79">
            <v>21</v>
          </cell>
          <cell r="H79">
            <v>31</v>
          </cell>
          <cell r="I79">
            <v>40.509209999999996</v>
          </cell>
          <cell r="J79">
            <v>41.796252000000003</v>
          </cell>
          <cell r="K79">
            <v>31.947909599999999</v>
          </cell>
          <cell r="L79">
            <v>32.586867792000014</v>
          </cell>
          <cell r="M79">
            <v>36.562465662624</v>
          </cell>
          <cell r="N79">
            <v>37.293714975876483</v>
          </cell>
        </row>
        <row r="80">
          <cell r="A80" t="str">
            <v>Chemicals</v>
          </cell>
        </row>
        <row r="81">
          <cell r="A81" t="str">
            <v>Ammonium Nitrate</v>
          </cell>
          <cell r="E81">
            <v>5</v>
          </cell>
          <cell r="F81">
            <v>6.5</v>
          </cell>
          <cell r="G81">
            <v>6.5</v>
          </cell>
          <cell r="H81">
            <v>6</v>
          </cell>
          <cell r="I81">
            <v>13.840000000000002</v>
          </cell>
          <cell r="J81">
            <v>14.651999999999999</v>
          </cell>
          <cell r="K81">
            <v>14.8</v>
          </cell>
          <cell r="L81">
            <v>13.986000000000001</v>
          </cell>
          <cell r="M81">
            <v>13.053599999999999</v>
          </cell>
          <cell r="N81">
            <v>12.849637499999998</v>
          </cell>
        </row>
        <row r="82">
          <cell r="A82" t="str">
            <v>Ammonium Nitrate (Moura)</v>
          </cell>
          <cell r="M82">
            <v>2.5</v>
          </cell>
          <cell r="N82">
            <v>5.5</v>
          </cell>
        </row>
        <row r="83">
          <cell r="A83" t="str">
            <v>Sodium Cyanide</v>
          </cell>
          <cell r="E83">
            <v>8.8671875</v>
          </cell>
          <cell r="F83">
            <v>15.8046875</v>
          </cell>
          <cell r="G83">
            <v>14.6875</v>
          </cell>
          <cell r="H83">
            <v>16.482291666666665</v>
          </cell>
          <cell r="I83">
            <v>24.75</v>
          </cell>
          <cell r="J83">
            <v>20.992000000000001</v>
          </cell>
          <cell r="K83">
            <v>22.4</v>
          </cell>
          <cell r="L83">
            <v>19.2</v>
          </cell>
          <cell r="M83">
            <v>20.16</v>
          </cell>
          <cell r="N83">
            <v>20.16</v>
          </cell>
        </row>
        <row r="84">
          <cell r="A84" t="str">
            <v>Other</v>
          </cell>
          <cell r="E84">
            <v>3</v>
          </cell>
          <cell r="F84">
            <v>2.75</v>
          </cell>
          <cell r="G84">
            <v>2.4</v>
          </cell>
          <cell r="H84">
            <v>2</v>
          </cell>
          <cell r="I84">
            <v>1.6290999999999998</v>
          </cell>
          <cell r="J84">
            <v>1.4464999999999999</v>
          </cell>
          <cell r="K84">
            <v>1.8479999999999996</v>
          </cell>
          <cell r="L84">
            <v>7.9499999999999993</v>
          </cell>
          <cell r="M84">
            <v>8.5259999999999998</v>
          </cell>
          <cell r="N84">
            <v>8.5259999999999998</v>
          </cell>
        </row>
        <row r="85">
          <cell r="A85" t="str">
            <v>Total</v>
          </cell>
          <cell r="E85">
            <v>38.8671875</v>
          </cell>
          <cell r="F85">
            <v>53.5546875</v>
          </cell>
          <cell r="G85">
            <v>44.587499999999999</v>
          </cell>
          <cell r="H85">
            <v>55.482291666666669</v>
          </cell>
          <cell r="I85">
            <v>80.728309999999993</v>
          </cell>
          <cell r="J85">
            <v>78.886752000000001</v>
          </cell>
          <cell r="K85">
            <v>70.99590959999999</v>
          </cell>
          <cell r="L85">
            <v>73.722867792000017</v>
          </cell>
          <cell r="M85">
            <v>80.802065662623988</v>
          </cell>
          <cell r="N85">
            <v>84.329352475876476</v>
          </cell>
        </row>
        <row r="86">
          <cell r="A86" t="str">
            <v>Actual/Forecast</v>
          </cell>
          <cell r="C86">
            <v>36.545999999999999</v>
          </cell>
          <cell r="D86">
            <v>48.591000000000001</v>
          </cell>
          <cell r="E86">
            <v>39.082000000000001</v>
          </cell>
          <cell r="F86">
            <v>53.901000000000003</v>
          </cell>
          <cell r="G86">
            <v>44.9</v>
          </cell>
          <cell r="H86">
            <v>55.253999999999998</v>
          </cell>
          <cell r="I86">
            <v>80.760000000000005</v>
          </cell>
          <cell r="J86">
            <v>78.692999999999998</v>
          </cell>
          <cell r="K86">
            <v>60.880478400000001</v>
          </cell>
          <cell r="L86">
            <v>71.751992399999992</v>
          </cell>
          <cell r="M86">
            <v>78.831522316800005</v>
          </cell>
          <cell r="N86">
            <v>80.408152763136002</v>
          </cell>
        </row>
        <row r="88">
          <cell r="A88" t="str">
            <v>Capital Employed</v>
          </cell>
          <cell r="F88">
            <v>242.1</v>
          </cell>
          <cell r="G88">
            <v>273.7</v>
          </cell>
          <cell r="H88">
            <v>342.1</v>
          </cell>
          <cell r="I88">
            <v>325.89999999999998</v>
          </cell>
          <cell r="J88">
            <v>353.1</v>
          </cell>
        </row>
        <row r="89">
          <cell r="A89" t="str">
            <v>Capital Expenditure</v>
          </cell>
          <cell r="F89">
            <v>18.399999999999999</v>
          </cell>
          <cell r="G89">
            <v>65.900000000000006</v>
          </cell>
          <cell r="H89">
            <v>61.8</v>
          </cell>
          <cell r="I89">
            <v>23.9</v>
          </cell>
          <cell r="J89">
            <v>105.8</v>
          </cell>
        </row>
        <row r="92">
          <cell r="A92" t="str">
            <v>Sales Growth (%)</v>
          </cell>
        </row>
        <row r="93">
          <cell r="A93" t="str">
            <v>Fertilisers</v>
          </cell>
          <cell r="D93">
            <v>0.10737047697368318</v>
          </cell>
          <cell r="E93">
            <v>6.3819911812492691E-3</v>
          </cell>
          <cell r="F93">
            <v>7.5789230946615938E-2</v>
          </cell>
          <cell r="G93">
            <v>0.15168986701420728</v>
          </cell>
          <cell r="H93">
            <v>0.12567843594166361</v>
          </cell>
          <cell r="I93">
            <v>0.16484863059006893</v>
          </cell>
          <cell r="J93">
            <v>-1.1218893185030998E-2</v>
          </cell>
          <cell r="K93">
            <v>-8.2752886072177234E-2</v>
          </cell>
          <cell r="L93">
            <v>2.0000000000000462E-2</v>
          </cell>
          <cell r="M93">
            <v>1.9999999999999796E-2</v>
          </cell>
          <cell r="N93">
            <v>2.0000000000000018E-2</v>
          </cell>
        </row>
        <row r="94">
          <cell r="A94" t="str">
            <v>Chemicals</v>
          </cell>
        </row>
        <row r="95">
          <cell r="A95" t="str">
            <v>Ammonium Nitrate</v>
          </cell>
          <cell r="D95">
            <v>-2.8295376121463045E-2</v>
          </cell>
          <cell r="E95">
            <v>-3.5511363636363535E-3</v>
          </cell>
          <cell r="F95">
            <v>7.7690662865288473E-2</v>
          </cell>
          <cell r="G95">
            <v>-9.1640211640211633E-2</v>
          </cell>
          <cell r="H95">
            <v>0.20198275862068971</v>
          </cell>
          <cell r="I95">
            <v>0.67671077805195301</v>
          </cell>
          <cell r="J95">
            <v>-3.7572254335260236E-2</v>
          </cell>
          <cell r="K95">
            <v>0.11111111111111116</v>
          </cell>
          <cell r="L95">
            <v>5.0000000000000044E-2</v>
          </cell>
          <cell r="M95">
            <v>4.9999999999999822E-2</v>
          </cell>
          <cell r="N95">
            <v>5.0000000000000044E-2</v>
          </cell>
        </row>
        <row r="96">
          <cell r="A96" t="str">
            <v>Sodium Cyanide</v>
          </cell>
          <cell r="D96">
            <v>0.33333333333333326</v>
          </cell>
          <cell r="E96">
            <v>9.9999999999999867E-2</v>
          </cell>
          <cell r="F96">
            <v>0.31313131313131315</v>
          </cell>
          <cell r="G96">
            <v>2.384615384615385E-2</v>
          </cell>
          <cell r="H96">
            <v>0.29727022289005745</v>
          </cell>
          <cell r="I96">
            <v>6.1776061776061875E-2</v>
          </cell>
          <cell r="J96">
            <v>-6.9090909090909092E-2</v>
          </cell>
          <cell r="K96">
            <v>0.25</v>
          </cell>
          <cell r="L96">
            <v>0</v>
          </cell>
          <cell r="M96">
            <v>5.0000000000000044E-2</v>
          </cell>
          <cell r="N96">
            <v>0</v>
          </cell>
        </row>
        <row r="97">
          <cell r="A97" t="str">
            <v>Other</v>
          </cell>
          <cell r="D97">
            <v>4.8929663608562546E-2</v>
          </cell>
          <cell r="E97">
            <v>-0.13848396501457716</v>
          </cell>
          <cell r="F97">
            <v>-0.14619289340101527</v>
          </cell>
          <cell r="G97">
            <v>-0.1531399128022195</v>
          </cell>
          <cell r="H97">
            <v>-0.16930790011176511</v>
          </cell>
          <cell r="I97">
            <v>-0.16557739114757053</v>
          </cell>
          <cell r="J97">
            <v>-0.11208642808912894</v>
          </cell>
          <cell r="K97">
            <v>0.27756653992395419</v>
          </cell>
          <cell r="L97">
            <v>2.9434523809523818</v>
          </cell>
          <cell r="M97">
            <v>7.2452830188679096E-2</v>
          </cell>
          <cell r="N97">
            <v>0</v>
          </cell>
        </row>
        <row r="98">
          <cell r="A98" t="str">
            <v>Total</v>
          </cell>
          <cell r="D98">
            <v>9.9441380161065185E-2</v>
          </cell>
          <cell r="E98">
            <v>-2.5645135438367994E-3</v>
          </cell>
          <cell r="F98">
            <v>7.7576731479993777E-2</v>
          </cell>
          <cell r="G98">
            <v>8.6448530815299129E-2</v>
          </cell>
          <cell r="H98">
            <v>0.13437763482735909</v>
          </cell>
          <cell r="I98">
            <v>0.1888583635599268</v>
          </cell>
          <cell r="J98">
            <v>-2.4451008011985298E-2</v>
          </cell>
          <cell r="K98">
            <v>-1.0376593029013392E-2</v>
          </cell>
          <cell r="L98">
            <v>0.12553701485506763</v>
          </cell>
          <cell r="M98">
            <v>3.4473079192552714E-2</v>
          </cell>
          <cell r="N98">
            <v>1.94251396263323E-2</v>
          </cell>
        </row>
        <row r="100">
          <cell r="A100" t="str">
            <v>EBIT Margin (%)</v>
          </cell>
        </row>
        <row r="101">
          <cell r="A101" t="str">
            <v>Fertilisers</v>
          </cell>
          <cell r="E101">
            <v>0.10146431453937507</v>
          </cell>
          <cell r="F101">
            <v>0.12218230457261915</v>
          </cell>
          <cell r="G101">
            <v>7.8171276057673655E-2</v>
          </cell>
          <cell r="H101">
            <v>0.10251212916898643</v>
          </cell>
          <cell r="I101">
            <v>0.115</v>
          </cell>
          <cell r="J101">
            <v>0.12</v>
          </cell>
          <cell r="K101">
            <v>0.1</v>
          </cell>
          <cell r="L101">
            <v>0.1</v>
          </cell>
          <cell r="M101">
            <v>0.11</v>
          </cell>
          <cell r="N101">
            <v>0.11</v>
          </cell>
        </row>
        <row r="102">
          <cell r="A102" t="str">
            <v>Chemicals</v>
          </cell>
        </row>
        <row r="103">
          <cell r="A103" t="str">
            <v>Ammonium Nitrate</v>
          </cell>
          <cell r="E103">
            <v>0.14255167498218102</v>
          </cell>
          <cell r="F103">
            <v>0.17195767195767198</v>
          </cell>
          <cell r="G103">
            <v>0.18930568499534017</v>
          </cell>
          <cell r="H103">
            <v>0.14537954722993812</v>
          </cell>
          <cell r="I103">
            <v>0.2</v>
          </cell>
          <cell r="J103">
            <v>0.22</v>
          </cell>
          <cell r="K103">
            <v>0.2</v>
          </cell>
          <cell r="L103">
            <v>0.18</v>
          </cell>
          <cell r="M103">
            <v>0.16</v>
          </cell>
          <cell r="N103">
            <v>0.15</v>
          </cell>
        </row>
        <row r="104">
          <cell r="A104" t="str">
            <v>Sodium Cyanide</v>
          </cell>
          <cell r="E104">
            <v>0.29855850168350168</v>
          </cell>
          <cell r="F104">
            <v>0.40524839743589741</v>
          </cell>
          <cell r="G104">
            <v>0.36783120460806412</v>
          </cell>
          <cell r="H104">
            <v>0.31819095881595882</v>
          </cell>
          <cell r="I104">
            <v>0.45</v>
          </cell>
          <cell r="J104">
            <v>0.41</v>
          </cell>
          <cell r="K104">
            <v>0.35</v>
          </cell>
          <cell r="L104">
            <v>0.3</v>
          </cell>
          <cell r="M104">
            <v>0.3</v>
          </cell>
          <cell r="N104">
            <v>0.3</v>
          </cell>
        </row>
        <row r="105">
          <cell r="A105" t="str">
            <v>Other</v>
          </cell>
          <cell r="E105">
            <v>0.10152284263959391</v>
          </cell>
          <cell r="F105">
            <v>0.10899722552516845</v>
          </cell>
          <cell r="G105">
            <v>0.11232652572183831</v>
          </cell>
          <cell r="H105">
            <v>0.11268367438925449</v>
          </cell>
          <cell r="I105">
            <v>0.11</v>
          </cell>
          <cell r="J105">
            <v>0.11</v>
          </cell>
          <cell r="K105">
            <v>0.11</v>
          </cell>
          <cell r="L105">
            <v>0.12</v>
          </cell>
          <cell r="M105">
            <v>0.12</v>
          </cell>
          <cell r="N105">
            <v>0.12</v>
          </cell>
        </row>
        <row r="106">
          <cell r="A106" t="str">
            <v>Total</v>
          </cell>
          <cell r="E106">
            <v>0.12491463120681344</v>
          </cell>
          <cell r="F106">
            <v>0.15972742090382</v>
          </cell>
          <cell r="G106">
            <v>0.12240127878761749</v>
          </cell>
          <cell r="H106">
            <v>0.13426708750771052</v>
          </cell>
          <cell r="I106">
            <v>0.16432775452709744</v>
          </cell>
          <cell r="J106">
            <v>0.16460387341025737</v>
          </cell>
          <cell r="K106">
            <v>0.14969225968162847</v>
          </cell>
          <cell r="L106">
            <v>0.13810469891997371</v>
          </cell>
          <cell r="M106">
            <v>0.14632195829242947</v>
          </cell>
          <cell r="N106">
            <v>0.1497995358437961</v>
          </cell>
        </row>
        <row r="109">
          <cell r="A109" t="str">
            <v>% of Fertiliser Sales</v>
          </cell>
        </row>
        <row r="110">
          <cell r="A110" t="str">
            <v>SSP + trace</v>
          </cell>
          <cell r="B110">
            <v>0.38500942264862076</v>
          </cell>
          <cell r="C110">
            <v>0.26125616776315785</v>
          </cell>
          <cell r="D110">
            <v>0.26546762589928075</v>
          </cell>
          <cell r="E110">
            <v>0.22305084745762713</v>
          </cell>
          <cell r="F110">
            <v>0.24514914815354671</v>
          </cell>
          <cell r="G110">
            <v>0.23094698451976084</v>
          </cell>
          <cell r="H110">
            <v>0.202000811896063</v>
          </cell>
          <cell r="I110">
            <v>0.18174385528624232</v>
          </cell>
          <cell r="J110">
            <v>0.18714788110666</v>
          </cell>
          <cell r="K110">
            <v>0.20160924707261602</v>
          </cell>
          <cell r="L110">
            <v>0.20160924707261596</v>
          </cell>
          <cell r="M110">
            <v>0.20160924707261604</v>
          </cell>
          <cell r="N110">
            <v>0.20160924707261602</v>
          </cell>
        </row>
        <row r="111">
          <cell r="A111" t="str">
            <v>Dbl/Trp + SSP/potash</v>
          </cell>
          <cell r="B111">
            <v>0.19448346753469264</v>
          </cell>
          <cell r="C111">
            <v>0.17824835526315816</v>
          </cell>
          <cell r="D111">
            <v>0.14010211185889945</v>
          </cell>
          <cell r="E111">
            <v>0.16378185172374027</v>
          </cell>
          <cell r="F111">
            <v>0.1443037323478723</v>
          </cell>
          <cell r="G111">
            <v>0.14437452975091747</v>
          </cell>
          <cell r="H111">
            <v>0.1148945692513083</v>
          </cell>
          <cell r="I111">
            <v>0.1171029995401046</v>
          </cell>
          <cell r="J111">
            <v>0.1159682930421608</v>
          </cell>
          <cell r="K111">
            <v>0.12358611406612972</v>
          </cell>
          <cell r="L111">
            <v>0.12358611406612968</v>
          </cell>
          <cell r="M111">
            <v>0.1235861140661297</v>
          </cell>
          <cell r="N111">
            <v>0.12358611406612974</v>
          </cell>
        </row>
        <row r="112">
          <cell r="A112" t="str">
            <v>DAP</v>
          </cell>
          <cell r="B112">
            <v>0.1223231111872537</v>
          </cell>
          <cell r="C112">
            <v>0.16036184210526314</v>
          </cell>
          <cell r="D112">
            <v>0.16082617776746355</v>
          </cell>
          <cell r="E112">
            <v>0.1646489104116223</v>
          </cell>
          <cell r="F112">
            <v>6.5592605612669233E-2</v>
          </cell>
          <cell r="G112">
            <v>5.1452929491835525E-2</v>
          </cell>
          <cell r="H112">
            <v>2.4495107922785489E-2</v>
          </cell>
          <cell r="I112">
            <v>1.7782622766526427E-2</v>
          </cell>
          <cell r="J112">
            <v>1.7984387691030283E-2</v>
          </cell>
          <cell r="K112">
            <v>1.8887996352662771E-2</v>
          </cell>
          <cell r="L112">
            <v>1.8887996352662768E-2</v>
          </cell>
          <cell r="M112">
            <v>1.8887996352662775E-2</v>
          </cell>
          <cell r="N112">
            <v>1.8887996352662771E-2</v>
          </cell>
        </row>
        <row r="113">
          <cell r="A113" t="str">
            <v>Agras</v>
          </cell>
          <cell r="B113">
            <v>0.1911941065615898</v>
          </cell>
          <cell r="C113">
            <v>0.23900082236842102</v>
          </cell>
          <cell r="D113">
            <v>0.26511951728939448</v>
          </cell>
          <cell r="E113">
            <v>0.26772742995503285</v>
          </cell>
          <cell r="F113">
            <v>0.35535758687804919</v>
          </cell>
          <cell r="G113">
            <v>0.35082178019260851</v>
          </cell>
          <cell r="H113">
            <v>0.46467293141435917</v>
          </cell>
          <cell r="I113">
            <v>0.46063352013036052</v>
          </cell>
          <cell r="J113">
            <v>0.45642015939611041</v>
          </cell>
          <cell r="K113">
            <v>0.44497514165997271</v>
          </cell>
          <cell r="L113">
            <v>0.4449751416599726</v>
          </cell>
          <cell r="M113">
            <v>0.44497514165997265</v>
          </cell>
          <cell r="N113">
            <v>0.44497514165997265</v>
          </cell>
        </row>
        <row r="114">
          <cell r="A114" t="str">
            <v>UREA</v>
          </cell>
          <cell r="B114">
            <v>5.5593626863114601E-2</v>
          </cell>
          <cell r="C114">
            <v>8.8661595394736822E-2</v>
          </cell>
          <cell r="D114">
            <v>9.6077976328614589E-2</v>
          </cell>
          <cell r="E114">
            <v>0.1033091202582728</v>
          </cell>
          <cell r="F114">
            <v>0.12829141980125011</v>
          </cell>
          <cell r="G114">
            <v>0.15986675519873883</v>
          </cell>
          <cell r="H114">
            <v>0.13190020715386513</v>
          </cell>
          <cell r="I114">
            <v>0.190941763613756</v>
          </cell>
          <cell r="J114">
            <v>0.18802642878122178</v>
          </cell>
          <cell r="K114">
            <v>0.17518329274351019</v>
          </cell>
          <cell r="L114">
            <v>0.17518329274351016</v>
          </cell>
          <cell r="M114">
            <v>0.17518329274351019</v>
          </cell>
          <cell r="N114">
            <v>0.17518329274351022</v>
          </cell>
        </row>
        <row r="115">
          <cell r="A115" t="str">
            <v>Other (domestic)</v>
          </cell>
          <cell r="B115">
            <v>5.1396265204728439E-2</v>
          </cell>
          <cell r="C115">
            <v>7.247121710526315E-2</v>
          </cell>
          <cell r="D115">
            <v>7.2406590856347236E-2</v>
          </cell>
          <cell r="E115">
            <v>7.7481840193704604E-2</v>
          </cell>
          <cell r="F115">
            <v>6.1305507206612424E-2</v>
          </cell>
          <cell r="G115">
            <v>6.2537020846138922E-2</v>
          </cell>
          <cell r="H115">
            <v>6.2036372361618887E-2</v>
          </cell>
          <cell r="I115">
            <v>3.1795238663010213E-2</v>
          </cell>
          <cell r="J115">
            <v>3.4452849982816634E-2</v>
          </cell>
          <cell r="K115">
            <v>3.5758208105108699E-2</v>
          </cell>
          <cell r="L115">
            <v>3.5758208105108685E-2</v>
          </cell>
          <cell r="M115">
            <v>3.5758208105108699E-2</v>
          </cell>
          <cell r="N115">
            <v>3.5758208105108699E-2</v>
          </cell>
        </row>
        <row r="116">
          <cell r="A116" t="str">
            <v>Total</v>
          </cell>
          <cell r="B116">
            <v>1</v>
          </cell>
          <cell r="C116">
            <v>1</v>
          </cell>
          <cell r="D116">
            <v>1</v>
          </cell>
          <cell r="E116">
            <v>1</v>
          </cell>
          <cell r="F116">
            <v>1</v>
          </cell>
          <cell r="G116">
            <v>1</v>
          </cell>
          <cell r="H116">
            <v>1</v>
          </cell>
          <cell r="I116">
            <v>1</v>
          </cell>
          <cell r="J116">
            <v>1</v>
          </cell>
          <cell r="K116">
            <v>1</v>
          </cell>
          <cell r="L116">
            <v>1</v>
          </cell>
          <cell r="M116">
            <v>1</v>
          </cell>
          <cell r="N116">
            <v>1</v>
          </cell>
        </row>
        <row r="117">
          <cell r="A117" t="str">
            <v>Total - Rural</v>
          </cell>
          <cell r="B117">
            <v>0.9486037347952716</v>
          </cell>
          <cell r="C117">
            <v>0.92752878289473684</v>
          </cell>
          <cell r="D117">
            <v>0.92759340914365285</v>
          </cell>
          <cell r="E117">
            <v>0.92251815980629537</v>
          </cell>
          <cell r="F117">
            <v>0.93869449279338757</v>
          </cell>
          <cell r="G117">
            <v>0.93746297915386112</v>
          </cell>
          <cell r="H117">
            <v>0.93796362763838115</v>
          </cell>
          <cell r="I117">
            <v>0.96820476133698985</v>
          </cell>
          <cell r="J117">
            <v>0.96554715001718339</v>
          </cell>
          <cell r="K117">
            <v>0.96424179189489134</v>
          </cell>
          <cell r="L117">
            <v>0.96424179189489123</v>
          </cell>
          <cell r="M117">
            <v>0.96424179189489134</v>
          </cell>
          <cell r="N117">
            <v>0.96424179189489123</v>
          </cell>
        </row>
        <row r="119">
          <cell r="A119" t="str">
            <v>% of Chemical Sales</v>
          </cell>
        </row>
        <row r="120">
          <cell r="A120" t="str">
            <v>Ammonium Nitrate</v>
          </cell>
          <cell r="C120">
            <v>0.4062237174095879</v>
          </cell>
          <cell r="D120">
            <v>0.36476683937823839</v>
          </cell>
          <cell r="E120">
            <v>0.3718526371587596</v>
          </cell>
          <cell r="F120">
            <v>0.3704792708027051</v>
          </cell>
          <cell r="G120">
            <v>0.35904194692419761</v>
          </cell>
          <cell r="H120">
            <v>0.37241698435879128</v>
          </cell>
          <cell r="I120">
            <v>0.49780591324365159</v>
          </cell>
          <cell r="J120">
            <v>0.50859106529209619</v>
          </cell>
          <cell r="K120">
            <v>0.47803617571059437</v>
          </cell>
          <cell r="L120">
            <v>0.4444317336841504</v>
          </cell>
          <cell r="M120">
            <v>0.44379470721027009</v>
          </cell>
          <cell r="N120">
            <v>0.45586883378988025</v>
          </cell>
        </row>
        <row r="121">
          <cell r="A121" t="str">
            <v>Sodium Cyanide</v>
          </cell>
          <cell r="C121">
            <v>0.2270815811606392</v>
          </cell>
          <cell r="D121">
            <v>0.27979274611398963</v>
          </cell>
          <cell r="E121">
            <v>0.314868804664723</v>
          </cell>
          <cell r="F121">
            <v>0.38224051749485449</v>
          </cell>
          <cell r="G121">
            <v>0.41753684007115599</v>
          </cell>
          <cell r="H121">
            <v>0.46742431516021288</v>
          </cell>
          <cell r="I121">
            <v>0.39565498884972305</v>
          </cell>
          <cell r="J121">
            <v>0.39098892707140137</v>
          </cell>
          <cell r="K121">
            <v>0.41343669250645998</v>
          </cell>
          <cell r="L121">
            <v>0.36606989647085741</v>
          </cell>
          <cell r="M121">
            <v>0.36554518998014529</v>
          </cell>
          <cell r="N121">
            <v>0.35760992048234774</v>
          </cell>
        </row>
        <row r="122">
          <cell r="A122" t="str">
            <v>Chlorine</v>
          </cell>
          <cell r="C122">
            <v>5.3826745164003362E-2</v>
          </cell>
          <cell r="D122">
            <v>4.9740932642487044E-2</v>
          </cell>
          <cell r="E122">
            <v>5.08878876225815E-2</v>
          </cell>
          <cell r="F122">
            <v>4.1164363422522797E-2</v>
          </cell>
          <cell r="G122">
            <v>9.8176055198098428E-3</v>
          </cell>
          <cell r="H122">
            <v>9.2505798588125888E-3</v>
          </cell>
          <cell r="I122">
            <v>9.7115315444932029E-3</v>
          </cell>
          <cell r="J122">
            <v>1.0309278350515465E-2</v>
          </cell>
          <cell r="K122">
            <v>8.7209302325581411E-3</v>
          </cell>
          <cell r="L122">
            <v>7.7217868786821492E-3</v>
          </cell>
          <cell r="M122">
            <v>7.3435417629939903E-3</v>
          </cell>
          <cell r="N122">
            <v>7.1841278668328783E-3</v>
          </cell>
        </row>
        <row r="123">
          <cell r="A123" t="str">
            <v>Caustic Soda</v>
          </cell>
          <cell r="C123">
            <v>6.0555088309503791E-2</v>
          </cell>
          <cell r="D123">
            <v>4.6632124352331605E-2</v>
          </cell>
          <cell r="E123">
            <v>3.7105751391465679E-2</v>
          </cell>
          <cell r="F123">
            <v>8.3308830736058027E-3</v>
          </cell>
          <cell r="G123">
            <v>2.1875458788601511E-2</v>
          </cell>
          <cell r="H123">
            <v>2.374118481055058E-2</v>
          </cell>
          <cell r="I123">
            <v>1.7984317674987413E-2</v>
          </cell>
          <cell r="J123">
            <v>1.5273004963726614E-2</v>
          </cell>
          <cell r="K123">
            <v>1.2919896640826874E-2</v>
          </cell>
          <cell r="L123">
            <v>1.1439684264714294E-2</v>
          </cell>
          <cell r="M123">
            <v>1.0879321130361467E-2</v>
          </cell>
          <cell r="N123">
            <v>1.0643152395307968E-2</v>
          </cell>
        </row>
        <row r="124">
          <cell r="A124" t="str">
            <v>Acid - H2SO4</v>
          </cell>
          <cell r="C124">
            <v>8.9711241940005612E-2</v>
          </cell>
          <cell r="D124">
            <v>8.2901554404145081E-2</v>
          </cell>
          <cell r="E124">
            <v>8.4813146037635831E-2</v>
          </cell>
          <cell r="F124">
            <v>8.1936685288640607E-2</v>
          </cell>
          <cell r="G124">
            <v>5.7198259834440851E-2</v>
          </cell>
          <cell r="H124">
            <v>8.2882091404373665E-2</v>
          </cell>
          <cell r="I124">
            <v>4.1148118840371201E-2</v>
          </cell>
          <cell r="J124">
            <v>4.2000763650248192E-2</v>
          </cell>
          <cell r="K124">
            <v>4.2635658914728682E-2</v>
          </cell>
          <cell r="L124">
            <v>3.7750958073557168E-2</v>
          </cell>
          <cell r="M124">
            <v>3.5901759730192835E-2</v>
          </cell>
          <cell r="N124">
            <v>3.5122402904516292E-2</v>
          </cell>
        </row>
        <row r="125">
          <cell r="A125" t="str">
            <v>Acid - HCl</v>
          </cell>
          <cell r="C125">
            <v>2.8034763106251755E-2</v>
          </cell>
          <cell r="D125">
            <v>2.072538860103627E-2</v>
          </cell>
          <cell r="E125">
            <v>2.1203286509408958E-2</v>
          </cell>
          <cell r="F125">
            <v>1.7837890816426543E-2</v>
          </cell>
          <cell r="G125">
            <v>9.3629473228077405E-3</v>
          </cell>
          <cell r="H125">
            <v>8.1068340683385174E-3</v>
          </cell>
          <cell r="I125">
            <v>7.9130997769944617E-3</v>
          </cell>
          <cell r="J125">
            <v>8.4001527300496381E-3</v>
          </cell>
          <cell r="K125">
            <v>7.1059431524547814E-3</v>
          </cell>
          <cell r="L125">
            <v>6.2918263455928628E-3</v>
          </cell>
          <cell r="M125">
            <v>5.9836266216988067E-3</v>
          </cell>
          <cell r="N125">
            <v>5.8537338174193829E-3</v>
          </cell>
        </row>
        <row r="126">
          <cell r="A126" t="str">
            <v>Urea/Other</v>
          </cell>
          <cell r="C126">
            <v>0.13456686291000841</v>
          </cell>
          <cell r="D126">
            <v>0.15544041450777202</v>
          </cell>
          <cell r="E126">
            <v>0.11926848661542538</v>
          </cell>
          <cell r="F126">
            <v>9.8010389101244738E-2</v>
          </cell>
          <cell r="G126">
            <v>0.12516694153898666</v>
          </cell>
          <cell r="H126">
            <v>3.6178010338920527E-2</v>
          </cell>
          <cell r="I126">
            <v>2.9782030069779152E-2</v>
          </cell>
          <cell r="J126">
            <v>2.4436807941962586E-2</v>
          </cell>
          <cell r="K126">
            <v>3.7144702842377267E-2</v>
          </cell>
          <cell r="L126">
            <v>0.31573528570611453</v>
          </cell>
          <cell r="M126">
            <v>0.32637963391084401</v>
          </cell>
          <cell r="N126">
            <v>0.31929457185923904</v>
          </cell>
        </row>
        <row r="127">
          <cell r="A127" t="str">
            <v>Total</v>
          </cell>
          <cell r="C127">
            <v>1</v>
          </cell>
          <cell r="D127">
            <v>1</v>
          </cell>
          <cell r="E127">
            <v>1</v>
          </cell>
          <cell r="F127">
            <v>1</v>
          </cell>
          <cell r="G127">
            <v>1</v>
          </cell>
          <cell r="H127">
            <v>1</v>
          </cell>
          <cell r="I127">
            <v>1</v>
          </cell>
          <cell r="J127">
            <v>1</v>
          </cell>
          <cell r="K127">
            <v>1</v>
          </cell>
          <cell r="L127">
            <v>1</v>
          </cell>
          <cell r="M127">
            <v>1</v>
          </cell>
          <cell r="N127">
            <v>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Y_A"/>
      <sheetName val="Back"/>
      <sheetName val="CEY Summary"/>
      <sheetName val="Financial Statements"/>
      <sheetName val="Production"/>
      <sheetName val="ER"/>
      <sheetName val="NPV"/>
      <sheetName val="Sensitivity"/>
      <sheetName val="Charts"/>
      <sheetName val="Resources"/>
      <sheetName val="Quants"/>
      <sheetName val="RBCCM_Key_Information"/>
      <sheetName val="RBCCM_Valuation_Measures"/>
      <sheetName val="RBCCM_Income_Statement"/>
      <sheetName val="RBCCM_Cash_Flow"/>
      <sheetName val="RBCCM_Balance_Sheet"/>
      <sheetName val="RBCCM_Industry_Specif"/>
      <sheetName val="RBCCM_Quarterly_Estimates_Data"/>
      <sheetName val="Cey_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D1">
            <v>2005</v>
          </cell>
          <cell r="E1">
            <v>2006</v>
          </cell>
          <cell r="F1">
            <v>2007</v>
          </cell>
          <cell r="G1" t="str">
            <v>2008E</v>
          </cell>
        </row>
      </sheetData>
      <sheetData sheetId="13" refreshError="1"/>
      <sheetData sheetId="14" refreshError="1"/>
      <sheetData sheetId="15" refreshError="1"/>
      <sheetData sheetId="16" refreshError="1">
        <row r="1">
          <cell r="B1">
            <v>2003</v>
          </cell>
          <cell r="C1">
            <v>2004</v>
          </cell>
          <cell r="D1">
            <v>2005</v>
          </cell>
          <cell r="E1">
            <v>2006</v>
          </cell>
          <cell r="F1">
            <v>2007</v>
          </cell>
          <cell r="G1" t="str">
            <v>2008E</v>
          </cell>
        </row>
      </sheetData>
      <sheetData sheetId="17" refreshError="1"/>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_A"/>
      <sheetName val="Summary"/>
      <sheetName val="Financials"/>
      <sheetName val="Coppabella"/>
      <sheetName val="Moorvale"/>
      <sheetName val="Middlemount"/>
      <sheetName val="Price Target"/>
      <sheetName val="Resources"/>
      <sheetName val="Sensitivity"/>
      <sheetName val="QLD Port Expansions"/>
      <sheetName val="Charts"/>
      <sheetName val="Broker Numbers"/>
      <sheetName val="Growth Projects"/>
      <sheetName val="RBCCM_Key_Information"/>
      <sheetName val="RBCCM_Valuation_Measures"/>
      <sheetName val="RBCCM_Income_Statement"/>
      <sheetName val="RBCCM_Cash_Flow"/>
      <sheetName val="RBCCM_Balance_Sheet"/>
      <sheetName val="RBCCM_Quarterly_Estimates_Data"/>
      <sheetName val="RBCCM_Industry_Spec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es"/>
      <sheetName val="Stock Prices"/>
      <sheetName val="Misc Stock prices "/>
      <sheetName val="97PE"/>
      <sheetName val="98PE"/>
      <sheetName val="99PE"/>
      <sheetName val="00PE"/>
      <sheetName val="01PE"/>
      <sheetName val="Relative"/>
      <sheetName val="Relative (2)"/>
      <sheetName val="RelCharts"/>
      <sheetName val="RelCharts (2)"/>
      <sheetName val="Exchange rates"/>
      <sheetName val="No Shares"/>
      <sheetName val="Prices"/>
      <sheetName val="USA_misc Stock prices "/>
      <sheetName val="Forecasts_VDF"/>
      <sheetName val="MODEL"/>
      <sheetName val="02PE"/>
      <sheetName val="Template"/>
      <sheetName val="DataPage"/>
      <sheetName val="Output"/>
      <sheetName val="DCF"/>
      <sheetName val="Template1"/>
      <sheetName val="DPage"/>
      <sheetName val="Qs"/>
      <sheetName val="Sheet3"/>
      <sheetName val="MTH"/>
      <sheetName val="USA_misc Stock prices"/>
      <sheetName val="Sheet2"/>
      <sheetName val="USA Stock prices "/>
      <sheetName val="TEMPLATE_1"/>
      <sheetName val="EURO"/>
      <sheetName val="CABEQ.XLS"/>
      <sheetName val="#REF"/>
      <sheetName val="actualrelative"/>
      <sheetName val="Financials"/>
      <sheetName val="Marketing"/>
      <sheetName val="MARKETS"/>
      <sheetName val="ASSUMPTIONS"/>
      <sheetName val="TELE+"/>
      <sheetName val="MSDW ConFins"/>
      <sheetName val="Chart1"/>
      <sheetName val="WKING_DATA"/>
      <sheetName val="Consumer"/>
      <sheetName val="Val"/>
      <sheetName val="Comps"/>
      <sheetName val="Misc Stock Prices"/>
      <sheetName val=" Stock prices "/>
      <sheetName val="PXMODEL"/>
      <sheetName val="DCF Reuters"/>
      <sheetName val="Sector"/>
    </sheetNames>
    <sheetDataSet>
      <sheetData sheetId="0" refreshError="1">
        <row r="5">
          <cell r="E5" t="str">
            <v>#N/A N/P</v>
          </cell>
        </row>
        <row r="7">
          <cell r="E7">
            <v>12.1</v>
          </cell>
        </row>
        <row r="8">
          <cell r="E8" t="e">
            <v>#VALUE!</v>
          </cell>
        </row>
        <row r="9">
          <cell r="E9" t="e">
            <v>#VALUE!</v>
          </cell>
        </row>
        <row r="10">
          <cell r="E10" t="e">
            <v>#VALUE!</v>
          </cell>
        </row>
        <row r="11">
          <cell r="E11"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
      <sheetName val="Qtr"/>
      <sheetName val="S-ebitda"/>
      <sheetName val="Publish"/>
      <sheetName val="_Control"/>
      <sheetName val="AsiaDB"/>
      <sheetName val="consol"/>
      <sheetName val="main"/>
      <sheetName val="revenue"/>
      <sheetName val="broadband"/>
      <sheetName val="cost"/>
      <sheetName val="debt"/>
      <sheetName val="valuation"/>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s>
    <sheetDataSet>
      <sheetData sheetId="0" refreshError="1"/>
      <sheetData sheetId="1" refreshError="1"/>
      <sheetData sheetId="2" refreshError="1"/>
      <sheetData sheetId="3" refreshError="1"/>
      <sheetData sheetId="4"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37.0.610887672</v>
          </cell>
        </row>
        <row r="18">
          <cell r="D18" t="str">
            <v>C:\JairamR\GLOSS\telcos\ktel-lcwip(oct27).xls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0</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denLinks"/>
      <sheetName val="Summary"/>
      <sheetName val="Financials"/>
      <sheetName val="ResearchWise"/>
      <sheetName val="Database"/>
      <sheetName val="Con &amp; Min"/>
      <sheetName val="Cement JVs"/>
      <sheetName val="Building Prod"/>
      <sheetName val="Assumptions"/>
      <sheetName val="Valuation"/>
      <sheetName val="Sensitivities"/>
      <sheetName val="LT History"/>
      <sheetName val="Half Years"/>
    </sheetNames>
    <sheetDataSet>
      <sheetData sheetId="0"/>
      <sheetData sheetId="1"/>
      <sheetData sheetId="2"/>
      <sheetData sheetId="3"/>
      <sheetData sheetId="4">
        <row r="12">
          <cell r="C12">
            <v>5.3193361549935592</v>
          </cell>
        </row>
      </sheetData>
      <sheetData sheetId="5"/>
      <sheetData sheetId="6"/>
      <sheetData sheetId="7"/>
      <sheetData sheetId="8"/>
      <sheetData sheetId="9">
        <row r="18">
          <cell r="B18">
            <v>8.6399999999999991E-2</v>
          </cell>
        </row>
      </sheetData>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terface"/>
      <sheetName val="Page Details"/>
      <sheetName val="DCF"/>
      <sheetName val="REGION"/>
      <sheetName val="Summary"/>
      <sheetName val="QTRLY"/>
      <sheetName val="TABLES"/>
      <sheetName val="Check Sums"/>
      <sheetName val="master"/>
      <sheetName val="Page Sizes"/>
      <sheetName val="Sample Layout"/>
      <sheetName val="VALUATION"/>
      <sheetName val="NEW"/>
      <sheetName val="DATA"/>
      <sheetName val="Dep policy"/>
      <sheetName val="Interim"/>
      <sheetName val="brief"/>
      <sheetName val="Co. data"/>
      <sheetName val="Forex"/>
      <sheetName val="Write-off"/>
      <sheetName val="Post Philcom book"/>
      <sheetName val="PLTL"/>
      <sheetName val="I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PT"/>
      <sheetName val="CITI"/>
      <sheetName val="CLSA"/>
      <sheetName val="CS"/>
      <sheetName val="DB"/>
      <sheetName val="GS"/>
      <sheetName val="JPM"/>
      <sheetName val="MQG"/>
      <sheetName val="MS"/>
      <sheetName val="MST"/>
      <sheetName val="UB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1"/>
      <sheetName val="NAV"/>
      <sheetName val="ECONOMY"/>
      <sheetName val="CPI STATE &amp; INDUSTRY"/>
      <sheetName val="HOUSEHOLD SPEND"/>
      <sheetName val="INDUSTRY CVM"/>
      <sheetName val="RETAIL TRADE"/>
      <sheetName val="Interest Payments"/>
      <sheetName val="TAX CALCULATOR"/>
      <sheetName val="TOURISM"/>
      <sheetName val="TOURISM KPI's"/>
      <sheetName val="STV REASON"/>
      <sheetName val="STV STATE"/>
      <sheetName val="STV COUNTRY"/>
      <sheetName val="LABOUR"/>
      <sheetName val="JOB VACANCIES"/>
      <sheetName val="ACCOM &amp; FOOD"/>
      <sheetName val="EMPLOYEES SS"/>
      <sheetName val="EMPLOYEES CONT"/>
      <sheetName val="EMPLOYEES EDU"/>
      <sheetName val="ARRIVALS VISA"/>
      <sheetName val="POPULATION"/>
      <sheetName val="ADULT POP"/>
      <sheetName val="REGIONAL POP"/>
      <sheetName val="BIRTH COUNTRY"/>
      <sheetName val="OS MIGRATION"/>
      <sheetName val="DATA"/>
      <sheetName val="CPI 1"/>
      <sheetName val="CPI 2"/>
      <sheetName val="CPI 3"/>
      <sheetName val="CPI 5"/>
      <sheetName val="CPI 6"/>
      <sheetName val="CPI MON"/>
      <sheetName val="NAT FIG"/>
      <sheetName val="HH SPEND"/>
      <sheetName val="HH CONS"/>
      <sheetName val="IND CVM"/>
      <sheetName val="RET IND"/>
      <sheetName val="RET STATE"/>
      <sheetName val="TOU KPI"/>
      <sheetName val="TOU VIS"/>
      <sheetName val="TOU IND"/>
      <sheetName val="TOU IND CVM"/>
      <sheetName val="TOU IND PRC"/>
      <sheetName val="STV STE"/>
      <sheetName val="STV RSN"/>
      <sheetName val="STV CNT"/>
      <sheetName val="JOB VAC"/>
      <sheetName val="ACC &amp; FOOD"/>
      <sheetName val="ALL IND"/>
      <sheetName val="EMP SS"/>
      <sheetName val="EMP EDU"/>
      <sheetName val="EMP CONT"/>
      <sheetName val="VISA AUS"/>
      <sheetName val="VISA NSW"/>
      <sheetName val="VISA VIC"/>
      <sheetName val="VISA QLD"/>
      <sheetName val="VISA SA"/>
      <sheetName val="VISA WA"/>
      <sheetName val="VISA AUS DEP"/>
      <sheetName val="VISA NSW DEP"/>
      <sheetName val="VISA VIC DEP"/>
      <sheetName val="VISA QLD DEP"/>
      <sheetName val="VISA SA DEP"/>
      <sheetName val="VISA WA DEP"/>
      <sheetName val="AUS AGE"/>
      <sheetName val="NSW AGE"/>
      <sheetName val="VIC AGE"/>
      <sheetName val="QLD AGE"/>
      <sheetName val="WA AGE"/>
      <sheetName val="SA AGE"/>
      <sheetName val="TAS AGE"/>
      <sheetName val="ACT AGE"/>
      <sheetName val="NT AGE"/>
      <sheetName val="REG POP"/>
      <sheetName val="COB AUS"/>
      <sheetName val="COB NSW"/>
      <sheetName val="COB QLD"/>
      <sheetName val="COB SA"/>
      <sheetName val="MIG AUS"/>
      <sheetName val="MIG NSW"/>
      <sheetName val="MIG QLD"/>
      <sheetName val="MIG SA"/>
    </sheetNames>
    <sheetDataSet>
      <sheetData sheetId="0"/>
      <sheetData sheetId="1"/>
      <sheetData sheetId="2"/>
      <sheetData sheetId="3"/>
      <sheetData sheetId="4">
        <row r="27">
          <cell r="AV27">
            <v>1.1910013233348038E-2</v>
          </cell>
          <cell r="BA27"/>
          <cell r="BE27">
            <v>21794</v>
          </cell>
        </row>
        <row r="28">
          <cell r="AV28">
            <v>1.2738853503184714E-2</v>
          </cell>
          <cell r="BA28"/>
          <cell r="BE28">
            <v>21885</v>
          </cell>
        </row>
        <row r="29">
          <cell r="AV29">
            <v>1.5047291487532245E-2</v>
          </cell>
          <cell r="BA29"/>
          <cell r="BE29">
            <v>21976</v>
          </cell>
        </row>
        <row r="30">
          <cell r="AV30">
            <v>1.3759611493322542E-2</v>
          </cell>
          <cell r="BA30"/>
          <cell r="BE30">
            <v>22068</v>
          </cell>
        </row>
        <row r="31">
          <cell r="AV31">
            <v>1.1980830670926517E-2</v>
          </cell>
          <cell r="BA31"/>
          <cell r="BE31">
            <v>22160</v>
          </cell>
        </row>
        <row r="32">
          <cell r="AV32">
            <v>1.2896094325718496E-2</v>
          </cell>
          <cell r="BA32"/>
          <cell r="BE32">
            <v>22251</v>
          </cell>
        </row>
        <row r="33">
          <cell r="AV33">
            <v>1.4729950900163666E-2</v>
          </cell>
          <cell r="BA33"/>
          <cell r="BE33">
            <v>22341</v>
          </cell>
        </row>
        <row r="34">
          <cell r="AV34">
            <v>1.3866877971473851E-2</v>
          </cell>
          <cell r="BA34"/>
          <cell r="BE34">
            <v>22433</v>
          </cell>
        </row>
        <row r="35">
          <cell r="AV35">
            <v>1.1071569790431E-2</v>
          </cell>
          <cell r="BA35"/>
          <cell r="BE35">
            <v>22525</v>
          </cell>
        </row>
        <row r="36">
          <cell r="AV36">
            <v>1.3138686131386862E-2</v>
          </cell>
          <cell r="BA36"/>
          <cell r="BE36">
            <v>22616</v>
          </cell>
        </row>
        <row r="37">
          <cell r="AV37">
            <v>1.5330188679245283E-2</v>
          </cell>
          <cell r="BA37"/>
          <cell r="BE37">
            <v>22706</v>
          </cell>
        </row>
        <row r="38">
          <cell r="AV38">
            <v>1.4147431124348473E-2</v>
          </cell>
          <cell r="BA38">
            <v>1.3384783275923474E-2</v>
          </cell>
          <cell r="BE38">
            <v>22798</v>
          </cell>
        </row>
        <row r="39">
          <cell r="AV39">
            <v>1.2592592592592593E-2</v>
          </cell>
          <cell r="BA39">
            <v>1.3441664889193851E-2</v>
          </cell>
          <cell r="BE39">
            <v>22890</v>
          </cell>
        </row>
        <row r="40">
          <cell r="AV40">
            <v>1.3893595391392748E-2</v>
          </cell>
          <cell r="BA40">
            <v>1.3537893379877855E-2</v>
          </cell>
          <cell r="BE40">
            <v>22981</v>
          </cell>
        </row>
        <row r="41">
          <cell r="AV41">
            <v>1.5832106038291605E-2</v>
          </cell>
          <cell r="BA41">
            <v>1.3603294592441138E-2</v>
          </cell>
          <cell r="BE41">
            <v>23071</v>
          </cell>
        </row>
        <row r="42">
          <cell r="AV42">
            <v>1.4396067415730338E-2</v>
          </cell>
          <cell r="BA42">
            <v>1.3656332585975118E-2</v>
          </cell>
          <cell r="BE42">
            <v>23163</v>
          </cell>
        </row>
        <row r="43">
          <cell r="AV43">
            <v>1.6320979258755527E-2</v>
          </cell>
          <cell r="BA43">
            <v>1.4018011634960872E-2</v>
          </cell>
          <cell r="BE43">
            <v>23255</v>
          </cell>
        </row>
        <row r="44">
          <cell r="AV44">
            <v>1.7516421645292463E-2</v>
          </cell>
          <cell r="BA44">
            <v>1.4403038911592036E-2</v>
          </cell>
          <cell r="BE44">
            <v>23346</v>
          </cell>
        </row>
        <row r="45">
          <cell r="AV45">
            <v>2.0442930153321975E-2</v>
          </cell>
          <cell r="BA45">
            <v>1.4879120516021893E-2</v>
          </cell>
          <cell r="BE45">
            <v>23437</v>
          </cell>
        </row>
        <row r="46">
          <cell r="AV46">
            <v>1.8983268983268985E-2</v>
          </cell>
          <cell r="BA46">
            <v>1.5305486433671488E-2</v>
          </cell>
          <cell r="BE46">
            <v>23529</v>
          </cell>
        </row>
        <row r="47">
          <cell r="AV47">
            <v>1.7964071856287425E-2</v>
          </cell>
          <cell r="BA47">
            <v>1.587986160582619E-2</v>
          </cell>
          <cell r="BE47">
            <v>23621</v>
          </cell>
        </row>
        <row r="48">
          <cell r="AV48">
            <v>1.804123711340206E-2</v>
          </cell>
          <cell r="BA48">
            <v>1.6288407520994124E-2</v>
          </cell>
          <cell r="BE48">
            <v>23712</v>
          </cell>
        </row>
        <row r="49">
          <cell r="AV49">
            <v>2.2306000628338044E-2</v>
          </cell>
          <cell r="BA49">
            <v>1.6869725183418519E-2</v>
          </cell>
          <cell r="BE49">
            <v>23802</v>
          </cell>
        </row>
        <row r="50">
          <cell r="AV50">
            <v>2.0547945205479451E-2</v>
          </cell>
          <cell r="BA50">
            <v>1.7403101356846102E-2</v>
          </cell>
          <cell r="BE50">
            <v>23894</v>
          </cell>
        </row>
        <row r="51">
          <cell r="AV51">
            <v>1.7920094007050528E-2</v>
          </cell>
          <cell r="BA51">
            <v>1.7847059808050927E-2</v>
          </cell>
          <cell r="BE51">
            <v>23986</v>
          </cell>
        </row>
        <row r="52">
          <cell r="AV52">
            <v>1.8588362068965518E-2</v>
          </cell>
          <cell r="BA52">
            <v>1.8238290364515328E-2</v>
          </cell>
          <cell r="BE52">
            <v>24077</v>
          </cell>
        </row>
        <row r="53">
          <cell r="AV53">
            <v>2.2478556640047324E-2</v>
          </cell>
          <cell r="BA53">
            <v>1.879216124799497E-2</v>
          </cell>
          <cell r="BE53">
            <v>24167</v>
          </cell>
        </row>
        <row r="54">
          <cell r="AV54">
            <v>2.0436730123180293E-2</v>
          </cell>
          <cell r="BA54">
            <v>1.9295549806949131E-2</v>
          </cell>
          <cell r="BE54">
            <v>24259</v>
          </cell>
        </row>
        <row r="55">
          <cell r="AV55">
            <v>1.9209659714599342E-2</v>
          </cell>
          <cell r="BA55">
            <v>1.9536273178269451E-2</v>
          </cell>
          <cell r="BE55">
            <v>24351</v>
          </cell>
        </row>
        <row r="56">
          <cell r="AV56">
            <v>1.8735948038970773E-2</v>
          </cell>
          <cell r="BA56">
            <v>1.9637900377742643E-2</v>
          </cell>
          <cell r="BE56">
            <v>24442</v>
          </cell>
        </row>
        <row r="57">
          <cell r="AV57">
            <v>2.2758060146301815E-2</v>
          </cell>
          <cell r="BA57">
            <v>1.983082787715763E-2</v>
          </cell>
          <cell r="BE57">
            <v>24532</v>
          </cell>
        </row>
        <row r="58">
          <cell r="AV58">
            <v>2.089783281733746E-2</v>
          </cell>
          <cell r="BA58">
            <v>1.9990374863330003E-2</v>
          </cell>
          <cell r="BE58">
            <v>24624</v>
          </cell>
        </row>
        <row r="59">
          <cell r="AV59">
            <v>1.8635104507680685E-2</v>
          </cell>
          <cell r="BA59">
            <v>2.0046294250946107E-2</v>
          </cell>
          <cell r="BE59">
            <v>24716</v>
          </cell>
        </row>
        <row r="60">
          <cell r="AV60">
            <v>1.9553715205889118E-2</v>
          </cell>
          <cell r="BA60">
            <v>2.0172334091986693E-2</v>
          </cell>
          <cell r="BE60">
            <v>24807</v>
          </cell>
        </row>
        <row r="61">
          <cell r="AV61">
            <v>2.2727272727272728E-2</v>
          </cell>
          <cell r="BA61">
            <v>2.0207440100231251E-2</v>
          </cell>
          <cell r="BE61">
            <v>24898</v>
          </cell>
        </row>
        <row r="62">
          <cell r="AV62">
            <v>2.1878715814506539E-2</v>
          </cell>
          <cell r="BA62">
            <v>2.0318337650983512E-2</v>
          </cell>
          <cell r="BE62">
            <v>24990</v>
          </cell>
        </row>
        <row r="63">
          <cell r="AV63">
            <v>1.984126984126984E-2</v>
          </cell>
          <cell r="BA63">
            <v>2.0478435637168457E-2</v>
          </cell>
          <cell r="BE63">
            <v>25082</v>
          </cell>
        </row>
        <row r="64">
          <cell r="AV64">
            <v>2.009306260575296E-2</v>
          </cell>
          <cell r="BA64">
            <v>2.0603827348567409E-2</v>
          </cell>
          <cell r="BE64">
            <v>25173</v>
          </cell>
        </row>
        <row r="65">
          <cell r="AV65">
            <v>2.2287923584261998E-2</v>
          </cell>
          <cell r="BA65">
            <v>2.0587941260585298E-2</v>
          </cell>
          <cell r="BE65">
            <v>25263</v>
          </cell>
        </row>
        <row r="66">
          <cell r="AV66">
            <v>2.1405405405405406E-2</v>
          </cell>
          <cell r="BA66">
            <v>2.0668664200770723E-2</v>
          </cell>
          <cell r="BE66">
            <v>25355</v>
          </cell>
        </row>
        <row r="67">
          <cell r="AV67">
            <v>2.0421052631578947E-2</v>
          </cell>
          <cell r="BA67">
            <v>2.0769613610519027E-2</v>
          </cell>
          <cell r="BE67">
            <v>25447</v>
          </cell>
        </row>
        <row r="68">
          <cell r="AV68">
            <v>2.0634314100114636E-2</v>
          </cell>
          <cell r="BA68">
            <v>2.0927810782281012E-2</v>
          </cell>
          <cell r="BE68">
            <v>25538</v>
          </cell>
        </row>
        <row r="69">
          <cell r="AV69">
            <v>2.2657054582904221E-2</v>
          </cell>
          <cell r="BA69">
            <v>2.0919393651997877E-2</v>
          </cell>
          <cell r="BE69">
            <v>25628</v>
          </cell>
        </row>
        <row r="70">
          <cell r="AV70">
            <v>2.1688159437280186E-2</v>
          </cell>
          <cell r="BA70">
            <v>2.0985254203659775E-2</v>
          </cell>
          <cell r="BE70">
            <v>25720</v>
          </cell>
        </row>
        <row r="71">
          <cell r="AV71">
            <v>2.0138089758342925E-2</v>
          </cell>
          <cell r="BA71">
            <v>2.1110502974548292E-2</v>
          </cell>
          <cell r="BE71">
            <v>25812</v>
          </cell>
        </row>
        <row r="72">
          <cell r="AV72">
            <v>2.0079626103513933E-2</v>
          </cell>
          <cell r="BA72">
            <v>2.1154328882683694E-2</v>
          </cell>
          <cell r="BE72">
            <v>25903</v>
          </cell>
        </row>
        <row r="73">
          <cell r="AV73">
            <v>2.2434099831744252E-2</v>
          </cell>
          <cell r="BA73">
            <v>2.1129897808056321E-2</v>
          </cell>
          <cell r="BE73">
            <v>25993</v>
          </cell>
        </row>
        <row r="74">
          <cell r="AV74">
            <v>2.2001419446415899E-2</v>
          </cell>
          <cell r="BA74">
            <v>2.1140123110715434E-2</v>
          </cell>
          <cell r="BE74">
            <v>26085</v>
          </cell>
        </row>
        <row r="75">
          <cell r="AV75">
            <v>2.1192958468637838E-2</v>
          </cell>
          <cell r="BA75">
            <v>2.1252763829662766E-2</v>
          </cell>
          <cell r="BE75">
            <v>26177</v>
          </cell>
        </row>
        <row r="76">
          <cell r="AV76">
            <v>2.0738413197172033E-2</v>
          </cell>
          <cell r="BA76">
            <v>2.1306543045614357E-2</v>
          </cell>
          <cell r="BE76">
            <v>26268</v>
          </cell>
        </row>
        <row r="77">
          <cell r="AV77">
            <v>2.2715714527886084E-2</v>
          </cell>
          <cell r="BA77">
            <v>2.134219229091636E-2</v>
          </cell>
          <cell r="BE77">
            <v>26359</v>
          </cell>
        </row>
        <row r="78">
          <cell r="AV78">
            <v>2.3060796645702306E-2</v>
          </cell>
          <cell r="BA78">
            <v>2.1480141560941107E-2</v>
          </cell>
          <cell r="BE78">
            <v>26451</v>
          </cell>
        </row>
        <row r="79">
          <cell r="AV79">
            <v>2.1596244131455399E-2</v>
          </cell>
          <cell r="BA79">
            <v>2.1578074185930812E-2</v>
          </cell>
          <cell r="BE79">
            <v>26543</v>
          </cell>
        </row>
        <row r="80">
          <cell r="AV80">
            <v>2.0949123557075674E-2</v>
          </cell>
          <cell r="BA80">
            <v>2.1604308307344233E-2</v>
          </cell>
          <cell r="BE80">
            <v>26634</v>
          </cell>
        </row>
        <row r="81">
          <cell r="AV81">
            <v>2.3481290713528252E-2</v>
          </cell>
          <cell r="BA81">
            <v>2.1672994651562898E-2</v>
          </cell>
          <cell r="BE81">
            <v>26724</v>
          </cell>
        </row>
        <row r="82">
          <cell r="AV82">
            <v>2.2797635800731776E-2</v>
          </cell>
          <cell r="BA82">
            <v>2.1765451015183863E-2</v>
          </cell>
          <cell r="BE82">
            <v>26816</v>
          </cell>
        </row>
        <row r="83">
          <cell r="AV83">
            <v>2.2837184309511014E-2</v>
          </cell>
          <cell r="BA83">
            <v>2.199037556111454E-2</v>
          </cell>
          <cell r="BE83">
            <v>26908</v>
          </cell>
        </row>
        <row r="84">
          <cell r="AV84">
            <v>2.199641362821279E-2</v>
          </cell>
          <cell r="BA84">
            <v>2.2150107854839441E-2</v>
          </cell>
          <cell r="BE84">
            <v>26999</v>
          </cell>
        </row>
        <row r="85">
          <cell r="AV85">
            <v>2.451661822317705E-2</v>
          </cell>
          <cell r="BA85">
            <v>2.232365105412551E-2</v>
          </cell>
          <cell r="BE85">
            <v>27089</v>
          </cell>
        </row>
        <row r="86">
          <cell r="AV86">
            <v>2.1102949749329601E-2</v>
          </cell>
          <cell r="BA86">
            <v>2.2248778579368314E-2</v>
          </cell>
          <cell r="BE86">
            <v>27181</v>
          </cell>
        </row>
        <row r="87">
          <cell r="AV87">
            <v>2.2650915790614502E-2</v>
          </cell>
          <cell r="BA87">
            <v>2.237027502286637E-2</v>
          </cell>
          <cell r="BE87">
            <v>27273</v>
          </cell>
        </row>
        <row r="88">
          <cell r="AV88">
            <v>2.2680813783704859E-2</v>
          </cell>
          <cell r="BA88">
            <v>2.2532141738410779E-2</v>
          </cell>
          <cell r="BE88">
            <v>27364</v>
          </cell>
        </row>
        <row r="89">
          <cell r="AV89">
            <v>2.4395243952439524E-2</v>
          </cell>
          <cell r="BA89">
            <v>2.2672102523790229E-2</v>
          </cell>
          <cell r="BE89">
            <v>27454</v>
          </cell>
        </row>
        <row r="90">
          <cell r="AV90">
            <v>2.4154589371980676E-2</v>
          </cell>
          <cell r="BA90">
            <v>2.2763251917646759E-2</v>
          </cell>
          <cell r="BE90">
            <v>27546</v>
          </cell>
        </row>
        <row r="91">
          <cell r="AV91">
            <v>2.3026618771299624E-2</v>
          </cell>
          <cell r="BA91">
            <v>2.2882449804300448E-2</v>
          </cell>
          <cell r="BE91">
            <v>27638</v>
          </cell>
        </row>
        <row r="92">
          <cell r="AV92">
            <v>2.2249999999999999E-2</v>
          </cell>
          <cell r="BA92">
            <v>2.2990856174544144E-2</v>
          </cell>
          <cell r="BE92">
            <v>27729</v>
          </cell>
        </row>
        <row r="93">
          <cell r="AV93">
            <v>2.51211987659762E-2</v>
          </cell>
          <cell r="BA93">
            <v>2.3127515178914801E-2</v>
          </cell>
          <cell r="BE93">
            <v>27820</v>
          </cell>
        </row>
        <row r="94">
          <cell r="AV94">
            <v>2.3838581075583759E-2</v>
          </cell>
          <cell r="BA94">
            <v>2.3214260618485794E-2</v>
          </cell>
          <cell r="BE94">
            <v>27912</v>
          </cell>
        </row>
        <row r="95">
          <cell r="AV95">
            <v>2.2398506766215586E-2</v>
          </cell>
          <cell r="BA95">
            <v>2.317770415654451E-2</v>
          </cell>
          <cell r="BE95">
            <v>28004</v>
          </cell>
        </row>
        <row r="96">
          <cell r="AV96">
            <v>2.1644718408517793E-2</v>
          </cell>
          <cell r="BA96">
            <v>2.3148396221569931E-2</v>
          </cell>
          <cell r="BE96">
            <v>28095</v>
          </cell>
        </row>
        <row r="97">
          <cell r="AV97">
            <v>2.3516068052930057E-2</v>
          </cell>
          <cell r="BA97">
            <v>2.3065017040716018E-2</v>
          </cell>
          <cell r="BE97">
            <v>28185</v>
          </cell>
        </row>
        <row r="98">
          <cell r="AV98">
            <v>2.2280194599168017E-2</v>
          </cell>
          <cell r="BA98">
            <v>2.316312077820255E-2</v>
          </cell>
          <cell r="BE98">
            <v>28277</v>
          </cell>
        </row>
        <row r="99">
          <cell r="AV99">
            <v>2.1299986258073382E-2</v>
          </cell>
          <cell r="BA99">
            <v>2.3050543317157456E-2</v>
          </cell>
          <cell r="BE99">
            <v>28369</v>
          </cell>
        </row>
        <row r="100">
          <cell r="AV100">
            <v>2.1502656210473058E-2</v>
          </cell>
          <cell r="BA100">
            <v>2.2952363519388137E-2</v>
          </cell>
          <cell r="BE100">
            <v>28460</v>
          </cell>
        </row>
        <row r="101">
          <cell r="AV101">
            <v>2.31935771632471E-2</v>
          </cell>
          <cell r="BA101">
            <v>2.2852224620288769E-2</v>
          </cell>
          <cell r="BE101">
            <v>28550</v>
          </cell>
        </row>
        <row r="102">
          <cell r="AV102">
            <v>2.2444205601567933E-2</v>
          </cell>
          <cell r="BA102">
            <v>2.2709692639421044E-2</v>
          </cell>
          <cell r="BE102">
            <v>28642</v>
          </cell>
        </row>
        <row r="103">
          <cell r="AV103">
            <v>2.1316148221588796E-2</v>
          </cell>
          <cell r="BA103">
            <v>2.2567153426945142E-2</v>
          </cell>
          <cell r="BE103">
            <v>28734</v>
          </cell>
        </row>
        <row r="104">
          <cell r="AV104">
            <v>2.1587265231333027E-2</v>
          </cell>
          <cell r="BA104">
            <v>2.2511925529556231E-2</v>
          </cell>
          <cell r="BE104">
            <v>28825</v>
          </cell>
        </row>
        <row r="105">
          <cell r="AV105">
            <v>2.3126338329764455E-2</v>
          </cell>
          <cell r="BA105">
            <v>2.2345687159871914E-2</v>
          </cell>
          <cell r="BE105">
            <v>28915</v>
          </cell>
        </row>
        <row r="106">
          <cell r="AV106">
            <v>2.3034291652234154E-2</v>
          </cell>
          <cell r="BA106">
            <v>2.2278663041259448E-2</v>
          </cell>
          <cell r="BE106">
            <v>29007</v>
          </cell>
        </row>
        <row r="107">
          <cell r="AV107">
            <v>2.1262309758281112E-2</v>
          </cell>
          <cell r="BA107">
            <v>2.2183979957264909E-2</v>
          </cell>
          <cell r="BE107">
            <v>29099</v>
          </cell>
        </row>
        <row r="108">
          <cell r="AV108">
            <v>2.1480451244011746E-2</v>
          </cell>
          <cell r="BA108">
            <v>2.2170291026889402E-2</v>
          </cell>
          <cell r="BE108">
            <v>29190</v>
          </cell>
        </row>
        <row r="109">
          <cell r="AV109">
            <v>2.4454904506844129E-2</v>
          </cell>
          <cell r="BA109">
            <v>2.2248527398048907E-2</v>
          </cell>
          <cell r="BE109">
            <v>29281</v>
          </cell>
        </row>
        <row r="110">
          <cell r="AV110">
            <v>2.2981430183646252E-2</v>
          </cell>
          <cell r="BA110">
            <v>2.2306963696755427E-2</v>
          </cell>
          <cell r="BE110">
            <v>29373</v>
          </cell>
        </row>
        <row r="111">
          <cell r="AV111">
            <v>2.1742353115580374E-2</v>
          </cell>
          <cell r="BA111">
            <v>2.234382760154768E-2</v>
          </cell>
          <cell r="BE111">
            <v>29465</v>
          </cell>
        </row>
        <row r="112">
          <cell r="AV112">
            <v>2.1045025515964412E-2</v>
          </cell>
          <cell r="BA112">
            <v>2.2305691710338624E-2</v>
          </cell>
          <cell r="BE112">
            <v>29556</v>
          </cell>
        </row>
        <row r="113">
          <cell r="AV113">
            <v>2.2605677929339183E-2</v>
          </cell>
          <cell r="BA113">
            <v>2.2256700107512961E-2</v>
          </cell>
          <cell r="BE113">
            <v>29646</v>
          </cell>
        </row>
        <row r="114">
          <cell r="AV114">
            <v>2.1707800396324986E-2</v>
          </cell>
          <cell r="BA114">
            <v>2.2195333007076049E-2</v>
          </cell>
          <cell r="BE114">
            <v>29738</v>
          </cell>
        </row>
        <row r="115">
          <cell r="AV115">
            <v>2.1075581395348836E-2</v>
          </cell>
          <cell r="BA115">
            <v>2.2175285771556055E-2</v>
          </cell>
          <cell r="BE115">
            <v>29830</v>
          </cell>
        </row>
        <row r="116">
          <cell r="AV116">
            <v>2.0490518727472182E-2</v>
          </cell>
          <cell r="BA116">
            <v>2.2083890229567651E-2</v>
          </cell>
          <cell r="BE116">
            <v>29921</v>
          </cell>
        </row>
        <row r="117">
          <cell r="AV117">
            <v>2.2727272727272728E-2</v>
          </cell>
          <cell r="BA117">
            <v>2.2050634762693339E-2</v>
          </cell>
          <cell r="BE117">
            <v>30011</v>
          </cell>
        </row>
        <row r="118">
          <cell r="AV118">
            <v>2.0815533980582526E-2</v>
          </cell>
          <cell r="BA118">
            <v>2.1865738290055708E-2</v>
          </cell>
          <cell r="BE118">
            <v>30103</v>
          </cell>
        </row>
        <row r="119">
          <cell r="AV119">
            <v>1.9594670249692085E-2</v>
          </cell>
          <cell r="BA119">
            <v>2.1726768331006618E-2</v>
          </cell>
          <cell r="BE119">
            <v>30195</v>
          </cell>
        </row>
        <row r="120">
          <cell r="AV120">
            <v>1.9426740738216149E-2</v>
          </cell>
          <cell r="BA120">
            <v>2.1555625788856989E-2</v>
          </cell>
          <cell r="BE120">
            <v>30286</v>
          </cell>
        </row>
        <row r="121">
          <cell r="AV121">
            <v>2.1535990655570155E-2</v>
          </cell>
          <cell r="BA121">
            <v>2.1312382967917487E-2</v>
          </cell>
          <cell r="BE121">
            <v>30376</v>
          </cell>
        </row>
        <row r="122">
          <cell r="AV122">
            <v>2.0461440767656811E-2</v>
          </cell>
          <cell r="BA122">
            <v>2.1102383849918371E-2</v>
          </cell>
          <cell r="BE122">
            <v>30468</v>
          </cell>
        </row>
        <row r="123">
          <cell r="AV123">
            <v>1.8415388294782876E-2</v>
          </cell>
          <cell r="BA123">
            <v>2.0825136781518577E-2</v>
          </cell>
          <cell r="BE123">
            <v>30560</v>
          </cell>
        </row>
        <row r="124">
          <cell r="AV124">
            <v>1.8307783943070317E-2</v>
          </cell>
          <cell r="BA124">
            <v>2.0597033317110734E-2</v>
          </cell>
          <cell r="BE124">
            <v>30651</v>
          </cell>
        </row>
        <row r="125">
          <cell r="AV125">
            <v>2.1119395432002967E-2</v>
          </cell>
          <cell r="BA125">
            <v>2.0473176442332718E-2</v>
          </cell>
          <cell r="BE125">
            <v>30742</v>
          </cell>
        </row>
        <row r="126">
          <cell r="AV126">
            <v>2.0683570775062082E-2</v>
          </cell>
          <cell r="BA126">
            <v>2.0387823973894142E-2</v>
          </cell>
          <cell r="BE126">
            <v>30834</v>
          </cell>
        </row>
        <row r="127">
          <cell r="AV127">
            <v>1.9797510801573482E-2</v>
          </cell>
          <cell r="BA127">
            <v>2.0281318091079529E-2</v>
          </cell>
          <cell r="BE127">
            <v>30926</v>
          </cell>
        </row>
        <row r="128">
          <cell r="AV128">
            <v>1.9149568837347607E-2</v>
          </cell>
          <cell r="BA128">
            <v>2.0169572266902483E-2</v>
          </cell>
          <cell r="BE128">
            <v>31017</v>
          </cell>
        </row>
        <row r="129">
          <cell r="AV129">
            <v>2.1640054817222806E-2</v>
          </cell>
          <cell r="BA129">
            <v>2.0078970774398325E-2</v>
          </cell>
          <cell r="BE129">
            <v>31107</v>
          </cell>
        </row>
        <row r="130">
          <cell r="AV130">
            <v>2.0144705635113634E-2</v>
          </cell>
          <cell r="BA130">
            <v>2.0023068412275916E-2</v>
          </cell>
          <cell r="BE130">
            <v>31199</v>
          </cell>
        </row>
        <row r="131">
          <cell r="AV131">
            <v>1.8461625988507709E-2</v>
          </cell>
          <cell r="BA131">
            <v>1.9928648057177218E-2</v>
          </cell>
          <cell r="BE131">
            <v>31291</v>
          </cell>
        </row>
        <row r="132">
          <cell r="AV132">
            <v>1.8637248539909151E-2</v>
          </cell>
          <cell r="BA132">
            <v>1.9862857040651636E-2</v>
          </cell>
          <cell r="BE132">
            <v>31382</v>
          </cell>
        </row>
        <row r="133">
          <cell r="AV133">
            <v>2.1550861748649498E-2</v>
          </cell>
          <cell r="BA133">
            <v>1.9864096298408244E-2</v>
          </cell>
          <cell r="BE133">
            <v>31472</v>
          </cell>
        </row>
        <row r="134">
          <cell r="AV134">
            <v>2.1108179419525065E-2</v>
          </cell>
          <cell r="BA134">
            <v>1.9917991186063931E-2</v>
          </cell>
          <cell r="BE134">
            <v>31564</v>
          </cell>
        </row>
        <row r="135">
          <cell r="AV135">
            <v>1.9587259319950839E-2</v>
          </cell>
          <cell r="BA135">
            <v>2.0015647104827929E-2</v>
          </cell>
          <cell r="BE135">
            <v>31656</v>
          </cell>
        </row>
        <row r="136">
          <cell r="AV136">
            <v>1.9742753109188063E-2</v>
          </cell>
          <cell r="BA136">
            <v>2.0135227868671075E-2</v>
          </cell>
          <cell r="BE136">
            <v>31747</v>
          </cell>
        </row>
        <row r="137">
          <cell r="AV137">
            <v>2.0631471302569346E-2</v>
          </cell>
          <cell r="BA137">
            <v>2.0094567524551608E-2</v>
          </cell>
          <cell r="BE137">
            <v>31837</v>
          </cell>
        </row>
        <row r="138">
          <cell r="AV138">
            <v>1.996871486532727E-2</v>
          </cell>
          <cell r="BA138">
            <v>2.0034996198740371E-2</v>
          </cell>
          <cell r="BE138">
            <v>31929</v>
          </cell>
        </row>
        <row r="139">
          <cell r="AV139">
            <v>1.953334421109065E-2</v>
          </cell>
          <cell r="BA139">
            <v>2.0012982316200138E-2</v>
          </cell>
          <cell r="BE139">
            <v>32021</v>
          </cell>
        </row>
        <row r="140">
          <cell r="AV140">
            <v>1.9010265972266873E-2</v>
          </cell>
          <cell r="BA140">
            <v>2.0001373744110075E-2</v>
          </cell>
          <cell r="BE140">
            <v>32112</v>
          </cell>
        </row>
        <row r="141">
          <cell r="AV141">
            <v>2.0595123295219727E-2</v>
          </cell>
          <cell r="BA141">
            <v>1.9914296117276485E-2</v>
          </cell>
          <cell r="BE141">
            <v>32203</v>
          </cell>
        </row>
        <row r="142">
          <cell r="AV142">
            <v>2.0055784300703944E-2</v>
          </cell>
          <cell r="BA142">
            <v>1.990688600607568E-2</v>
          </cell>
          <cell r="BE142">
            <v>32295</v>
          </cell>
        </row>
        <row r="143">
          <cell r="AV143">
            <v>1.9623996620194338E-2</v>
          </cell>
          <cell r="BA143">
            <v>2.0003750225382897E-2</v>
          </cell>
          <cell r="BE143">
            <v>32387</v>
          </cell>
        </row>
        <row r="144">
          <cell r="AV144">
            <v>1.8646168144677226E-2</v>
          </cell>
          <cell r="BA144">
            <v>2.000449352578024E-2</v>
          </cell>
          <cell r="BE144">
            <v>32478</v>
          </cell>
        </row>
        <row r="145">
          <cell r="AV145">
            <v>2.1259114717058641E-2</v>
          </cell>
          <cell r="BA145">
            <v>1.9980181273147667E-2</v>
          </cell>
          <cell r="BE145">
            <v>32568</v>
          </cell>
        </row>
        <row r="146">
          <cell r="AV146">
            <v>1.9654869844983915E-2</v>
          </cell>
          <cell r="BA146">
            <v>1.9859072141935902E-2</v>
          </cell>
          <cell r="BE146">
            <v>32660</v>
          </cell>
        </row>
        <row r="147">
          <cell r="AV147">
            <v>2.0010098554410636E-2</v>
          </cell>
          <cell r="BA147">
            <v>1.9894308744807552E-2</v>
          </cell>
          <cell r="BE147">
            <v>32752</v>
          </cell>
        </row>
        <row r="148">
          <cell r="AV148">
            <v>1.9087482849054309E-2</v>
          </cell>
          <cell r="BA148">
            <v>1.9839702889796407E-2</v>
          </cell>
          <cell r="BE148">
            <v>32843</v>
          </cell>
        </row>
        <row r="149">
          <cell r="AV149">
            <v>2.1525875471977492E-2</v>
          </cell>
          <cell r="BA149">
            <v>1.9914236570580418E-2</v>
          </cell>
          <cell r="BE149">
            <v>32933</v>
          </cell>
        </row>
        <row r="150">
          <cell r="AV150">
            <v>2.1146048232197481E-2</v>
          </cell>
          <cell r="BA150">
            <v>2.001234768448627E-2</v>
          </cell>
          <cell r="BE150">
            <v>33025</v>
          </cell>
        </row>
        <row r="151">
          <cell r="AV151">
            <v>2.1217139308631752E-2</v>
          </cell>
          <cell r="BA151">
            <v>2.0152663942614696E-2</v>
          </cell>
          <cell r="BE151">
            <v>33117</v>
          </cell>
        </row>
        <row r="152">
          <cell r="AV152">
            <v>2.0389054806683349E-2</v>
          </cell>
          <cell r="BA152">
            <v>2.0267563012149402E-2</v>
          </cell>
          <cell r="BE152">
            <v>33208</v>
          </cell>
        </row>
        <row r="153">
          <cell r="AV153">
            <v>2.2255792302692829E-2</v>
          </cell>
          <cell r="BA153">
            <v>2.0405952096105493E-2</v>
          </cell>
          <cell r="BE153">
            <v>33298</v>
          </cell>
        </row>
        <row r="154">
          <cell r="AV154">
            <v>2.288981821285312E-2</v>
          </cell>
          <cell r="BA154">
            <v>2.0642121588784593E-2</v>
          </cell>
          <cell r="BE154">
            <v>33390</v>
          </cell>
        </row>
        <row r="155">
          <cell r="AV155">
            <v>2.1911859053447169E-2</v>
          </cell>
          <cell r="BA155">
            <v>2.0832776791555662E-2</v>
          </cell>
          <cell r="BE155">
            <v>33482</v>
          </cell>
        </row>
        <row r="156">
          <cell r="AV156">
            <v>2.0450182673849775E-2</v>
          </cell>
          <cell r="BA156">
            <v>2.0983111335653375E-2</v>
          </cell>
          <cell r="BE156">
            <v>33573</v>
          </cell>
        </row>
        <row r="157">
          <cell r="AV157">
            <v>2.1705813759786773E-2</v>
          </cell>
          <cell r="BA157">
            <v>2.1020336255880716E-2</v>
          </cell>
          <cell r="BE157">
            <v>33664</v>
          </cell>
        </row>
        <row r="158">
          <cell r="AV158">
            <v>2.3022537170962157E-2</v>
          </cell>
          <cell r="BA158">
            <v>2.1300975199712236E-2</v>
          </cell>
          <cell r="BE158">
            <v>33756</v>
          </cell>
        </row>
        <row r="159">
          <cell r="AV159">
            <v>2.1256420387198736E-2</v>
          </cell>
          <cell r="BA159">
            <v>2.1404835352444581E-2</v>
          </cell>
          <cell r="BE159">
            <v>33848</v>
          </cell>
        </row>
        <row r="160">
          <cell r="AV160">
            <v>2.1985214274026804E-2</v>
          </cell>
          <cell r="BA160">
            <v>2.1646312971192284E-2</v>
          </cell>
          <cell r="BE160">
            <v>33939</v>
          </cell>
        </row>
        <row r="161">
          <cell r="AV161">
            <v>2.4467105156838347E-2</v>
          </cell>
          <cell r="BA161">
            <v>2.189141544493069E-2</v>
          </cell>
          <cell r="BE161">
            <v>34029</v>
          </cell>
        </row>
        <row r="162">
          <cell r="AV162">
            <v>2.5871221583812141E-2</v>
          </cell>
          <cell r="BA162">
            <v>2.2285179890898579E-2</v>
          </cell>
          <cell r="BE162">
            <v>34121</v>
          </cell>
        </row>
        <row r="163">
          <cell r="AV163">
            <v>2.5168608215818518E-2</v>
          </cell>
          <cell r="BA163">
            <v>2.2614468966497474E-2</v>
          </cell>
          <cell r="BE163">
            <v>34213</v>
          </cell>
        </row>
        <row r="164">
          <cell r="AV164">
            <v>2.5624206818862381E-2</v>
          </cell>
          <cell r="BA164">
            <v>2.3050731634179061E-2</v>
          </cell>
          <cell r="BE164">
            <v>34304</v>
          </cell>
        </row>
        <row r="165">
          <cell r="AV165">
            <v>2.7162325020858441E-2</v>
          </cell>
          <cell r="BA165">
            <v>2.3459609360692867E-2</v>
          </cell>
          <cell r="BE165">
            <v>34394</v>
          </cell>
        </row>
        <row r="166">
          <cell r="AV166">
            <v>2.6932997420670627E-2</v>
          </cell>
          <cell r="BA166">
            <v>2.3796540961344318E-2</v>
          </cell>
          <cell r="BE166">
            <v>34486</v>
          </cell>
        </row>
        <row r="167">
          <cell r="AV167">
            <v>2.7624548112514583E-2</v>
          </cell>
          <cell r="BA167">
            <v>2.4272598382933271E-2</v>
          </cell>
          <cell r="BE167">
            <v>34578</v>
          </cell>
        </row>
        <row r="168">
          <cell r="AV168">
            <v>2.7490385136233138E-2</v>
          </cell>
          <cell r="BA168">
            <v>2.4859281921465221E-2</v>
          </cell>
          <cell r="BE168">
            <v>34669</v>
          </cell>
        </row>
        <row r="169">
          <cell r="AV169">
            <v>3.0516636208046878E-2</v>
          </cell>
          <cell r="BA169">
            <v>2.5593517125486895E-2</v>
          </cell>
          <cell r="BE169">
            <v>34759</v>
          </cell>
        </row>
        <row r="170">
          <cell r="AV170">
            <v>3.0873880752412021E-2</v>
          </cell>
          <cell r="BA170">
            <v>2.6247795757274386E-2</v>
          </cell>
          <cell r="BE170">
            <v>34851</v>
          </cell>
        </row>
        <row r="171">
          <cell r="AV171">
            <v>3.072194540727903E-2</v>
          </cell>
          <cell r="BA171">
            <v>2.7036589508947745E-2</v>
          </cell>
          <cell r="BE171">
            <v>34943</v>
          </cell>
        </row>
        <row r="172">
          <cell r="AV172">
            <v>3.0804277668797064E-2</v>
          </cell>
          <cell r="BA172">
            <v>2.7771511458511932E-2</v>
          </cell>
          <cell r="BE172">
            <v>35034</v>
          </cell>
        </row>
        <row r="173">
          <cell r="AV173">
            <v>3.3112492502317466E-2</v>
          </cell>
          <cell r="BA173">
            <v>2.8491960403968522E-2</v>
          </cell>
          <cell r="BE173">
            <v>35125</v>
          </cell>
        </row>
        <row r="174">
          <cell r="AV174">
            <v>3.3973080428494062E-2</v>
          </cell>
          <cell r="BA174">
            <v>2.9167115307692018E-2</v>
          </cell>
          <cell r="BE174">
            <v>35217</v>
          </cell>
        </row>
        <row r="175">
          <cell r="AV175">
            <v>3.3188452805708722E-2</v>
          </cell>
          <cell r="BA175">
            <v>2.9835435690182863E-2</v>
          </cell>
          <cell r="BE175">
            <v>35309</v>
          </cell>
        </row>
        <row r="176">
          <cell r="AV176">
            <v>3.2402846195949644E-2</v>
          </cell>
          <cell r="BA176">
            <v>3.0400322304940136E-2</v>
          </cell>
          <cell r="BE176">
            <v>35400</v>
          </cell>
        </row>
        <row r="177">
          <cell r="AV177">
            <v>3.2922726499194935E-2</v>
          </cell>
          <cell r="BA177">
            <v>3.0880355761468175E-2</v>
          </cell>
          <cell r="BE177">
            <v>35490</v>
          </cell>
        </row>
        <row r="178">
          <cell r="AV178">
            <v>3.2586788935355472E-2</v>
          </cell>
          <cell r="BA178">
            <v>3.1351505054358582E-2</v>
          </cell>
          <cell r="BE178">
            <v>35582</v>
          </cell>
        </row>
        <row r="179">
          <cell r="AV179">
            <v>3.4512195121951222E-2</v>
          </cell>
          <cell r="BA179">
            <v>3.19254756384783E-2</v>
          </cell>
          <cell r="BE179">
            <v>35674</v>
          </cell>
        </row>
        <row r="180">
          <cell r="AV180">
            <v>3.4074732082863553E-2</v>
          </cell>
          <cell r="BA180">
            <v>3.2474171217364171E-2</v>
          </cell>
          <cell r="BE180">
            <v>35765</v>
          </cell>
        </row>
        <row r="181">
          <cell r="AV181">
            <v>3.5725258384436714E-2</v>
          </cell>
          <cell r="BA181">
            <v>3.2908223065396654E-2</v>
          </cell>
          <cell r="BE181">
            <v>35855</v>
          </cell>
        </row>
        <row r="182">
          <cell r="AV182">
            <v>3.4619434683325644E-2</v>
          </cell>
          <cell r="BA182">
            <v>3.3220352559639454E-2</v>
          </cell>
          <cell r="BE182">
            <v>35947</v>
          </cell>
        </row>
        <row r="183">
          <cell r="AV183">
            <v>3.5631895114318995E-2</v>
          </cell>
          <cell r="BA183">
            <v>3.3629515035226119E-2</v>
          </cell>
          <cell r="BE183">
            <v>36039</v>
          </cell>
        </row>
        <row r="184">
          <cell r="AV184">
            <v>3.5633739287325217E-2</v>
          </cell>
          <cell r="BA184">
            <v>3.4031970170103468E-2</v>
          </cell>
          <cell r="BE184">
            <v>36130</v>
          </cell>
        </row>
        <row r="185">
          <cell r="AV185">
            <v>3.7191833369593842E-2</v>
          </cell>
          <cell r="BA185">
            <v>3.4371915242376497E-2</v>
          </cell>
          <cell r="BE185">
            <v>36220</v>
          </cell>
        </row>
        <row r="186">
          <cell r="AV186">
            <v>3.4994662396583935E-2</v>
          </cell>
          <cell r="BA186">
            <v>3.445704707305066E-2</v>
          </cell>
          <cell r="BE186">
            <v>36312</v>
          </cell>
        </row>
        <row r="187">
          <cell r="AV187">
            <v>3.6132507406409914E-2</v>
          </cell>
          <cell r="BA187">
            <v>3.4702384956442428E-2</v>
          </cell>
          <cell r="BE187">
            <v>36404</v>
          </cell>
        </row>
        <row r="188">
          <cell r="AV188">
            <v>3.5412389807994202E-2</v>
          </cell>
          <cell r="BA188">
            <v>3.4953180257446141E-2</v>
          </cell>
          <cell r="BE188">
            <v>36495</v>
          </cell>
        </row>
        <row r="189">
          <cell r="AV189">
            <v>3.7749318565309567E-2</v>
          </cell>
          <cell r="BA189">
            <v>3.5355396262955689E-2</v>
          </cell>
          <cell r="BE189">
            <v>36586</v>
          </cell>
        </row>
        <row r="190">
          <cell r="AV190">
            <v>3.6721744047245083E-2</v>
          </cell>
          <cell r="BA190">
            <v>3.5699975855613159E-2</v>
          </cell>
          <cell r="BE190">
            <v>36678</v>
          </cell>
        </row>
        <row r="191">
          <cell r="AV191">
            <v>3.8828480187825185E-2</v>
          </cell>
          <cell r="BA191">
            <v>3.6059666277769319E-2</v>
          </cell>
          <cell r="BE191">
            <v>36770</v>
          </cell>
        </row>
        <row r="192">
          <cell r="AV192">
            <v>3.4779917856004199E-2</v>
          </cell>
          <cell r="BA192">
            <v>3.6118431758864374E-2</v>
          </cell>
          <cell r="BE192">
            <v>36861</v>
          </cell>
        </row>
        <row r="193">
          <cell r="AV193">
            <v>3.6191715029017413E-2</v>
          </cell>
          <cell r="BA193">
            <v>3.615730314591277E-2</v>
          </cell>
          <cell r="BE193">
            <v>36951</v>
          </cell>
        </row>
        <row r="194">
          <cell r="AV194">
            <v>3.6102834848940689E-2</v>
          </cell>
          <cell r="BA194">
            <v>3.6280919826380688E-2</v>
          </cell>
          <cell r="BE194">
            <v>37043</v>
          </cell>
        </row>
        <row r="195">
          <cell r="AV195">
            <v>3.6391443118778025E-2</v>
          </cell>
          <cell r="BA195">
            <v>3.6344215493418937E-2</v>
          </cell>
          <cell r="BE195">
            <v>37135</v>
          </cell>
        </row>
        <row r="196">
          <cell r="AV196">
            <v>3.5565782927002632E-2</v>
          </cell>
          <cell r="BA196">
            <v>3.6338552463392057E-2</v>
          </cell>
          <cell r="BE196">
            <v>37226</v>
          </cell>
        </row>
        <row r="197">
          <cell r="AV197">
            <v>3.6791960942314073E-2</v>
          </cell>
          <cell r="BA197">
            <v>3.6305229761118739E-2</v>
          </cell>
          <cell r="BE197">
            <v>37316</v>
          </cell>
        </row>
        <row r="198">
          <cell r="AV198">
            <v>3.6360652449420584E-2</v>
          </cell>
          <cell r="BA198">
            <v>3.6419062265521794E-2</v>
          </cell>
          <cell r="BE198">
            <v>37408</v>
          </cell>
        </row>
        <row r="199">
          <cell r="AV199">
            <v>3.5930086733843736E-2</v>
          </cell>
          <cell r="BA199">
            <v>3.6402193876141284E-2</v>
          </cell>
          <cell r="BE199">
            <v>37500</v>
          </cell>
        </row>
        <row r="200">
          <cell r="AV200">
            <v>3.3287364674599702E-2</v>
          </cell>
          <cell r="BA200">
            <v>3.6225108448358405E-2</v>
          </cell>
          <cell r="BE200">
            <v>37591</v>
          </cell>
        </row>
        <row r="201">
          <cell r="AV201">
            <v>3.5076513639387893E-2</v>
          </cell>
          <cell r="BA201">
            <v>3.6002374704531603E-2</v>
          </cell>
          <cell r="BE201">
            <v>37681</v>
          </cell>
        </row>
        <row r="202">
          <cell r="AV202">
            <v>3.5025030208872779E-2</v>
          </cell>
          <cell r="BA202">
            <v>3.5860981884667242E-2</v>
          </cell>
          <cell r="BE202">
            <v>37773</v>
          </cell>
        </row>
        <row r="203">
          <cell r="AV203">
            <v>3.4683529500213015E-2</v>
          </cell>
          <cell r="BA203">
            <v>3.5515569327366235E-2</v>
          </cell>
          <cell r="BE203">
            <v>37865</v>
          </cell>
        </row>
        <row r="204">
          <cell r="AV204">
            <v>3.313192346424975E-2</v>
          </cell>
          <cell r="BA204">
            <v>3.5378236461386693E-2</v>
          </cell>
          <cell r="BE204">
            <v>37956</v>
          </cell>
        </row>
        <row r="205">
          <cell r="AV205">
            <v>3.4332218579595064E-2</v>
          </cell>
          <cell r="BA205">
            <v>3.5223278423934828E-2</v>
          </cell>
          <cell r="BE205">
            <v>38047</v>
          </cell>
        </row>
        <row r="206">
          <cell r="AV206">
            <v>3.4897386493552181E-2</v>
          </cell>
          <cell r="BA206">
            <v>3.5122824394319123E-2</v>
          </cell>
          <cell r="BE206">
            <v>38139</v>
          </cell>
        </row>
        <row r="207">
          <cell r="AV207">
            <v>3.3570055200645044E-2</v>
          </cell>
          <cell r="BA207">
            <v>3.48877087344747E-2</v>
          </cell>
          <cell r="BE207">
            <v>38231</v>
          </cell>
        </row>
        <row r="208">
          <cell r="AV208">
            <v>3.2416417346849857E-2</v>
          </cell>
          <cell r="BA208">
            <v>3.4625261602795304E-2</v>
          </cell>
          <cell r="BE208">
            <v>38322</v>
          </cell>
        </row>
        <row r="209">
          <cell r="AV209">
            <v>3.4697297895552356E-2</v>
          </cell>
          <cell r="BA209">
            <v>3.4450706348898498E-2</v>
          </cell>
          <cell r="BE209">
            <v>38412</v>
          </cell>
        </row>
        <row r="210">
          <cell r="AV210">
            <v>3.388035600285403E-2</v>
          </cell>
          <cell r="BA210">
            <v>3.4244014978351285E-2</v>
          </cell>
          <cell r="BE210">
            <v>38504</v>
          </cell>
        </row>
        <row r="211">
          <cell r="AV211">
            <v>3.3850906668423636E-2</v>
          </cell>
          <cell r="BA211">
            <v>3.4070749972899612E-2</v>
          </cell>
          <cell r="BE211">
            <v>38596</v>
          </cell>
        </row>
        <row r="212">
          <cell r="AV212">
            <v>3.2129486744770223E-2</v>
          </cell>
          <cell r="BA212">
            <v>3.3974260145413819E-2</v>
          </cell>
          <cell r="BE212">
            <v>38687</v>
          </cell>
        </row>
        <row r="213">
          <cell r="AV213">
            <v>3.3752384319097384E-2</v>
          </cell>
          <cell r="BA213">
            <v>3.3863916035389616E-2</v>
          </cell>
          <cell r="BE213">
            <v>38777</v>
          </cell>
        </row>
        <row r="214">
          <cell r="AV214">
            <v>3.2000502516070048E-2</v>
          </cell>
          <cell r="BA214">
            <v>3.3611872060989388E-2</v>
          </cell>
          <cell r="BE214">
            <v>38869</v>
          </cell>
        </row>
        <row r="215">
          <cell r="AV215">
            <v>3.1703916286499441E-2</v>
          </cell>
          <cell r="BA215">
            <v>3.3363570959846586E-2</v>
          </cell>
          <cell r="BE215">
            <v>38961</v>
          </cell>
        </row>
        <row r="216">
          <cell r="AV216">
            <v>3.1814913558879859E-2</v>
          </cell>
          <cell r="BA216">
            <v>3.3253820134399092E-2</v>
          </cell>
          <cell r="BE216">
            <v>39052</v>
          </cell>
        </row>
        <row r="217">
          <cell r="AV217">
            <v>3.0828646015555617E-2</v>
          </cell>
          <cell r="BA217">
            <v>3.2961855754062477E-2</v>
          </cell>
          <cell r="BE217">
            <v>39142</v>
          </cell>
        </row>
        <row r="218">
          <cell r="AV218">
            <v>3.077692500048089E-2</v>
          </cell>
          <cell r="BA218">
            <v>3.2618483962973198E-2</v>
          </cell>
          <cell r="BE218">
            <v>39234</v>
          </cell>
        </row>
        <row r="219">
          <cell r="AV219">
            <v>3.0335344116753565E-2</v>
          </cell>
          <cell r="BA219">
            <v>3.2348924705982246E-2</v>
          </cell>
          <cell r="BE219">
            <v>39326</v>
          </cell>
        </row>
        <row r="220">
          <cell r="AV220">
            <v>2.8147569100094506E-2</v>
          </cell>
          <cell r="BA220">
            <v>3.1993187352085971E-2</v>
          </cell>
          <cell r="BE220">
            <v>39417</v>
          </cell>
        </row>
        <row r="221">
          <cell r="AV221">
            <v>2.9179800899565168E-2</v>
          </cell>
          <cell r="BA221">
            <v>3.1533395935753696E-2</v>
          </cell>
          <cell r="BE221">
            <v>39508</v>
          </cell>
        </row>
        <row r="222">
          <cell r="AV222">
            <v>2.7703808367902712E-2</v>
          </cell>
          <cell r="BA222">
            <v>3.101868363284109E-2</v>
          </cell>
          <cell r="BE222">
            <v>39600</v>
          </cell>
        </row>
        <row r="223">
          <cell r="AV223">
            <v>2.9279975278121137E-2</v>
          </cell>
          <cell r="BA223">
            <v>3.0637772683649218E-2</v>
          </cell>
          <cell r="BE223">
            <v>39692</v>
          </cell>
        </row>
        <row r="224">
          <cell r="AV224">
            <v>2.8786972983744698E-2</v>
          </cell>
          <cell r="BA224">
            <v>3.035922987023042E-2</v>
          </cell>
          <cell r="BE224">
            <v>39783</v>
          </cell>
        </row>
        <row r="225">
          <cell r="AV225">
            <v>2.9447023958035404E-2</v>
          </cell>
          <cell r="BA225">
            <v>3.0000449840141923E-2</v>
          </cell>
          <cell r="BE225">
            <v>39873</v>
          </cell>
        </row>
        <row r="226">
          <cell r="AV226">
            <v>2.9852308407954414E-2</v>
          </cell>
          <cell r="BA226">
            <v>2.9821433664465619E-2</v>
          </cell>
          <cell r="BE226">
            <v>39965</v>
          </cell>
        </row>
        <row r="227">
          <cell r="AV227">
            <v>2.9271091318079572E-2</v>
          </cell>
          <cell r="BA227">
            <v>2.961869825043063E-2</v>
          </cell>
          <cell r="BE227">
            <v>40057</v>
          </cell>
        </row>
        <row r="228">
          <cell r="AV228">
            <v>2.657150964508858E-2</v>
          </cell>
          <cell r="BA228">
            <v>2.9181747924281354E-2</v>
          </cell>
          <cell r="BE228">
            <v>40148</v>
          </cell>
        </row>
        <row r="229">
          <cell r="AV229">
            <v>2.5873471994161651E-2</v>
          </cell>
          <cell r="BA229">
            <v>2.8768816755831862E-2</v>
          </cell>
          <cell r="BE229">
            <v>40238</v>
          </cell>
        </row>
        <row r="230">
          <cell r="AV230">
            <v>2.7899842241158136E-2</v>
          </cell>
          <cell r="BA230">
            <v>2.8529059859221634E-2</v>
          </cell>
          <cell r="BE230">
            <v>40330</v>
          </cell>
        </row>
        <row r="231">
          <cell r="AV231">
            <v>2.7325665027517463E-2</v>
          </cell>
          <cell r="BA231">
            <v>2.8278253268451955E-2</v>
          </cell>
          <cell r="BE231">
            <v>40422</v>
          </cell>
        </row>
        <row r="232">
          <cell r="AV232">
            <v>2.6078346746553606E-2</v>
          </cell>
          <cell r="BA232">
            <v>2.8105818072323555E-2</v>
          </cell>
          <cell r="BE232">
            <v>40513</v>
          </cell>
        </row>
        <row r="233">
          <cell r="AV233">
            <v>2.5570717334967796E-2</v>
          </cell>
          <cell r="BA233">
            <v>2.7805061108607101E-2</v>
          </cell>
          <cell r="BE233">
            <v>40603</v>
          </cell>
        </row>
        <row r="234">
          <cell r="AV234">
            <v>2.8062729672377208E-2</v>
          </cell>
          <cell r="BA234">
            <v>2.7834971217313306E-2</v>
          </cell>
          <cell r="BE234">
            <v>40695</v>
          </cell>
        </row>
        <row r="235">
          <cell r="AV235">
            <v>2.845850200898371E-2</v>
          </cell>
          <cell r="BA235">
            <v>2.7766515111551853E-2</v>
          </cell>
          <cell r="BE235">
            <v>40787</v>
          </cell>
        </row>
        <row r="236">
          <cell r="AV236">
            <v>2.6077404744161738E-2</v>
          </cell>
          <cell r="BA236">
            <v>2.7540717758253272E-2</v>
          </cell>
          <cell r="BE236">
            <v>40878</v>
          </cell>
        </row>
        <row r="237">
          <cell r="AV237">
            <v>2.6060779523454189E-2</v>
          </cell>
          <cell r="BA237">
            <v>2.7258530722038172E-2</v>
          </cell>
          <cell r="BE237">
            <v>40969</v>
          </cell>
        </row>
        <row r="238">
          <cell r="AV238">
            <v>2.6774684142398007E-2</v>
          </cell>
          <cell r="BA238">
            <v>2.7002062033241805E-2</v>
          </cell>
          <cell r="BE238">
            <v>41061</v>
          </cell>
        </row>
        <row r="239">
          <cell r="AV239">
            <v>2.8618018752547901E-2</v>
          </cell>
          <cell r="BA239">
            <v>2.6947639319447495E-2</v>
          </cell>
          <cell r="BE239">
            <v>41153</v>
          </cell>
        </row>
        <row r="240">
          <cell r="AV240">
            <v>2.5357667334743376E-2</v>
          </cell>
          <cell r="BA240">
            <v>2.6846485793585399E-2</v>
          </cell>
          <cell r="BE240">
            <v>41244</v>
          </cell>
        </row>
        <row r="241">
          <cell r="AV241">
            <v>2.5525945328173209E-2</v>
          </cell>
          <cell r="BA241">
            <v>2.6817525238086361E-2</v>
          </cell>
          <cell r="BE241">
            <v>41334</v>
          </cell>
        </row>
        <row r="242">
          <cell r="AV242">
            <v>2.4900980918916092E-2</v>
          </cell>
          <cell r="BA242">
            <v>2.6567620127899521E-2</v>
          </cell>
          <cell r="BE242">
            <v>41426</v>
          </cell>
        </row>
        <row r="243">
          <cell r="AV243">
            <v>2.6513630636742492E-2</v>
          </cell>
          <cell r="BA243">
            <v>2.6499950595334942E-2</v>
          </cell>
          <cell r="BE243">
            <v>41518</v>
          </cell>
        </row>
        <row r="244">
          <cell r="AV244">
            <v>2.4303943032795948E-2</v>
          </cell>
          <cell r="BA244">
            <v>2.6352083619188466E-2</v>
          </cell>
          <cell r="BE244">
            <v>41609</v>
          </cell>
        </row>
        <row r="245">
          <cell r="AV245">
            <v>2.4455325961781533E-2</v>
          </cell>
          <cell r="BA245">
            <v>2.6259134338089615E-2</v>
          </cell>
          <cell r="BE245">
            <v>41699</v>
          </cell>
        </row>
        <row r="246">
          <cell r="AV246">
            <v>2.6237358363697491E-2</v>
          </cell>
          <cell r="BA246">
            <v>2.6107020062366305E-2</v>
          </cell>
          <cell r="BE246">
            <v>41791</v>
          </cell>
        </row>
        <row r="247">
          <cell r="AV247">
            <v>2.7847696671860642E-2</v>
          </cell>
          <cell r="BA247">
            <v>2.6056119617606056E-2</v>
          </cell>
          <cell r="BE247">
            <v>41883</v>
          </cell>
        </row>
        <row r="248">
          <cell r="AV248">
            <v>2.5913358841840178E-2</v>
          </cell>
          <cell r="BA248">
            <v>2.6042449125745926E-2</v>
          </cell>
          <cell r="BE248">
            <v>41974</v>
          </cell>
        </row>
        <row r="249">
          <cell r="AV249">
            <v>2.5616440834343397E-2</v>
          </cell>
          <cell r="BA249">
            <v>2.6005420901653361E-2</v>
          </cell>
          <cell r="BE249">
            <v>42064</v>
          </cell>
        </row>
        <row r="250">
          <cell r="AV250">
            <v>2.6266219718457592E-2</v>
          </cell>
          <cell r="BA250">
            <v>2.596304886632499E-2</v>
          </cell>
          <cell r="BE250">
            <v>42156</v>
          </cell>
        </row>
        <row r="251">
          <cell r="AV251">
            <v>2.7663361518859831E-2</v>
          </cell>
          <cell r="BA251">
            <v>2.5883494096850989E-2</v>
          </cell>
          <cell r="BE251">
            <v>42248</v>
          </cell>
        </row>
        <row r="252">
          <cell r="AV252">
            <v>2.6253782480327018E-2</v>
          </cell>
          <cell r="BA252">
            <v>2.5958170358982954E-2</v>
          </cell>
          <cell r="BE252">
            <v>42339</v>
          </cell>
        </row>
        <row r="253">
          <cell r="AV253">
            <v>2.6179657462425725E-2</v>
          </cell>
          <cell r="BA253">
            <v>2.6012646370170658E-2</v>
          </cell>
          <cell r="BE253">
            <v>42430</v>
          </cell>
        </row>
        <row r="254">
          <cell r="AV254">
            <v>2.6257466703252633E-2</v>
          </cell>
          <cell r="BA254">
            <v>2.6125686852198706E-2</v>
          </cell>
          <cell r="BE254">
            <v>42522</v>
          </cell>
        </row>
        <row r="255">
          <cell r="AV255">
            <v>2.7429363064722181E-2</v>
          </cell>
          <cell r="BA255">
            <v>2.620199788786368E-2</v>
          </cell>
          <cell r="BE255">
            <v>42614</v>
          </cell>
        </row>
        <row r="256">
          <cell r="AV256">
            <v>2.5082362060851029E-2</v>
          </cell>
          <cell r="BA256">
            <v>2.62668661402016E-2</v>
          </cell>
          <cell r="BE256">
            <v>42705</v>
          </cell>
        </row>
        <row r="257">
          <cell r="AV257">
            <v>2.5118395394187018E-2</v>
          </cell>
          <cell r="BA257">
            <v>2.6322121926235394E-2</v>
          </cell>
          <cell r="BE257">
            <v>42795</v>
          </cell>
        </row>
        <row r="258">
          <cell r="AV258">
            <v>2.5044955613959429E-2</v>
          </cell>
          <cell r="BA258">
            <v>2.6222755030423889E-2</v>
          </cell>
          <cell r="BE258">
            <v>42887</v>
          </cell>
        </row>
        <row r="259">
          <cell r="AV259">
            <v>2.6708581301593395E-2</v>
          </cell>
          <cell r="BA259">
            <v>2.6127828749568285E-2</v>
          </cell>
          <cell r="BE259">
            <v>42979</v>
          </cell>
        </row>
        <row r="260">
          <cell r="AV260">
            <v>2.5929943262841714E-2</v>
          </cell>
          <cell r="BA260">
            <v>2.6129210784651746E-2</v>
          </cell>
          <cell r="BE260">
            <v>43070</v>
          </cell>
        </row>
        <row r="261">
          <cell r="AV261">
            <v>2.4819199224273766E-2</v>
          </cell>
          <cell r="BA261">
            <v>2.6062773983812609E-2</v>
          </cell>
          <cell r="BE261">
            <v>43160</v>
          </cell>
        </row>
        <row r="262">
          <cell r="AV262">
            <v>2.6100685181872623E-2</v>
          </cell>
          <cell r="BA262">
            <v>2.6048979439097203E-2</v>
          </cell>
          <cell r="BE262">
            <v>43252</v>
          </cell>
        </row>
        <row r="263">
          <cell r="AV263">
            <v>2.7121475702560408E-2</v>
          </cell>
          <cell r="BA263">
            <v>2.6003822287738912E-2</v>
          </cell>
          <cell r="BE263">
            <v>43344</v>
          </cell>
        </row>
        <row r="264">
          <cell r="AV264">
            <v>2.472778929023849E-2</v>
          </cell>
          <cell r="BA264">
            <v>2.587665618856487E-2</v>
          </cell>
          <cell r="BE264">
            <v>43435</v>
          </cell>
        </row>
        <row r="265">
          <cell r="AV265">
            <v>2.4204176406909427E-2</v>
          </cell>
          <cell r="BA265">
            <v>2.5712032767271843E-2</v>
          </cell>
          <cell r="BE265">
            <v>43525</v>
          </cell>
        </row>
        <row r="266">
          <cell r="AV266">
            <v>2.4604695644942411E-2</v>
          </cell>
          <cell r="BA266">
            <v>2.5574301845745984E-2</v>
          </cell>
          <cell r="BE266">
            <v>43617</v>
          </cell>
        </row>
        <row r="267">
          <cell r="AV267">
            <v>2.5573314282080727E-2</v>
          </cell>
          <cell r="BA267">
            <v>2.5419631113859201E-2</v>
          </cell>
          <cell r="BE267">
            <v>43709</v>
          </cell>
        </row>
        <row r="268">
          <cell r="AV268">
            <v>2.3913975421549015E-2</v>
          </cell>
          <cell r="BA268">
            <v>2.5322265560584031E-2</v>
          </cell>
          <cell r="BE268">
            <v>43800</v>
          </cell>
        </row>
        <row r="269">
          <cell r="AV269">
            <v>2.2463158792096625E-2</v>
          </cell>
          <cell r="BA269">
            <v>2.510099584374317E-2</v>
          </cell>
          <cell r="BE269">
            <v>43891</v>
          </cell>
        </row>
        <row r="270">
          <cell r="AV270">
            <v>1.3320395583260054E-2</v>
          </cell>
          <cell r="BA270">
            <v>2.4123949174518225E-2</v>
          </cell>
          <cell r="BE270">
            <v>43983</v>
          </cell>
        </row>
        <row r="271">
          <cell r="AV271">
            <v>1.9932470097313137E-2</v>
          </cell>
          <cell r="BA271">
            <v>2.35592732408282E-2</v>
          </cell>
          <cell r="BE271">
            <v>44075</v>
          </cell>
        </row>
        <row r="272">
          <cell r="AV272">
            <v>2.3206689798347876E-2</v>
          </cell>
          <cell r="BA272">
            <v>2.3332335452120382E-2</v>
          </cell>
          <cell r="BE272">
            <v>44166</v>
          </cell>
        </row>
        <row r="273">
          <cell r="AV273">
            <v>2.6182480941313414E-2</v>
          </cell>
          <cell r="BA273">
            <v>2.3445942261873687E-2</v>
          </cell>
          <cell r="BE273">
            <v>44256</v>
          </cell>
        </row>
        <row r="274">
          <cell r="AV274">
            <v>2.5208726493027765E-2</v>
          </cell>
          <cell r="BA274">
            <v>2.3371612371136611E-2</v>
          </cell>
          <cell r="BE274">
            <v>44348</v>
          </cell>
        </row>
        <row r="275">
          <cell r="AV275">
            <v>1.9997257518968827E-2</v>
          </cell>
          <cell r="BA275">
            <v>2.2777927522503977E-2</v>
          </cell>
          <cell r="BE275">
            <v>44440</v>
          </cell>
        </row>
        <row r="276">
          <cell r="AV276">
            <v>2.2824832600873503E-2</v>
          </cell>
          <cell r="BA276">
            <v>2.261934779839023E-2</v>
          </cell>
          <cell r="BE276">
            <v>44531</v>
          </cell>
        </row>
        <row r="277">
          <cell r="AV277">
            <v>2.6772775106563156E-2</v>
          </cell>
          <cell r="BA277">
            <v>2.2833397690028043E-2</v>
          </cell>
          <cell r="BE277">
            <v>44621</v>
          </cell>
        </row>
        <row r="278">
          <cell r="AV278">
            <v>2.6801687427602253E-2</v>
          </cell>
          <cell r="BA278">
            <v>2.3016480338583029E-2</v>
          </cell>
          <cell r="BE278">
            <v>44713</v>
          </cell>
        </row>
        <row r="279">
          <cell r="AV279">
            <v>2.5823004557000803E-2</v>
          </cell>
          <cell r="BA279">
            <v>2.3037287861493037E-2</v>
          </cell>
          <cell r="BE279">
            <v>44805</v>
          </cell>
        </row>
        <row r="280">
          <cell r="AV280">
            <v>2.5459305064430914E-2</v>
          </cell>
          <cell r="BA280">
            <v>2.3166065331733193E-2</v>
          </cell>
          <cell r="BE280">
            <v>44896</v>
          </cell>
        </row>
        <row r="281">
          <cell r="AV281">
            <v>2.5124031032389499E-2</v>
          </cell>
          <cell r="BA281">
            <v>2.338780468509093E-2</v>
          </cell>
          <cell r="BE281">
            <v>44986</v>
          </cell>
        </row>
        <row r="282">
          <cell r="AV282">
            <v>2.4287733053744813E-2</v>
          </cell>
          <cell r="BA282">
            <v>2.4301749474297998E-2</v>
          </cell>
          <cell r="BE282">
            <v>45078</v>
          </cell>
        </row>
        <row r="283">
          <cell r="AV283">
            <v>2.542877366732909E-2</v>
          </cell>
          <cell r="BA283">
            <v>2.4759774771799328E-2</v>
          </cell>
          <cell r="BE283">
            <v>45170</v>
          </cell>
        </row>
        <row r="284">
          <cell r="AV284">
            <v>2.3662283924796218E-2</v>
          </cell>
          <cell r="BA284">
            <v>2.4797740949003361E-2</v>
          </cell>
          <cell r="BE284">
            <v>45261</v>
          </cell>
        </row>
        <row r="285">
          <cell r="AV285">
            <v>2.5363102317367645E-2</v>
          </cell>
          <cell r="BA285">
            <v>2.4729459397007877E-2</v>
          </cell>
          <cell r="BE285">
            <v>45352</v>
          </cell>
        </row>
        <row r="286">
          <cell r="AV286">
            <v>2.4166290470072113E-2</v>
          </cell>
          <cell r="BA286">
            <v>2.4642589728428237E-2</v>
          </cell>
          <cell r="BE286">
            <v>45444</v>
          </cell>
        </row>
        <row r="287">
          <cell r="AV287">
            <v>2.521130367967216E-2</v>
          </cell>
          <cell r="BA287">
            <v>2.5077093575153517E-2</v>
          </cell>
          <cell r="BE287">
            <v>45536</v>
          </cell>
        </row>
        <row r="288">
          <cell r="AV288"/>
          <cell r="BA288"/>
          <cell r="BE288"/>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theme/theme1.xml><?xml version="1.0" encoding="utf-8"?>
<a:theme xmlns:a="http://schemas.openxmlformats.org/drawingml/2006/main" name="EAP Default">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dn.australianturfclub.com.au/app/uploads/2019/10/2019_WEB_Download_ATC-Annual-Report_2018.pdf" TargetMode="External"/><Relationship Id="rId1" Type="http://schemas.openxmlformats.org/officeDocument/2006/relationships/hyperlink" Target="http://racingnswcountry.com.au/wp-content/uploads/2016/09/RacingNSWCountry_Annual-Report_2020_final-PDF-2.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s://www.flutter.com/media/dvvn0ith/flutter-entertainment-plc-annual-report-2021.pdf" TargetMode="External"/><Relationship Id="rId7" Type="http://schemas.openxmlformats.org/officeDocument/2006/relationships/printerSettings" Target="../printerSettings/printerSettings5.bin"/><Relationship Id="rId2" Type="http://schemas.openxmlformats.org/officeDocument/2006/relationships/hyperlink" Target="https://www.flutter.com/media/pzuc0n0y/flutter-entertainment-plc-annual-report-accounts-2022.pdf" TargetMode="External"/><Relationship Id="rId1" Type="http://schemas.openxmlformats.org/officeDocument/2006/relationships/hyperlink" Target="https://www.flutter.com/media/entjjnsy/ppb-r-n-a-2017-180327.pdf" TargetMode="External"/><Relationship Id="rId6" Type="http://schemas.openxmlformats.org/officeDocument/2006/relationships/hyperlink" Target="https://www.flutter.com/media/jtzac4uu/2019-annual-report-28-02-20.pdf" TargetMode="External"/><Relationship Id="rId5" Type="http://schemas.openxmlformats.org/officeDocument/2006/relationships/hyperlink" Target="https://www.flutter.com/media/ebldbz5p/annual-report-and-accounts-2018.pdf" TargetMode="External"/><Relationship Id="rId4" Type="http://schemas.openxmlformats.org/officeDocument/2006/relationships/hyperlink" Target="https://www.flutter.com/media/3akfm0gk/annual-report-and-accounts-2020-1.pdf"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www.bluebetplc.com/_files/ugd/b0ca0f_63bddb44985044d2b2f70a4eeed24e0e.pdf"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5.bin"/><Relationship Id="rId1" Type="http://schemas.openxmlformats.org/officeDocument/2006/relationships/hyperlink" Target="https://www.racingnsw.com.au/wp-content/uploads/RNSW-Annual-Report_2023-FINAL.pdf" TargetMode="External"/><Relationship Id="rId5" Type="http://schemas.openxmlformats.org/officeDocument/2006/relationships/comments" Target="../comments12.xml"/><Relationship Id="rId4" Type="http://schemas.openxmlformats.org/officeDocument/2006/relationships/vmlDrawing" Target="../drawings/vmlDrawing12.v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racingnsw.com.au/wp-content/uploads/RNSW-Annual-Report_2020-2.pdf" TargetMode="External"/><Relationship Id="rId1" Type="http://schemas.openxmlformats.org/officeDocument/2006/relationships/hyperlink" Target="https://www.accc.gov.au/system/files/public-registers/documents/D16%2B25873.pdf" TargetMode="External"/><Relationship Id="rId6" Type="http://schemas.openxmlformats.org/officeDocument/2006/relationships/comments" Target="../comments13.xml"/><Relationship Id="rId5" Type="http://schemas.openxmlformats.org/officeDocument/2006/relationships/vmlDrawing" Target="../drawings/vmlDrawing13.vml"/><Relationship Id="rId4" Type="http://schemas.openxmlformats.org/officeDocument/2006/relationships/drawing" Target="../drawings/drawing1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8.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1.xml.rels><?xml version="1.0" encoding="UTF-8" standalone="yes"?>
<Relationships xmlns="http://schemas.openxmlformats.org/package/2006/relationships"><Relationship Id="rId8" Type="http://schemas.openxmlformats.org/officeDocument/2006/relationships/comments" Target="../comments17.xml"/><Relationship Id="rId3" Type="http://schemas.openxmlformats.org/officeDocument/2006/relationships/hyperlink" Target="https://www.sro.vic.gov.au/wagering-and-betting-tax" TargetMode="External"/><Relationship Id="rId7" Type="http://schemas.openxmlformats.org/officeDocument/2006/relationships/vmlDrawing" Target="../drawings/vmlDrawing17.vml"/><Relationship Id="rId2" Type="http://schemas.openxmlformats.org/officeDocument/2006/relationships/hyperlink" Target="https://www.revenuesa.sa.gov.au/betting-operations-tax" TargetMode="External"/><Relationship Id="rId1" Type="http://schemas.openxmlformats.org/officeDocument/2006/relationships/hyperlink" Target="https://www.revenue.nsw.gov.au/taxes-duties-levies-royalties/gaming-wagering-tax/point-of-consumption-tax" TargetMode="External"/><Relationship Id="rId6" Type="http://schemas.openxmlformats.org/officeDocument/2006/relationships/drawing" Target="../drawings/drawing22.xml"/><Relationship Id="rId5" Type="http://schemas.openxmlformats.org/officeDocument/2006/relationships/printerSettings" Target="../printerSettings/printerSettings26.bin"/><Relationship Id="rId4" Type="http://schemas.openxmlformats.org/officeDocument/2006/relationships/hyperlink" Target="https://www.premier.vic.gov.au/supporting-victorias-racing-industry" TargetMode="External"/></Relationships>
</file>

<file path=xl/worksheets/_rels/sheet4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7.bin"/></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3.xml"/><Relationship Id="rId1" Type="http://schemas.openxmlformats.org/officeDocument/2006/relationships/printerSettings" Target="../printerSettings/printerSettings28.bin"/><Relationship Id="rId4" Type="http://schemas.openxmlformats.org/officeDocument/2006/relationships/comments" Target="../comments19.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3E10-7C16-4988-B370-128CB59B6E9D}">
  <sheetPr>
    <tabColor theme="7"/>
  </sheetPr>
  <dimension ref="B4:G45"/>
  <sheetViews>
    <sheetView workbookViewId="0">
      <selection activeCell="C38" sqref="C38"/>
    </sheetView>
  </sheetViews>
  <sheetFormatPr defaultRowHeight="15" x14ac:dyDescent="0.25"/>
  <cols>
    <col min="2" max="2" width="34.85546875" bestFit="1" customWidth="1"/>
  </cols>
  <sheetData>
    <row r="4" spans="2:7" x14ac:dyDescent="0.25">
      <c r="B4" t="s">
        <v>248</v>
      </c>
      <c r="G4" t="s">
        <v>274</v>
      </c>
    </row>
    <row r="5" spans="2:7" x14ac:dyDescent="0.25">
      <c r="G5" t="s">
        <v>275</v>
      </c>
    </row>
    <row r="6" spans="2:7" x14ac:dyDescent="0.25">
      <c r="B6" t="s">
        <v>250</v>
      </c>
    </row>
    <row r="7" spans="2:7" x14ac:dyDescent="0.25">
      <c r="B7" t="s">
        <v>251</v>
      </c>
    </row>
    <row r="8" spans="2:7" x14ac:dyDescent="0.25">
      <c r="B8" t="s">
        <v>249</v>
      </c>
    </row>
    <row r="9" spans="2:7" x14ac:dyDescent="0.25">
      <c r="B9" t="s">
        <v>252</v>
      </c>
    </row>
    <row r="10" spans="2:7" x14ac:dyDescent="0.25">
      <c r="B10" t="s">
        <v>253</v>
      </c>
    </row>
    <row r="11" spans="2:7" x14ac:dyDescent="0.25">
      <c r="B11" t="s">
        <v>262</v>
      </c>
    </row>
    <row r="12" spans="2:7" x14ac:dyDescent="0.25">
      <c r="B12" t="s">
        <v>400</v>
      </c>
    </row>
    <row r="13" spans="2:7" x14ac:dyDescent="0.25">
      <c r="B13" t="s">
        <v>401</v>
      </c>
    </row>
    <row r="16" spans="2:7" x14ac:dyDescent="0.25">
      <c r="B16" t="s">
        <v>399</v>
      </c>
    </row>
    <row r="20" spans="2:3" x14ac:dyDescent="0.25">
      <c r="B20" t="s">
        <v>485</v>
      </c>
    </row>
    <row r="21" spans="2:3" x14ac:dyDescent="0.25">
      <c r="B21" t="s">
        <v>459</v>
      </c>
      <c r="C21" s="161" t="s">
        <v>458</v>
      </c>
    </row>
    <row r="22" spans="2:3" x14ac:dyDescent="0.25">
      <c r="B22" t="s">
        <v>461</v>
      </c>
      <c r="C22" s="161" t="s">
        <v>460</v>
      </c>
    </row>
    <row r="23" spans="2:3" x14ac:dyDescent="0.25">
      <c r="B23" t="s">
        <v>463</v>
      </c>
      <c r="C23" t="s">
        <v>462</v>
      </c>
    </row>
    <row r="24" spans="2:3" x14ac:dyDescent="0.25">
      <c r="B24" t="s">
        <v>487</v>
      </c>
      <c r="C24" t="s">
        <v>486</v>
      </c>
    </row>
    <row r="25" spans="2:3" x14ac:dyDescent="0.25">
      <c r="B25" t="s">
        <v>489</v>
      </c>
      <c r="C25" t="s">
        <v>488</v>
      </c>
    </row>
    <row r="26" spans="2:3" x14ac:dyDescent="0.25">
      <c r="B26" t="s">
        <v>491</v>
      </c>
      <c r="C26" t="s">
        <v>490</v>
      </c>
    </row>
    <row r="27" spans="2:3" x14ac:dyDescent="0.25">
      <c r="B27" t="s">
        <v>492</v>
      </c>
      <c r="C27" t="s">
        <v>313</v>
      </c>
    </row>
    <row r="28" spans="2:3" x14ac:dyDescent="0.25">
      <c r="B28" t="s">
        <v>494</v>
      </c>
      <c r="C28" t="s">
        <v>493</v>
      </c>
    </row>
    <row r="29" spans="2:3" x14ac:dyDescent="0.25">
      <c r="B29" t="s">
        <v>498</v>
      </c>
      <c r="C29" t="s">
        <v>497</v>
      </c>
    </row>
    <row r="30" spans="2:3" x14ac:dyDescent="0.25">
      <c r="B30" t="s">
        <v>499</v>
      </c>
      <c r="C30" t="s">
        <v>500</v>
      </c>
    </row>
    <row r="33" spans="2:2" x14ac:dyDescent="0.25">
      <c r="B33" t="s">
        <v>496</v>
      </c>
    </row>
    <row r="34" spans="2:2" x14ac:dyDescent="0.25">
      <c r="B34" t="s">
        <v>495</v>
      </c>
    </row>
    <row r="37" spans="2:2" x14ac:dyDescent="0.25">
      <c r="B37" t="s">
        <v>725</v>
      </c>
    </row>
    <row r="44" spans="2:2" x14ac:dyDescent="0.25">
      <c r="B44" t="s">
        <v>564</v>
      </c>
    </row>
    <row r="45" spans="2:2" x14ac:dyDescent="0.25">
      <c r="B45" t="s">
        <v>565</v>
      </c>
    </row>
  </sheetData>
  <hyperlinks>
    <hyperlink ref="C21" r:id="rId1" xr:uid="{1C683FA5-7F87-4626-9EC4-A4AA2DC7EF96}"/>
    <hyperlink ref="C22" r:id="rId2" xr:uid="{7D6A264A-629F-4A37-95F8-CA5CB0A1E05D}"/>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2953B-8015-4CCF-B5E0-5DEFBC4033F8}">
  <sheetPr>
    <tabColor theme="3"/>
  </sheetPr>
  <dimension ref="A1"/>
  <sheetViews>
    <sheetView workbookViewId="0">
      <selection activeCell="P14" sqref="P14"/>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0BA34-659C-4C22-90E5-2B28C7B05671}">
  <sheetPr>
    <tabColor theme="3" tint="0.39997558519241921"/>
  </sheetPr>
  <dimension ref="B3:AQ108"/>
  <sheetViews>
    <sheetView zoomScaleNormal="100" workbookViewId="0">
      <selection activeCell="AF17" sqref="AF17"/>
    </sheetView>
  </sheetViews>
  <sheetFormatPr defaultRowHeight="11.25" customHeight="1" x14ac:dyDescent="0.25"/>
  <cols>
    <col min="2" max="2" width="16.7109375" bestFit="1" customWidth="1"/>
  </cols>
  <sheetData>
    <row r="3" spans="2:43" s="12" customFormat="1" ht="11.25" customHeight="1" x14ac:dyDescent="0.2">
      <c r="C3" s="7"/>
      <c r="D3" s="15" t="str">
        <f t="shared" ref="D3:AN3" si="0">IF(MONTH(D11)&gt;6,RIGHT(YEAR(D11),2)+1,RIGHT(YEAR(D11),2))</f>
        <v>17</v>
      </c>
      <c r="E3" s="15">
        <f t="shared" si="0"/>
        <v>18</v>
      </c>
      <c r="F3" s="15">
        <f t="shared" si="0"/>
        <v>18</v>
      </c>
      <c r="G3" s="15" t="str">
        <f t="shared" si="0"/>
        <v>18</v>
      </c>
      <c r="H3" s="15" t="str">
        <f t="shared" si="0"/>
        <v>18</v>
      </c>
      <c r="I3" s="15">
        <f t="shared" si="0"/>
        <v>19</v>
      </c>
      <c r="J3" s="15">
        <f t="shared" si="0"/>
        <v>19</v>
      </c>
      <c r="K3" s="15" t="str">
        <f t="shared" si="0"/>
        <v>19</v>
      </c>
      <c r="L3" s="15" t="str">
        <f t="shared" si="0"/>
        <v>19</v>
      </c>
      <c r="M3" s="15">
        <f t="shared" si="0"/>
        <v>20</v>
      </c>
      <c r="N3" s="15">
        <f t="shared" si="0"/>
        <v>20</v>
      </c>
      <c r="O3" s="15" t="str">
        <f t="shared" si="0"/>
        <v>20</v>
      </c>
      <c r="P3" s="15" t="str">
        <f t="shared" si="0"/>
        <v>20</v>
      </c>
      <c r="Q3" s="15">
        <f t="shared" si="0"/>
        <v>21</v>
      </c>
      <c r="R3" s="15">
        <f t="shared" si="0"/>
        <v>21</v>
      </c>
      <c r="S3" s="15" t="str">
        <f t="shared" si="0"/>
        <v>21</v>
      </c>
      <c r="T3" s="15" t="str">
        <f t="shared" si="0"/>
        <v>21</v>
      </c>
      <c r="U3" s="15">
        <f t="shared" si="0"/>
        <v>22</v>
      </c>
      <c r="V3" s="15">
        <f t="shared" si="0"/>
        <v>22</v>
      </c>
      <c r="W3" s="15" t="str">
        <f t="shared" si="0"/>
        <v>22</v>
      </c>
      <c r="X3" s="15" t="str">
        <f t="shared" si="0"/>
        <v>22</v>
      </c>
      <c r="Y3" s="15">
        <f t="shared" si="0"/>
        <v>23</v>
      </c>
      <c r="Z3" s="15">
        <f t="shared" si="0"/>
        <v>23</v>
      </c>
      <c r="AA3" s="15" t="str">
        <f t="shared" si="0"/>
        <v>23</v>
      </c>
      <c r="AB3" s="15" t="str">
        <f t="shared" si="0"/>
        <v>23</v>
      </c>
      <c r="AC3" s="15">
        <f t="shared" si="0"/>
        <v>24</v>
      </c>
      <c r="AD3" s="15">
        <f t="shared" si="0"/>
        <v>24</v>
      </c>
      <c r="AE3" s="15" t="str">
        <f t="shared" si="0"/>
        <v>24</v>
      </c>
      <c r="AF3" s="15" t="str">
        <f t="shared" si="0"/>
        <v>24</v>
      </c>
      <c r="AG3" s="15">
        <f t="shared" si="0"/>
        <v>25</v>
      </c>
      <c r="AH3" s="15">
        <f t="shared" si="0"/>
        <v>25</v>
      </c>
      <c r="AI3" s="15" t="str">
        <f t="shared" si="0"/>
        <v>25</v>
      </c>
      <c r="AJ3" s="15" t="str">
        <f t="shared" si="0"/>
        <v>25</v>
      </c>
      <c r="AK3" s="15">
        <f t="shared" si="0"/>
        <v>26</v>
      </c>
      <c r="AL3" s="15">
        <f t="shared" si="0"/>
        <v>26</v>
      </c>
      <c r="AM3" s="15" t="str">
        <f t="shared" si="0"/>
        <v>26</v>
      </c>
      <c r="AN3" s="15" t="str">
        <f t="shared" si="0"/>
        <v>26</v>
      </c>
    </row>
    <row r="4" spans="2:43" s="12" customFormat="1" ht="11.25" customHeight="1" x14ac:dyDescent="0.2">
      <c r="C4" s="7"/>
      <c r="D4" s="15" t="str">
        <f t="shared" ref="D4:AN4" si="1">RIGHT(YEAR(D$11),2)</f>
        <v>17</v>
      </c>
      <c r="E4" s="15" t="str">
        <f t="shared" si="1"/>
        <v>17</v>
      </c>
      <c r="F4" s="15" t="str">
        <f t="shared" si="1"/>
        <v>17</v>
      </c>
      <c r="G4" s="15" t="str">
        <f t="shared" si="1"/>
        <v>18</v>
      </c>
      <c r="H4" s="15" t="str">
        <f t="shared" si="1"/>
        <v>18</v>
      </c>
      <c r="I4" s="15" t="str">
        <f t="shared" si="1"/>
        <v>18</v>
      </c>
      <c r="J4" s="15" t="str">
        <f t="shared" si="1"/>
        <v>18</v>
      </c>
      <c r="K4" s="15" t="str">
        <f t="shared" si="1"/>
        <v>19</v>
      </c>
      <c r="L4" s="15" t="str">
        <f t="shared" si="1"/>
        <v>19</v>
      </c>
      <c r="M4" s="15" t="str">
        <f t="shared" si="1"/>
        <v>19</v>
      </c>
      <c r="N4" s="15" t="str">
        <f t="shared" si="1"/>
        <v>19</v>
      </c>
      <c r="O4" s="15" t="str">
        <f t="shared" si="1"/>
        <v>20</v>
      </c>
      <c r="P4" s="15" t="str">
        <f t="shared" si="1"/>
        <v>20</v>
      </c>
      <c r="Q4" s="15" t="str">
        <f t="shared" si="1"/>
        <v>20</v>
      </c>
      <c r="R4" s="15" t="str">
        <f t="shared" si="1"/>
        <v>20</v>
      </c>
      <c r="S4" s="15" t="str">
        <f t="shared" si="1"/>
        <v>21</v>
      </c>
      <c r="T4" s="15" t="str">
        <f t="shared" si="1"/>
        <v>21</v>
      </c>
      <c r="U4" s="15" t="str">
        <f t="shared" si="1"/>
        <v>21</v>
      </c>
      <c r="V4" s="15" t="str">
        <f t="shared" si="1"/>
        <v>21</v>
      </c>
      <c r="W4" s="15" t="str">
        <f t="shared" si="1"/>
        <v>22</v>
      </c>
      <c r="X4" s="15" t="str">
        <f t="shared" si="1"/>
        <v>22</v>
      </c>
      <c r="Y4" s="15" t="str">
        <f t="shared" si="1"/>
        <v>22</v>
      </c>
      <c r="Z4" s="15" t="str">
        <f t="shared" si="1"/>
        <v>22</v>
      </c>
      <c r="AA4" s="15" t="str">
        <f t="shared" si="1"/>
        <v>23</v>
      </c>
      <c r="AB4" s="15" t="str">
        <f t="shared" si="1"/>
        <v>23</v>
      </c>
      <c r="AC4" s="15" t="str">
        <f t="shared" si="1"/>
        <v>23</v>
      </c>
      <c r="AD4" s="15" t="str">
        <f t="shared" si="1"/>
        <v>23</v>
      </c>
      <c r="AE4" s="15" t="str">
        <f t="shared" si="1"/>
        <v>24</v>
      </c>
      <c r="AF4" s="15" t="str">
        <f t="shared" si="1"/>
        <v>24</v>
      </c>
      <c r="AG4" s="15" t="str">
        <f t="shared" si="1"/>
        <v>24</v>
      </c>
      <c r="AH4" s="15" t="str">
        <f t="shared" si="1"/>
        <v>24</v>
      </c>
      <c r="AI4" s="15" t="str">
        <f t="shared" si="1"/>
        <v>25</v>
      </c>
      <c r="AJ4" s="15" t="str">
        <f t="shared" si="1"/>
        <v>25</v>
      </c>
      <c r="AK4" s="15" t="str">
        <f t="shared" si="1"/>
        <v>25</v>
      </c>
      <c r="AL4" s="15" t="str">
        <f t="shared" si="1"/>
        <v>25</v>
      </c>
      <c r="AM4" s="15" t="str">
        <f t="shared" si="1"/>
        <v>26</v>
      </c>
      <c r="AN4" s="15" t="str">
        <f t="shared" si="1"/>
        <v>26</v>
      </c>
    </row>
    <row r="5" spans="2:43" s="12" customFormat="1" ht="11.25" customHeight="1" x14ac:dyDescent="0.2">
      <c r="C5" s="7"/>
      <c r="D5" s="15" t="str">
        <f t="shared" ref="D5:AN5" si="2">"FY"&amp;TEXT(D$3,"00")</f>
        <v>FY17</v>
      </c>
      <c r="E5" s="15" t="str">
        <f t="shared" si="2"/>
        <v>FY18</v>
      </c>
      <c r="F5" s="15" t="str">
        <f t="shared" si="2"/>
        <v>FY18</v>
      </c>
      <c r="G5" s="15" t="str">
        <f t="shared" si="2"/>
        <v>FY18</v>
      </c>
      <c r="H5" s="15" t="str">
        <f t="shared" si="2"/>
        <v>FY18</v>
      </c>
      <c r="I5" s="15" t="str">
        <f t="shared" si="2"/>
        <v>FY19</v>
      </c>
      <c r="J5" s="15" t="str">
        <f t="shared" si="2"/>
        <v>FY19</v>
      </c>
      <c r="K5" s="15" t="str">
        <f t="shared" si="2"/>
        <v>FY19</v>
      </c>
      <c r="L5" s="15" t="str">
        <f t="shared" si="2"/>
        <v>FY19</v>
      </c>
      <c r="M5" s="15" t="str">
        <f t="shared" si="2"/>
        <v>FY20</v>
      </c>
      <c r="N5" s="15" t="str">
        <f t="shared" si="2"/>
        <v>FY20</v>
      </c>
      <c r="O5" s="15" t="str">
        <f t="shared" si="2"/>
        <v>FY20</v>
      </c>
      <c r="P5" s="15" t="str">
        <f t="shared" si="2"/>
        <v>FY20</v>
      </c>
      <c r="Q5" s="15" t="str">
        <f t="shared" si="2"/>
        <v>FY21</v>
      </c>
      <c r="R5" s="15" t="str">
        <f t="shared" si="2"/>
        <v>FY21</v>
      </c>
      <c r="S5" s="15" t="str">
        <f t="shared" si="2"/>
        <v>FY21</v>
      </c>
      <c r="T5" s="15" t="str">
        <f t="shared" si="2"/>
        <v>FY21</v>
      </c>
      <c r="U5" s="15" t="str">
        <f t="shared" si="2"/>
        <v>FY22</v>
      </c>
      <c r="V5" s="15" t="str">
        <f t="shared" si="2"/>
        <v>FY22</v>
      </c>
      <c r="W5" s="15" t="str">
        <f t="shared" si="2"/>
        <v>FY22</v>
      </c>
      <c r="X5" s="15" t="str">
        <f t="shared" si="2"/>
        <v>FY22</v>
      </c>
      <c r="Y5" s="15" t="str">
        <f t="shared" si="2"/>
        <v>FY23</v>
      </c>
      <c r="Z5" s="15" t="str">
        <f t="shared" si="2"/>
        <v>FY23</v>
      </c>
      <c r="AA5" s="15" t="str">
        <f t="shared" si="2"/>
        <v>FY23</v>
      </c>
      <c r="AB5" s="15" t="str">
        <f t="shared" si="2"/>
        <v>FY23</v>
      </c>
      <c r="AC5" s="15" t="str">
        <f t="shared" si="2"/>
        <v>FY24</v>
      </c>
      <c r="AD5" s="15" t="str">
        <f t="shared" si="2"/>
        <v>FY24</v>
      </c>
      <c r="AE5" s="15" t="str">
        <f t="shared" si="2"/>
        <v>FY24</v>
      </c>
      <c r="AF5" s="15" t="str">
        <f t="shared" si="2"/>
        <v>FY24</v>
      </c>
      <c r="AG5" s="15" t="str">
        <f t="shared" si="2"/>
        <v>FY25</v>
      </c>
      <c r="AH5" s="15" t="str">
        <f t="shared" si="2"/>
        <v>FY25</v>
      </c>
      <c r="AI5" s="15" t="str">
        <f t="shared" si="2"/>
        <v>FY25</v>
      </c>
      <c r="AJ5" s="15" t="str">
        <f t="shared" si="2"/>
        <v>FY25</v>
      </c>
      <c r="AK5" s="15" t="str">
        <f t="shared" si="2"/>
        <v>FY26</v>
      </c>
      <c r="AL5" s="15" t="str">
        <f t="shared" si="2"/>
        <v>FY26</v>
      </c>
      <c r="AM5" s="15" t="str">
        <f t="shared" si="2"/>
        <v>FY26</v>
      </c>
      <c r="AN5" s="15" t="str">
        <f t="shared" si="2"/>
        <v>FY26</v>
      </c>
    </row>
    <row r="6" spans="2:43" s="12" customFormat="1" ht="11.25" customHeight="1" x14ac:dyDescent="0.2">
      <c r="C6" s="7"/>
      <c r="D6" s="15" t="str">
        <f t="shared" ref="D6:AN6" si="3">"CY"&amp;TEXT(D$4,"00")</f>
        <v>CY17</v>
      </c>
      <c r="E6" s="15" t="str">
        <f t="shared" si="3"/>
        <v>CY17</v>
      </c>
      <c r="F6" s="15" t="str">
        <f t="shared" si="3"/>
        <v>CY17</v>
      </c>
      <c r="G6" s="15" t="str">
        <f t="shared" si="3"/>
        <v>CY18</v>
      </c>
      <c r="H6" s="15" t="str">
        <f t="shared" si="3"/>
        <v>CY18</v>
      </c>
      <c r="I6" s="15" t="str">
        <f t="shared" si="3"/>
        <v>CY18</v>
      </c>
      <c r="J6" s="15" t="str">
        <f t="shared" si="3"/>
        <v>CY18</v>
      </c>
      <c r="K6" s="15" t="str">
        <f t="shared" si="3"/>
        <v>CY19</v>
      </c>
      <c r="L6" s="15" t="str">
        <f t="shared" si="3"/>
        <v>CY19</v>
      </c>
      <c r="M6" s="15" t="str">
        <f t="shared" si="3"/>
        <v>CY19</v>
      </c>
      <c r="N6" s="15" t="str">
        <f t="shared" si="3"/>
        <v>CY19</v>
      </c>
      <c r="O6" s="15" t="str">
        <f t="shared" si="3"/>
        <v>CY20</v>
      </c>
      <c r="P6" s="15" t="str">
        <f t="shared" si="3"/>
        <v>CY20</v>
      </c>
      <c r="Q6" s="15" t="str">
        <f t="shared" si="3"/>
        <v>CY20</v>
      </c>
      <c r="R6" s="15" t="str">
        <f t="shared" si="3"/>
        <v>CY20</v>
      </c>
      <c r="S6" s="15" t="str">
        <f t="shared" si="3"/>
        <v>CY21</v>
      </c>
      <c r="T6" s="15" t="str">
        <f t="shared" si="3"/>
        <v>CY21</v>
      </c>
      <c r="U6" s="15" t="str">
        <f t="shared" si="3"/>
        <v>CY21</v>
      </c>
      <c r="V6" s="15" t="str">
        <f t="shared" si="3"/>
        <v>CY21</v>
      </c>
      <c r="W6" s="15" t="str">
        <f t="shared" si="3"/>
        <v>CY22</v>
      </c>
      <c r="X6" s="15" t="str">
        <f t="shared" si="3"/>
        <v>CY22</v>
      </c>
      <c r="Y6" s="15" t="str">
        <f t="shared" si="3"/>
        <v>CY22</v>
      </c>
      <c r="Z6" s="15" t="str">
        <f t="shared" si="3"/>
        <v>CY22</v>
      </c>
      <c r="AA6" s="15" t="str">
        <f t="shared" si="3"/>
        <v>CY23</v>
      </c>
      <c r="AB6" s="15" t="str">
        <f t="shared" si="3"/>
        <v>CY23</v>
      </c>
      <c r="AC6" s="15" t="str">
        <f t="shared" si="3"/>
        <v>CY23</v>
      </c>
      <c r="AD6" s="15" t="str">
        <f t="shared" si="3"/>
        <v>CY23</v>
      </c>
      <c r="AE6" s="15" t="str">
        <f t="shared" si="3"/>
        <v>CY24</v>
      </c>
      <c r="AF6" s="15" t="str">
        <f t="shared" si="3"/>
        <v>CY24</v>
      </c>
      <c r="AG6" s="15" t="str">
        <f t="shared" si="3"/>
        <v>CY24</v>
      </c>
      <c r="AH6" s="15" t="str">
        <f t="shared" si="3"/>
        <v>CY24</v>
      </c>
      <c r="AI6" s="15" t="str">
        <f t="shared" si="3"/>
        <v>CY25</v>
      </c>
      <c r="AJ6" s="15" t="str">
        <f t="shared" si="3"/>
        <v>CY25</v>
      </c>
      <c r="AK6" s="15" t="str">
        <f t="shared" si="3"/>
        <v>CY25</v>
      </c>
      <c r="AL6" s="15" t="str">
        <f t="shared" si="3"/>
        <v>CY25</v>
      </c>
      <c r="AM6" s="15" t="str">
        <f t="shared" si="3"/>
        <v>CY26</v>
      </c>
      <c r="AN6" s="15" t="str">
        <f t="shared" si="3"/>
        <v>CY26</v>
      </c>
    </row>
    <row r="7" spans="2:43" s="12" customFormat="1" ht="11.25" customHeight="1" x14ac:dyDescent="0.2">
      <c r="C7" s="7"/>
      <c r="D7" s="175">
        <f t="shared" ref="D7:AN7" si="4">D11-EOMONTH(D11,-3)</f>
        <v>91</v>
      </c>
      <c r="E7" s="175">
        <f t="shared" si="4"/>
        <v>92</v>
      </c>
      <c r="F7" s="175">
        <f t="shared" si="4"/>
        <v>92</v>
      </c>
      <c r="G7" s="175">
        <f t="shared" si="4"/>
        <v>90</v>
      </c>
      <c r="H7" s="175">
        <f t="shared" si="4"/>
        <v>91</v>
      </c>
      <c r="I7" s="175">
        <f t="shared" si="4"/>
        <v>92</v>
      </c>
      <c r="J7" s="175">
        <f t="shared" si="4"/>
        <v>92</v>
      </c>
      <c r="K7" s="175">
        <f t="shared" si="4"/>
        <v>90</v>
      </c>
      <c r="L7" s="175">
        <f t="shared" si="4"/>
        <v>91</v>
      </c>
      <c r="M7" s="175">
        <f t="shared" si="4"/>
        <v>92</v>
      </c>
      <c r="N7" s="175">
        <f t="shared" si="4"/>
        <v>92</v>
      </c>
      <c r="O7" s="175">
        <f t="shared" si="4"/>
        <v>91</v>
      </c>
      <c r="P7" s="175">
        <f t="shared" si="4"/>
        <v>91</v>
      </c>
      <c r="Q7" s="175">
        <f t="shared" si="4"/>
        <v>92</v>
      </c>
      <c r="R7" s="175">
        <f t="shared" si="4"/>
        <v>92</v>
      </c>
      <c r="S7" s="175">
        <f t="shared" si="4"/>
        <v>90</v>
      </c>
      <c r="T7" s="175">
        <f t="shared" si="4"/>
        <v>91</v>
      </c>
      <c r="U7" s="175">
        <f t="shared" si="4"/>
        <v>92</v>
      </c>
      <c r="V7" s="175">
        <f t="shared" si="4"/>
        <v>92</v>
      </c>
      <c r="W7" s="175">
        <f t="shared" si="4"/>
        <v>90</v>
      </c>
      <c r="X7" s="175">
        <f t="shared" si="4"/>
        <v>91</v>
      </c>
      <c r="Y7" s="175">
        <f t="shared" si="4"/>
        <v>92</v>
      </c>
      <c r="Z7" s="175">
        <f t="shared" si="4"/>
        <v>92</v>
      </c>
      <c r="AA7" s="175">
        <f t="shared" si="4"/>
        <v>90</v>
      </c>
      <c r="AB7" s="175">
        <f t="shared" si="4"/>
        <v>91</v>
      </c>
      <c r="AC7" s="175">
        <f t="shared" si="4"/>
        <v>92</v>
      </c>
      <c r="AD7" s="175">
        <f t="shared" si="4"/>
        <v>92</v>
      </c>
      <c r="AE7" s="175">
        <f t="shared" si="4"/>
        <v>91</v>
      </c>
      <c r="AF7" s="175">
        <f t="shared" si="4"/>
        <v>91</v>
      </c>
      <c r="AG7" s="175">
        <f t="shared" si="4"/>
        <v>92</v>
      </c>
      <c r="AH7" s="175">
        <f t="shared" si="4"/>
        <v>92</v>
      </c>
      <c r="AI7" s="175">
        <f t="shared" si="4"/>
        <v>90</v>
      </c>
      <c r="AJ7" s="175">
        <f t="shared" si="4"/>
        <v>91</v>
      </c>
      <c r="AK7" s="175">
        <f t="shared" si="4"/>
        <v>92</v>
      </c>
      <c r="AL7" s="175">
        <f t="shared" si="4"/>
        <v>92</v>
      </c>
      <c r="AM7" s="175">
        <f t="shared" si="4"/>
        <v>90</v>
      </c>
      <c r="AN7" s="175">
        <f t="shared" si="4"/>
        <v>91</v>
      </c>
    </row>
    <row r="8" spans="2:43" s="12" customFormat="1" ht="11.25" customHeight="1" x14ac:dyDescent="0.2">
      <c r="C8" s="7"/>
    </row>
    <row r="9" spans="2:43" s="12" customFormat="1" ht="11.25" customHeight="1" x14ac:dyDescent="0.2">
      <c r="C9" s="7"/>
      <c r="E9" s="15" t="s">
        <v>41</v>
      </c>
      <c r="F9" s="15" t="s">
        <v>41</v>
      </c>
      <c r="G9" s="15" t="s">
        <v>42</v>
      </c>
      <c r="H9" s="15" t="s">
        <v>42</v>
      </c>
      <c r="I9" s="15" t="s">
        <v>43</v>
      </c>
      <c r="J9" s="15" t="s">
        <v>43</v>
      </c>
      <c r="K9" s="15" t="s">
        <v>44</v>
      </c>
      <c r="L9" s="15" t="s">
        <v>44</v>
      </c>
      <c r="M9" s="15" t="s">
        <v>45</v>
      </c>
      <c r="N9" s="15" t="s">
        <v>45</v>
      </c>
      <c r="O9" s="15" t="s">
        <v>46</v>
      </c>
      <c r="P9" s="15" t="s">
        <v>46</v>
      </c>
      <c r="Q9" s="15" t="s">
        <v>47</v>
      </c>
      <c r="R9" s="15" t="s">
        <v>47</v>
      </c>
      <c r="S9" s="15" t="s">
        <v>48</v>
      </c>
      <c r="T9" s="15" t="s">
        <v>48</v>
      </c>
      <c r="U9" s="15" t="s">
        <v>49</v>
      </c>
      <c r="V9" s="15" t="s">
        <v>49</v>
      </c>
      <c r="W9" s="15" t="s">
        <v>50</v>
      </c>
      <c r="X9" s="15" t="s">
        <v>50</v>
      </c>
      <c r="Y9" s="15" t="s">
        <v>51</v>
      </c>
      <c r="Z9" s="15" t="s">
        <v>51</v>
      </c>
      <c r="AA9" s="15" t="s">
        <v>52</v>
      </c>
      <c r="AB9" s="15" t="s">
        <v>52</v>
      </c>
      <c r="AC9" s="15" t="s">
        <v>53</v>
      </c>
      <c r="AD9" s="15" t="s">
        <v>53</v>
      </c>
      <c r="AE9" s="15" t="s">
        <v>54</v>
      </c>
      <c r="AF9" s="15" t="s">
        <v>54</v>
      </c>
      <c r="AG9" s="15" t="s">
        <v>55</v>
      </c>
      <c r="AH9" s="15" t="s">
        <v>55</v>
      </c>
      <c r="AI9" s="15" t="s">
        <v>56</v>
      </c>
      <c r="AJ9" s="15" t="s">
        <v>56</v>
      </c>
      <c r="AK9" s="15" t="s">
        <v>57</v>
      </c>
      <c r="AL9" s="15" t="s">
        <v>57</v>
      </c>
      <c r="AM9" s="15" t="s">
        <v>58</v>
      </c>
      <c r="AN9" s="15" t="s">
        <v>58</v>
      </c>
      <c r="AP9" s="7" t="s">
        <v>590</v>
      </c>
      <c r="AQ9" s="7" t="s">
        <v>601</v>
      </c>
    </row>
    <row r="10" spans="2:43" s="12" customFormat="1" ht="11.25" customHeight="1" x14ac:dyDescent="0.2">
      <c r="B10" s="28"/>
      <c r="C10" s="28"/>
      <c r="D10" s="28" t="s">
        <v>59</v>
      </c>
      <c r="E10" s="28" t="s">
        <v>60</v>
      </c>
      <c r="F10" s="28" t="s">
        <v>61</v>
      </c>
      <c r="G10" s="28" t="s">
        <v>62</v>
      </c>
      <c r="H10" s="28" t="s">
        <v>63</v>
      </c>
      <c r="I10" s="28" t="s">
        <v>64</v>
      </c>
      <c r="J10" s="28" t="s">
        <v>65</v>
      </c>
      <c r="K10" s="28" t="s">
        <v>66</v>
      </c>
      <c r="L10" s="28" t="s">
        <v>67</v>
      </c>
      <c r="M10" s="28" t="s">
        <v>68</v>
      </c>
      <c r="N10" s="28" t="s">
        <v>69</v>
      </c>
      <c r="O10" s="28" t="s">
        <v>70</v>
      </c>
      <c r="P10" s="28" t="s">
        <v>71</v>
      </c>
      <c r="Q10" s="28" t="s">
        <v>72</v>
      </c>
      <c r="R10" s="28" t="s">
        <v>73</v>
      </c>
      <c r="S10" s="28" t="s">
        <v>74</v>
      </c>
      <c r="T10" s="28" t="s">
        <v>75</v>
      </c>
      <c r="U10" s="28" t="s">
        <v>76</v>
      </c>
      <c r="V10" s="28" t="s">
        <v>77</v>
      </c>
      <c r="W10" s="28" t="s">
        <v>78</v>
      </c>
      <c r="X10" s="28" t="s">
        <v>79</v>
      </c>
      <c r="Y10" s="28" t="s">
        <v>80</v>
      </c>
      <c r="Z10" s="28" t="s">
        <v>81</v>
      </c>
      <c r="AA10" s="28" t="s">
        <v>82</v>
      </c>
      <c r="AB10" s="28" t="s">
        <v>83</v>
      </c>
      <c r="AC10" s="28" t="s">
        <v>84</v>
      </c>
      <c r="AD10" s="28" t="s">
        <v>85</v>
      </c>
      <c r="AE10" s="28" t="s">
        <v>86</v>
      </c>
      <c r="AF10" s="28" t="s">
        <v>87</v>
      </c>
      <c r="AG10" s="28" t="s">
        <v>88</v>
      </c>
      <c r="AH10" s="28" t="s">
        <v>89</v>
      </c>
      <c r="AI10" s="28" t="s">
        <v>90</v>
      </c>
      <c r="AJ10" s="28" t="s">
        <v>91</v>
      </c>
      <c r="AK10" s="28" t="s">
        <v>92</v>
      </c>
      <c r="AL10" s="28" t="s">
        <v>93</v>
      </c>
      <c r="AM10" s="28" t="s">
        <v>94</v>
      </c>
      <c r="AN10" s="28" t="s">
        <v>95</v>
      </c>
      <c r="AP10" s="197" t="s">
        <v>86</v>
      </c>
      <c r="AQ10" s="197" t="s">
        <v>86</v>
      </c>
    </row>
    <row r="11" spans="2:43" s="12" customFormat="1" ht="11.25" customHeight="1" x14ac:dyDescent="0.2">
      <c r="B11" s="29"/>
      <c r="C11" s="29"/>
      <c r="D11" s="29">
        <v>42916</v>
      </c>
      <c r="E11" s="30">
        <f t="shared" ref="E11:AN11" si="5" xml:space="preserve"> EOMONTH( D11, 3)</f>
        <v>43008</v>
      </c>
      <c r="F11" s="30">
        <f t="shared" si="5"/>
        <v>43100</v>
      </c>
      <c r="G11" s="30">
        <f t="shared" si="5"/>
        <v>43190</v>
      </c>
      <c r="H11" s="30">
        <f t="shared" si="5"/>
        <v>43281</v>
      </c>
      <c r="I11" s="30">
        <f t="shared" si="5"/>
        <v>43373</v>
      </c>
      <c r="J11" s="30">
        <f t="shared" si="5"/>
        <v>43465</v>
      </c>
      <c r="K11" s="30">
        <f t="shared" si="5"/>
        <v>43555</v>
      </c>
      <c r="L11" s="30">
        <f t="shared" si="5"/>
        <v>43646</v>
      </c>
      <c r="M11" s="30">
        <f t="shared" si="5"/>
        <v>43738</v>
      </c>
      <c r="N11" s="30">
        <f t="shared" si="5"/>
        <v>43830</v>
      </c>
      <c r="O11" s="30">
        <f t="shared" si="5"/>
        <v>43921</v>
      </c>
      <c r="P11" s="30">
        <f t="shared" si="5"/>
        <v>44012</v>
      </c>
      <c r="Q11" s="30">
        <f t="shared" si="5"/>
        <v>44104</v>
      </c>
      <c r="R11" s="30">
        <f t="shared" si="5"/>
        <v>44196</v>
      </c>
      <c r="S11" s="30">
        <f t="shared" si="5"/>
        <v>44286</v>
      </c>
      <c r="T11" s="30">
        <f t="shared" si="5"/>
        <v>44377</v>
      </c>
      <c r="U11" s="30">
        <f t="shared" si="5"/>
        <v>44469</v>
      </c>
      <c r="V11" s="30">
        <f t="shared" si="5"/>
        <v>44561</v>
      </c>
      <c r="W11" s="30">
        <f t="shared" si="5"/>
        <v>44651</v>
      </c>
      <c r="X11" s="30">
        <f t="shared" si="5"/>
        <v>44742</v>
      </c>
      <c r="Y11" s="30">
        <f t="shared" si="5"/>
        <v>44834</v>
      </c>
      <c r="Z11" s="30">
        <f t="shared" si="5"/>
        <v>44926</v>
      </c>
      <c r="AA11" s="30">
        <f t="shared" si="5"/>
        <v>45016</v>
      </c>
      <c r="AB11" s="30">
        <f t="shared" si="5"/>
        <v>45107</v>
      </c>
      <c r="AC11" s="30">
        <f t="shared" si="5"/>
        <v>45199</v>
      </c>
      <c r="AD11" s="30">
        <f t="shared" si="5"/>
        <v>45291</v>
      </c>
      <c r="AE11" s="30">
        <f t="shared" si="5"/>
        <v>45382</v>
      </c>
      <c r="AF11" s="30">
        <f t="shared" si="5"/>
        <v>45473</v>
      </c>
      <c r="AG11" s="30">
        <f t="shared" si="5"/>
        <v>45565</v>
      </c>
      <c r="AH11" s="30">
        <f t="shared" si="5"/>
        <v>45657</v>
      </c>
      <c r="AI11" s="30">
        <f t="shared" si="5"/>
        <v>45747</v>
      </c>
      <c r="AJ11" s="30">
        <f t="shared" si="5"/>
        <v>45838</v>
      </c>
      <c r="AK11" s="30">
        <f t="shared" si="5"/>
        <v>45930</v>
      </c>
      <c r="AL11" s="30">
        <f t="shared" si="5"/>
        <v>46022</v>
      </c>
      <c r="AM11" s="30">
        <f t="shared" si="5"/>
        <v>46112</v>
      </c>
      <c r="AN11" s="30">
        <f t="shared" si="5"/>
        <v>46203</v>
      </c>
      <c r="AP11" s="30"/>
      <c r="AQ11" s="30"/>
    </row>
    <row r="12" spans="2:43" s="12" customFormat="1" ht="11.25" customHeight="1" x14ac:dyDescent="0.2">
      <c r="B12" s="195"/>
      <c r="C12" s="195"/>
      <c r="D12" s="66"/>
      <c r="E12" s="66"/>
      <c r="F12" s="66"/>
      <c r="G12" s="66"/>
      <c r="H12" s="66"/>
      <c r="I12" s="66"/>
      <c r="J12" s="66"/>
      <c r="K12" s="66"/>
      <c r="L12" s="66"/>
      <c r="M12" s="66"/>
      <c r="N12" s="66"/>
      <c r="O12" s="66"/>
      <c r="P12" s="66"/>
      <c r="Q12" s="66"/>
      <c r="R12" s="66"/>
      <c r="S12" s="66"/>
      <c r="T12" s="66"/>
      <c r="U12" s="66"/>
      <c r="V12" s="66"/>
      <c r="W12" s="66"/>
      <c r="X12" s="66"/>
      <c r="Y12" s="66"/>
      <c r="Z12" s="66"/>
      <c r="AA12" s="195"/>
      <c r="AB12" s="195"/>
      <c r="AC12" s="195"/>
      <c r="AD12" s="195"/>
      <c r="AE12" s="195"/>
      <c r="AF12" s="66"/>
      <c r="AG12" s="66"/>
      <c r="AH12" s="66"/>
      <c r="AI12" s="66"/>
      <c r="AJ12" s="66"/>
      <c r="AK12" s="66"/>
      <c r="AL12" s="66"/>
      <c r="AM12" s="66"/>
      <c r="AN12" s="66"/>
      <c r="AO12" s="66"/>
      <c r="AP12" s="195"/>
      <c r="AQ12" s="196"/>
    </row>
    <row r="13" spans="2:43" s="12" customFormat="1" ht="11.25" customHeight="1" x14ac:dyDescent="0.2">
      <c r="B13" s="195"/>
      <c r="C13" s="195"/>
      <c r="D13" s="66"/>
      <c r="E13" s="66"/>
      <c r="F13" s="66"/>
      <c r="G13" s="66"/>
      <c r="H13" s="66"/>
      <c r="I13" s="66"/>
      <c r="J13" s="66"/>
      <c r="K13" s="66"/>
      <c r="L13" s="66"/>
      <c r="M13" s="66"/>
      <c r="N13" s="66"/>
      <c r="O13" s="66"/>
      <c r="P13" s="66"/>
      <c r="Q13" s="66"/>
      <c r="R13" s="66"/>
      <c r="S13" s="66"/>
      <c r="T13" s="66"/>
      <c r="U13" s="66"/>
      <c r="V13" s="66"/>
      <c r="W13" s="66"/>
      <c r="X13" s="66"/>
      <c r="Y13" s="66"/>
      <c r="Z13" s="66"/>
      <c r="AA13" s="195"/>
      <c r="AB13" s="195"/>
      <c r="AC13" s="195"/>
      <c r="AD13" s="195"/>
      <c r="AE13" s="195"/>
      <c r="AF13" s="66"/>
      <c r="AG13" s="66"/>
      <c r="AH13" s="66"/>
      <c r="AI13" s="66"/>
      <c r="AJ13" s="66"/>
      <c r="AK13" s="66"/>
      <c r="AL13" s="66"/>
      <c r="AM13" s="66"/>
      <c r="AN13" s="66"/>
      <c r="AO13" s="66"/>
      <c r="AP13" s="195"/>
      <c r="AQ13" s="196"/>
    </row>
    <row r="14" spans="2:43" s="12" customFormat="1" ht="11.25" customHeight="1" x14ac:dyDescent="0.2">
      <c r="B14" s="66" t="s">
        <v>9</v>
      </c>
      <c r="C14" s="124"/>
    </row>
    <row r="15" spans="2:43" s="12" customFormat="1" ht="11.25" customHeight="1" x14ac:dyDescent="0.2">
      <c r="B15" s="18" t="s">
        <v>12</v>
      </c>
      <c r="C15" s="7" t="s">
        <v>123</v>
      </c>
      <c r="O15" s="189">
        <f>'SBET QTR'!O56</f>
        <v>3005.7915924634472</v>
      </c>
      <c r="P15" s="189">
        <f>'SBET QTR'!P56</f>
        <v>4110.3288088843728</v>
      </c>
      <c r="Q15" s="189">
        <f>'SBET QTR'!Q56</f>
        <v>5423.9746477254375</v>
      </c>
      <c r="R15" s="189">
        <f>'SBET QTR'!R56</f>
        <v>5396.7741229030689</v>
      </c>
      <c r="S15" s="189">
        <f>'SBET QTR'!S56</f>
        <v>4373.3237412854314</v>
      </c>
      <c r="T15" s="189">
        <f>'SBET QTR'!T56</f>
        <v>4625.8091867511266</v>
      </c>
      <c r="U15" s="189">
        <f>'SBET QTR'!U56</f>
        <v>6235.0564374548685</v>
      </c>
      <c r="V15" s="189">
        <f>'SBET QTR'!V56</f>
        <v>6261.5593658104162</v>
      </c>
      <c r="W15" s="189">
        <f>'SBET QTR'!W56</f>
        <v>4675.1818359937133</v>
      </c>
      <c r="X15" s="189">
        <f>'SBET QTR'!X56</f>
        <v>4727.8057717145966</v>
      </c>
      <c r="Y15" s="189">
        <f>'SBET QTR'!Y56</f>
        <v>4942.4107052108338</v>
      </c>
      <c r="Z15" s="189">
        <f>'SBET QTR'!Z56</f>
        <v>5729.4137556188498</v>
      </c>
      <c r="AA15" s="189">
        <f>'SBET QTR'!AA56</f>
        <v>4597.6407851009471</v>
      </c>
      <c r="AB15" s="189">
        <f>'SBET QTR'!AB56</f>
        <v>4430.1206472989597</v>
      </c>
      <c r="AC15" s="189">
        <f>'SBET QTR'!AC56</f>
        <v>4472.347813734159</v>
      </c>
      <c r="AD15" s="189">
        <f>'SBET QTR'!AD56</f>
        <v>4638.2878360361183</v>
      </c>
      <c r="AE15" s="189">
        <f>'SBET QTR'!AE56</f>
        <v>3871.3505849855401</v>
      </c>
      <c r="AF15" s="189">
        <f>'SBET QTR'!AF56</f>
        <v>4136.1215592147273</v>
      </c>
      <c r="AG15" s="189">
        <f>'SBET QTR'!AG56</f>
        <v>4007.0947093021809</v>
      </c>
      <c r="AH15" s="189">
        <f>'SBET QTR'!AH56</f>
        <v>4379.494909495038</v>
      </c>
      <c r="AP15" s="26">
        <f>$AE15/AA15-1</f>
        <v>-0.15797019255375788</v>
      </c>
      <c r="AQ15" s="26">
        <f>$AE15/AD15-1</f>
        <v>-0.16534921465891672</v>
      </c>
    </row>
    <row r="16" spans="2:43" s="12" customFormat="1" ht="11.25" customHeight="1" x14ac:dyDescent="0.2">
      <c r="B16" s="18" t="s">
        <v>14</v>
      </c>
      <c r="C16" s="7" t="s">
        <v>123</v>
      </c>
      <c r="O16" s="189">
        <f>PBH!N12</f>
        <v>178.4</v>
      </c>
      <c r="P16" s="189">
        <f>PBH!O12</f>
        <v>302.89999999999998</v>
      </c>
      <c r="Q16" s="189">
        <f>PBH!P12</f>
        <v>527.70000000000005</v>
      </c>
      <c r="R16" s="189">
        <f>PBH!Q12</f>
        <v>543.29999999999995</v>
      </c>
      <c r="S16" s="189">
        <f>PBH!R12</f>
        <v>423.2</v>
      </c>
      <c r="T16" s="189">
        <f>PBH!S12</f>
        <v>494.8</v>
      </c>
      <c r="U16" s="189">
        <f>PBH!T12</f>
        <v>631.4</v>
      </c>
      <c r="V16" s="189">
        <f>PBH!U12</f>
        <v>727</v>
      </c>
      <c r="W16" s="189">
        <f>PBH!V12</f>
        <v>579.4</v>
      </c>
      <c r="X16" s="189">
        <f>PBH!W12</f>
        <v>598.6</v>
      </c>
      <c r="Y16" s="189">
        <f>PBH!X12</f>
        <v>611.9</v>
      </c>
      <c r="Z16" s="189">
        <f>PBH!Y12</f>
        <v>938.5</v>
      </c>
      <c r="AA16" s="189">
        <f>PBH!Z12</f>
        <v>579.79999999999995</v>
      </c>
      <c r="AB16" s="189">
        <f>PBH!AA12</f>
        <v>502.3</v>
      </c>
      <c r="AC16" s="189">
        <f>PBH!AB12</f>
        <v>566.9</v>
      </c>
      <c r="AD16" s="189">
        <f>PBH!AC12</f>
        <v>901.6</v>
      </c>
      <c r="AE16" s="189">
        <f>PBH!AD12</f>
        <v>605.5</v>
      </c>
      <c r="AF16" s="189">
        <f>PBH!AE12</f>
        <v>602.70000000000005</v>
      </c>
      <c r="AG16" s="189">
        <f>PBH!AF12</f>
        <v>557.5</v>
      </c>
      <c r="AH16" s="189">
        <f>PBH!AG12</f>
        <v>591.5</v>
      </c>
      <c r="AP16" s="26">
        <f>$AE16/AA16-1</f>
        <v>4.4325629527423249E-2</v>
      </c>
      <c r="AQ16" s="26">
        <f>$AE16/AD16-1</f>
        <v>-0.32841614906832295</v>
      </c>
    </row>
    <row r="17" spans="2:43" s="12" customFormat="1" ht="11.25" customHeight="1" x14ac:dyDescent="0.2">
      <c r="B17" s="18" t="s">
        <v>16</v>
      </c>
      <c r="C17" s="7" t="s">
        <v>123</v>
      </c>
      <c r="O17" s="198"/>
      <c r="P17" s="198"/>
      <c r="Q17" s="189">
        <f>'BBET + BetR'!P12</f>
        <v>75.2</v>
      </c>
      <c r="R17" s="189">
        <f>'BBET + BetR'!Q12</f>
        <v>89.5</v>
      </c>
      <c r="S17" s="189">
        <f>'BBET + BetR'!R12</f>
        <v>83.5</v>
      </c>
      <c r="T17" s="189">
        <f>'BBET + BetR'!S12</f>
        <v>96.5</v>
      </c>
      <c r="U17" s="189">
        <f>'BBET + BetR'!T12</f>
        <v>125.9</v>
      </c>
      <c r="V17" s="189">
        <f>'BBET + BetR'!U12</f>
        <v>138.6</v>
      </c>
      <c r="W17" s="189">
        <f>'BBET + BetR'!V12</f>
        <v>120.7</v>
      </c>
      <c r="X17" s="189">
        <f>'BBET + BetR'!W12</f>
        <v>126.7</v>
      </c>
      <c r="Y17" s="189">
        <f>'BBET + BetR'!X12</f>
        <v>132.80000000000001</v>
      </c>
      <c r="Z17" s="189">
        <f>'BBET + BetR'!Y12</f>
        <v>146.30000000000001</v>
      </c>
      <c r="AA17" s="189">
        <f>'BBET + BetR'!Z12</f>
        <v>119.1</v>
      </c>
      <c r="AB17" s="189">
        <f>'BBET + BetR'!AA12</f>
        <v>131.6</v>
      </c>
      <c r="AC17" s="189">
        <f>'BBET + BetR'!AB12</f>
        <v>143.9</v>
      </c>
      <c r="AD17" s="189">
        <f>'BBET + BetR'!AC12</f>
        <v>154.80000000000001</v>
      </c>
      <c r="AE17" s="189">
        <f>'BBET + BetR'!AD12</f>
        <v>139.6</v>
      </c>
      <c r="AF17" s="189">
        <f>'BBET + BetR'!AE12</f>
        <v>153.6</v>
      </c>
      <c r="AG17" s="189">
        <f>'BBET + BetR'!AF12</f>
        <v>0</v>
      </c>
      <c r="AH17" s="189">
        <f>'BBET + BetR'!AG12</f>
        <v>0</v>
      </c>
      <c r="AP17" s="26">
        <f>$AE17/AA17-1</f>
        <v>0.17212426532325775</v>
      </c>
      <c r="AQ17" s="26">
        <f>$AE17/AD17-1</f>
        <v>-9.8191214470284338E-2</v>
      </c>
    </row>
    <row r="18" spans="2:43" s="12" customFormat="1" ht="11.25" customHeight="1" x14ac:dyDescent="0.2">
      <c r="B18" s="18" t="s">
        <v>596</v>
      </c>
      <c r="C18" s="7" t="s">
        <v>123</v>
      </c>
      <c r="O18" s="198"/>
      <c r="P18" s="198"/>
      <c r="Q18" s="198"/>
      <c r="R18" s="198"/>
      <c r="S18" s="198"/>
      <c r="T18" s="198"/>
      <c r="U18" s="198"/>
      <c r="V18" s="198"/>
      <c r="W18" s="198"/>
      <c r="X18" s="198"/>
      <c r="Y18" s="198"/>
      <c r="Z18" s="198"/>
      <c r="AA18" s="189">
        <f>BETR!Z12</f>
        <v>354.2</v>
      </c>
      <c r="AB18" s="198"/>
      <c r="AC18" s="198"/>
      <c r="AD18" s="198"/>
      <c r="AE18" s="189">
        <f>BETR!AD12</f>
        <v>273.10000000000002</v>
      </c>
      <c r="AF18" s="189">
        <f>BETR!AE12</f>
        <v>0</v>
      </c>
      <c r="AG18" s="189">
        <f>BETR!AF12</f>
        <v>0</v>
      </c>
      <c r="AH18" s="189">
        <f>BETR!AG12</f>
        <v>0</v>
      </c>
      <c r="AP18" s="26">
        <f>$AE18/AA18-1</f>
        <v>-0.22896668548842458</v>
      </c>
      <c r="AQ18" s="26"/>
    </row>
    <row r="19" spans="2:43" s="12" customFormat="1" ht="11.25" customHeight="1" x14ac:dyDescent="0.2">
      <c r="B19" s="66" t="s">
        <v>96</v>
      </c>
      <c r="C19" s="124"/>
      <c r="O19" s="32"/>
      <c r="P19" s="32"/>
      <c r="Q19" s="32"/>
      <c r="R19" s="32"/>
      <c r="S19" s="32"/>
      <c r="T19" s="32"/>
      <c r="U19" s="32"/>
      <c r="V19" s="32"/>
      <c r="W19" s="32"/>
      <c r="X19" s="32"/>
      <c r="Y19" s="32"/>
      <c r="Z19" s="32"/>
      <c r="AA19" s="189"/>
      <c r="AB19" s="32"/>
      <c r="AD19" s="189"/>
      <c r="AE19" s="189"/>
      <c r="AF19" s="189"/>
      <c r="AG19" s="189"/>
      <c r="AH19" s="189"/>
    </row>
    <row r="20" spans="2:43" s="12" customFormat="1" ht="11.25" customHeight="1" x14ac:dyDescent="0.2">
      <c r="B20" s="18" t="s">
        <v>12</v>
      </c>
      <c r="C20" s="7" t="s">
        <v>123</v>
      </c>
      <c r="O20" s="199"/>
      <c r="P20" s="199"/>
      <c r="Q20" s="199"/>
      <c r="R20" s="199"/>
      <c r="S20" s="199"/>
      <c r="T20" s="199"/>
      <c r="U20" s="199"/>
      <c r="V20" s="199"/>
      <c r="W20" s="199"/>
      <c r="X20" s="199"/>
      <c r="Y20" s="199"/>
      <c r="Z20" s="199"/>
      <c r="AA20" s="198"/>
      <c r="AB20" s="199"/>
      <c r="AC20" s="200"/>
      <c r="AD20" s="198"/>
      <c r="AE20" s="198"/>
      <c r="AF20" s="198"/>
      <c r="AG20" s="198"/>
      <c r="AH20" s="198"/>
      <c r="AP20" s="26"/>
      <c r="AQ20" s="26"/>
    </row>
    <row r="21" spans="2:43" s="12" customFormat="1" ht="11.25" customHeight="1" x14ac:dyDescent="0.2">
      <c r="B21" s="18" t="s">
        <v>14</v>
      </c>
      <c r="C21" s="7" t="s">
        <v>123</v>
      </c>
      <c r="O21" s="189">
        <f>PBH!N14</f>
        <v>21.2</v>
      </c>
      <c r="P21" s="189">
        <f>PBH!O14</f>
        <v>41.6</v>
      </c>
      <c r="Q21" s="189">
        <f>PBH!P14</f>
        <v>60.5</v>
      </c>
      <c r="R21" s="189">
        <f>PBH!Q14</f>
        <v>75.5</v>
      </c>
      <c r="S21" s="189">
        <f>PBH!R14</f>
        <v>54.8</v>
      </c>
      <c r="T21" s="189">
        <f>PBH!S14</f>
        <v>66.400000000000006</v>
      </c>
      <c r="U21" s="189">
        <f>PBH!T14</f>
        <v>87.9</v>
      </c>
      <c r="V21" s="189">
        <f>PBH!U14</f>
        <v>92.2</v>
      </c>
      <c r="W21" s="189">
        <f>PBH!V14</f>
        <v>78.8</v>
      </c>
      <c r="X21" s="189">
        <f>PBH!W14</f>
        <v>79.5</v>
      </c>
      <c r="Y21" s="189">
        <f>PBH!X14</f>
        <v>73</v>
      </c>
      <c r="Z21" s="189">
        <f>PBH!Y14</f>
        <v>93.5</v>
      </c>
      <c r="AA21" s="189">
        <f>PBH!Z14</f>
        <v>70.3</v>
      </c>
      <c r="AB21" s="189">
        <f>PBH!AA14</f>
        <v>72.3</v>
      </c>
      <c r="AC21" s="189">
        <f>PBH!AB14</f>
        <v>71.599999999999994</v>
      </c>
      <c r="AD21" s="189">
        <f>PBH!AC14</f>
        <v>88.1</v>
      </c>
      <c r="AE21" s="189">
        <f>PBH!AD14</f>
        <v>76.900000000000006</v>
      </c>
      <c r="AF21" s="189">
        <f>PBH!AE14</f>
        <v>78.599999999999994</v>
      </c>
      <c r="AG21" s="189">
        <f>PBH!AF14</f>
        <v>73.5</v>
      </c>
      <c r="AH21" s="189">
        <f>PBH!AG14</f>
        <v>80.5</v>
      </c>
      <c r="AP21" s="26">
        <f>$AE21/AA21-1</f>
        <v>9.3883357041251836E-2</v>
      </c>
      <c r="AQ21" s="26">
        <f>$AE21/AD21-1</f>
        <v>-0.1271282633371168</v>
      </c>
    </row>
    <row r="22" spans="2:43" s="12" customFormat="1" ht="11.25" customHeight="1" x14ac:dyDescent="0.2">
      <c r="B22" s="18" t="s">
        <v>16</v>
      </c>
      <c r="C22" s="7" t="s">
        <v>123</v>
      </c>
      <c r="O22" s="189"/>
      <c r="P22" s="189"/>
      <c r="Q22" s="189">
        <f>'BBET + BetR'!P14</f>
        <v>9.6</v>
      </c>
      <c r="R22" s="189">
        <f>'BBET + BetR'!Q14</f>
        <v>11.5</v>
      </c>
      <c r="S22" s="189">
        <f>'BBET + BetR'!R14</f>
        <v>10.4</v>
      </c>
      <c r="T22" s="189">
        <f>'BBET + BetR'!S14</f>
        <v>12.7</v>
      </c>
      <c r="U22" s="189">
        <f>'BBET + BetR'!T14</f>
        <v>18.100000000000001</v>
      </c>
      <c r="V22" s="189">
        <f>'BBET + BetR'!U14</f>
        <v>18.399999999999999</v>
      </c>
      <c r="W22" s="189">
        <f>'BBET + BetR'!V14</f>
        <v>17</v>
      </c>
      <c r="X22" s="189">
        <f>'BBET + BetR'!W14</f>
        <v>17</v>
      </c>
      <c r="Y22" s="189">
        <f>'BBET + BetR'!X14</f>
        <v>17.8</v>
      </c>
      <c r="Z22" s="189">
        <f>'BBET + BetR'!Y14</f>
        <v>18.2</v>
      </c>
      <c r="AA22" s="189">
        <f>'BBET + BetR'!Z14</f>
        <v>15.8</v>
      </c>
      <c r="AB22" s="189">
        <f>'BBET + BetR'!AA14</f>
        <v>19.100000000000001</v>
      </c>
      <c r="AC22" s="189">
        <f>'BBET + BetR'!AB14</f>
        <v>18.8</v>
      </c>
      <c r="AD22" s="189">
        <f>'BBET + BetR'!AC14</f>
        <v>10.5</v>
      </c>
      <c r="AE22" s="189">
        <f>'BBET + BetR'!AD14</f>
        <v>18.7</v>
      </c>
      <c r="AF22" s="189">
        <f>'BBET + BetR'!AE14</f>
        <v>20.8</v>
      </c>
      <c r="AG22" s="189">
        <f>'BBET + BetR'!AF14</f>
        <v>0</v>
      </c>
      <c r="AH22" s="189">
        <f>'BBET + BetR'!AG14</f>
        <v>0</v>
      </c>
      <c r="AP22" s="26">
        <f>$AE22/AA22-1</f>
        <v>0.18354430379746822</v>
      </c>
      <c r="AQ22" s="26">
        <f>$AE22/AD22-1</f>
        <v>0.78095238095238084</v>
      </c>
    </row>
    <row r="23" spans="2:43" s="12" customFormat="1" ht="11.25" customHeight="1" x14ac:dyDescent="0.2">
      <c r="B23" s="18" t="s">
        <v>596</v>
      </c>
      <c r="C23" s="7" t="s">
        <v>123</v>
      </c>
      <c r="O23" s="198"/>
      <c r="P23" s="198"/>
      <c r="Q23" s="198"/>
      <c r="R23" s="198"/>
      <c r="S23" s="198"/>
      <c r="T23" s="198"/>
      <c r="U23" s="198"/>
      <c r="V23" s="198"/>
      <c r="W23" s="198"/>
      <c r="X23" s="198"/>
      <c r="Y23" s="198"/>
      <c r="Z23" s="198"/>
      <c r="AA23" s="189">
        <f>BETR!Z14</f>
        <v>37.6</v>
      </c>
      <c r="AB23" s="198"/>
      <c r="AC23" s="198"/>
      <c r="AD23" s="198"/>
      <c r="AE23" s="189">
        <f>BETR!AD14</f>
        <v>37.1</v>
      </c>
      <c r="AF23" s="189">
        <f>BETR!AE14</f>
        <v>0</v>
      </c>
      <c r="AG23" s="189">
        <f>BETR!AF14</f>
        <v>0</v>
      </c>
      <c r="AH23" s="189">
        <f>BETR!AG14</f>
        <v>0</v>
      </c>
      <c r="AP23" s="26">
        <f>$AE23/AA23-1</f>
        <v>-1.3297872340425565E-2</v>
      </c>
      <c r="AQ23" s="26"/>
    </row>
    <row r="24" spans="2:43" s="12" customFormat="1" ht="11.25" customHeight="1" x14ac:dyDescent="0.2">
      <c r="B24" s="66" t="s">
        <v>98</v>
      </c>
      <c r="C24" s="124"/>
      <c r="O24" s="32"/>
      <c r="P24" s="32"/>
      <c r="Q24" s="32"/>
      <c r="R24" s="32"/>
      <c r="S24" s="32"/>
      <c r="T24" s="32"/>
      <c r="U24" s="32"/>
      <c r="V24" s="32"/>
      <c r="W24" s="32"/>
      <c r="X24" s="32"/>
      <c r="Y24" s="32"/>
      <c r="Z24" s="32"/>
      <c r="AA24" s="189"/>
      <c r="AB24" s="32"/>
      <c r="AD24" s="189"/>
      <c r="AE24" s="189"/>
      <c r="AF24" s="189"/>
      <c r="AG24" s="189"/>
      <c r="AH24" s="189"/>
    </row>
    <row r="25" spans="2:43" s="12" customFormat="1" ht="11.25" customHeight="1" x14ac:dyDescent="0.2">
      <c r="B25" s="18" t="s">
        <v>12</v>
      </c>
      <c r="C25" s="7" t="s">
        <v>123</v>
      </c>
      <c r="O25" s="189">
        <f>'SBET QTR'!O59</f>
        <v>313.22488439263105</v>
      </c>
      <c r="P25" s="189">
        <f>'SBET QTR'!P59</f>
        <v>517.09370690280912</v>
      </c>
      <c r="Q25" s="189">
        <f>'SBET QTR'!Q59</f>
        <v>577.97931644093899</v>
      </c>
      <c r="R25" s="189">
        <f>'SBET QTR'!R59</f>
        <v>578.16127195479817</v>
      </c>
      <c r="S25" s="189">
        <f>'SBET QTR'!S59</f>
        <v>497.98966339948419</v>
      </c>
      <c r="T25" s="189">
        <f>'SBET QTR'!T59</f>
        <v>557.18707774352742</v>
      </c>
      <c r="U25" s="189">
        <f>'SBET QTR'!U59</f>
        <v>698.74904080471515</v>
      </c>
      <c r="V25" s="189">
        <f>'SBET QTR'!V59</f>
        <v>623.82184664283568</v>
      </c>
      <c r="W25" s="189">
        <f>'SBET QTR'!W59</f>
        <v>538.4191695635119</v>
      </c>
      <c r="X25" s="189">
        <f>'SBET QTR'!X59</f>
        <v>566.19781739808946</v>
      </c>
      <c r="Y25" s="189">
        <f>'SBET QTR'!Y59</f>
        <v>547.26343234104183</v>
      </c>
      <c r="Z25" s="189">
        <f>'SBET QTR'!Z59</f>
        <v>592.04239804345809</v>
      </c>
      <c r="AA25" s="189">
        <f>'SBET QTR'!AA59</f>
        <v>512.75082797806817</v>
      </c>
      <c r="AB25" s="189">
        <f>'SBET QTR'!AB59</f>
        <v>583.02977466021503</v>
      </c>
      <c r="AC25" s="189">
        <f>'SBET QTR'!AC59</f>
        <v>506.91828818754675</v>
      </c>
      <c r="AD25" s="189">
        <f>'SBET QTR'!AD59</f>
        <v>575.75568967677737</v>
      </c>
      <c r="AE25" s="189">
        <f>'SBET QTR'!AE59</f>
        <v>499.96131798696382</v>
      </c>
      <c r="AF25" s="189">
        <f>'SBET QTR'!AF59</f>
        <v>529.53280416945699</v>
      </c>
      <c r="AG25" s="189">
        <f>'SBET QTR'!AG59</f>
        <v>553.88678731412415</v>
      </c>
      <c r="AH25" s="189">
        <f>'SBET QTR'!AH59</f>
        <v>530.38335270748439</v>
      </c>
      <c r="AP25" s="26">
        <f>$AE25/AA25-1</f>
        <v>-2.4942933864265493E-2</v>
      </c>
      <c r="AQ25" s="26">
        <f>$AE25/AD25-1</f>
        <v>-0.13164328733314579</v>
      </c>
    </row>
    <row r="26" spans="2:43" s="12" customFormat="1" ht="11.25" customHeight="1" x14ac:dyDescent="0.2">
      <c r="B26" s="18" t="s">
        <v>14</v>
      </c>
      <c r="C26" s="7" t="s">
        <v>123</v>
      </c>
      <c r="O26" s="189">
        <f>PBH!N19</f>
        <v>15.5</v>
      </c>
      <c r="P26" s="189">
        <f>PBH!O19</f>
        <v>32.4</v>
      </c>
      <c r="Q26" s="189">
        <f>PBH!P19</f>
        <v>35.1</v>
      </c>
      <c r="R26" s="189">
        <f>PBH!Q19</f>
        <v>49.8</v>
      </c>
      <c r="S26" s="189">
        <f>PBH!R19</f>
        <v>38.200000000000003</v>
      </c>
      <c r="T26" s="189">
        <f>PBH!S19</f>
        <v>43.1</v>
      </c>
      <c r="U26" s="189">
        <f>PBH!T19</f>
        <v>54.8</v>
      </c>
      <c r="V26" s="189">
        <f>PBH!U19</f>
        <v>53.1</v>
      </c>
      <c r="W26" s="189">
        <f>PBH!V19</f>
        <v>52.3</v>
      </c>
      <c r="X26" s="189">
        <f>PBH!W19</f>
        <v>55.2</v>
      </c>
      <c r="Y26" s="189">
        <f>PBH!X19</f>
        <v>47.5</v>
      </c>
      <c r="Z26" s="189">
        <f>PBH!Y19</f>
        <v>57.7</v>
      </c>
      <c r="AA26" s="189">
        <f>PBH!Z19</f>
        <v>50.7</v>
      </c>
      <c r="AB26" s="189">
        <f>PBH!AA19</f>
        <v>55.6</v>
      </c>
      <c r="AC26" s="189">
        <f>PBH!AB19</f>
        <v>52.8</v>
      </c>
      <c r="AD26" s="189">
        <f>PBH!AC19</f>
        <v>59.5</v>
      </c>
      <c r="AE26" s="189">
        <f>PBH!AD19</f>
        <v>60.8</v>
      </c>
      <c r="AF26" s="189">
        <f>PBH!AE19</f>
        <v>60.1</v>
      </c>
      <c r="AG26" s="189">
        <f>PBH!AF19</f>
        <v>56.6</v>
      </c>
      <c r="AH26" s="189">
        <f>PBH!AG19</f>
        <v>60.5</v>
      </c>
      <c r="AP26" s="26">
        <f>$AE26/AA26-1</f>
        <v>0.19921104536489143</v>
      </c>
      <c r="AQ26" s="26">
        <f>$AE26/AD26-1</f>
        <v>2.1848739495798242E-2</v>
      </c>
    </row>
    <row r="27" spans="2:43" s="12" customFormat="1" ht="11.25" customHeight="1" x14ac:dyDescent="0.2">
      <c r="B27" s="18" t="s">
        <v>16</v>
      </c>
      <c r="C27" s="7" t="s">
        <v>123</v>
      </c>
      <c r="O27" s="198"/>
      <c r="P27" s="198"/>
      <c r="Q27" s="189">
        <f>'BBET + BetR'!P17</f>
        <v>7.9</v>
      </c>
      <c r="R27" s="189">
        <f>'BBET + BetR'!Q17</f>
        <v>9.1</v>
      </c>
      <c r="S27" s="189">
        <f>'BBET + BetR'!R17</f>
        <v>8.5</v>
      </c>
      <c r="T27" s="189">
        <f>'BBET + BetR'!S17</f>
        <v>10.1</v>
      </c>
      <c r="U27" s="189">
        <f>'BBET + BetR'!T17</f>
        <v>14.8</v>
      </c>
      <c r="V27" s="189">
        <f>'BBET + BetR'!U17</f>
        <v>13.8</v>
      </c>
      <c r="W27" s="189">
        <f>'BBET + BetR'!V17</f>
        <v>13.2</v>
      </c>
      <c r="X27" s="189">
        <f>'BBET + BetR'!W17</f>
        <v>12.8</v>
      </c>
      <c r="Y27" s="189">
        <f>'BBET + BetR'!X17</f>
        <v>13.5</v>
      </c>
      <c r="Z27" s="189">
        <f>'BBET + BetR'!Y17</f>
        <v>13.7</v>
      </c>
      <c r="AA27" s="189">
        <f>'BBET + BetR'!Z17</f>
        <v>12</v>
      </c>
      <c r="AB27" s="189">
        <f>'BBET + BetR'!AA17</f>
        <v>14.9</v>
      </c>
      <c r="AC27" s="189">
        <f>'BBET + BetR'!AB17</f>
        <v>14.5</v>
      </c>
      <c r="AD27" s="189">
        <f>'BBET + BetR'!AC17</f>
        <v>16.2</v>
      </c>
      <c r="AE27" s="189">
        <f>'BBET + BetR'!AD17</f>
        <v>15.9</v>
      </c>
      <c r="AF27" s="189">
        <f>'BBET + BetR'!AE17</f>
        <v>17.3</v>
      </c>
      <c r="AG27" s="189">
        <f>'BBET + BetR'!AF17</f>
        <v>0</v>
      </c>
      <c r="AH27" s="189">
        <f>'BBET + BetR'!AG17</f>
        <v>0</v>
      </c>
      <c r="AP27" s="26">
        <f>$AE27/AA27-1</f>
        <v>0.32499999999999996</v>
      </c>
      <c r="AQ27" s="26">
        <f>$AE27/AD27-1</f>
        <v>-1.851851851851849E-2</v>
      </c>
    </row>
    <row r="28" spans="2:43" s="12" customFormat="1" ht="11.25" customHeight="1" x14ac:dyDescent="0.2">
      <c r="B28" s="18" t="s">
        <v>596</v>
      </c>
      <c r="C28" s="7" t="s">
        <v>123</v>
      </c>
      <c r="O28" s="199"/>
      <c r="P28" s="199"/>
      <c r="Q28" s="199"/>
      <c r="R28" s="199"/>
      <c r="S28" s="199"/>
      <c r="T28" s="199"/>
      <c r="U28" s="199"/>
      <c r="V28" s="199"/>
      <c r="W28" s="199"/>
      <c r="X28" s="199"/>
      <c r="Y28" s="199"/>
      <c r="Z28" s="199"/>
      <c r="AA28" s="189">
        <f>BETR!Z17</f>
        <v>15</v>
      </c>
      <c r="AB28" s="199"/>
      <c r="AC28" s="200"/>
      <c r="AD28" s="198"/>
      <c r="AE28" s="189">
        <f>BETR!AD17</f>
        <v>23.3</v>
      </c>
      <c r="AF28" s="189">
        <f>BETR!AE17</f>
        <v>0</v>
      </c>
      <c r="AG28" s="189">
        <f>BETR!AF17</f>
        <v>0</v>
      </c>
      <c r="AH28" s="189">
        <f>BETR!AG17</f>
        <v>0</v>
      </c>
      <c r="AP28" s="26">
        <f>$AE28/AA28-1</f>
        <v>0.55333333333333345</v>
      </c>
      <c r="AQ28" s="26"/>
    </row>
    <row r="29" spans="2:43" s="12" customFormat="1" ht="11.25" customHeight="1" x14ac:dyDescent="0.2">
      <c r="B29" s="66" t="s">
        <v>100</v>
      </c>
      <c r="C29" s="124"/>
      <c r="O29" s="32"/>
      <c r="P29" s="32"/>
      <c r="Q29" s="32"/>
      <c r="R29" s="32"/>
      <c r="S29" s="32"/>
      <c r="T29" s="32"/>
      <c r="U29" s="32"/>
      <c r="V29" s="32"/>
      <c r="W29" s="32"/>
      <c r="X29" s="32"/>
      <c r="Y29" s="32"/>
      <c r="Z29" s="32"/>
      <c r="AA29" s="189"/>
      <c r="AB29" s="32"/>
      <c r="AD29" s="189"/>
      <c r="AE29" s="189"/>
      <c r="AF29" s="189"/>
      <c r="AG29" s="189"/>
      <c r="AH29" s="189"/>
    </row>
    <row r="30" spans="2:43" s="12" customFormat="1" ht="11.25" customHeight="1" x14ac:dyDescent="0.2">
      <c r="B30" s="18" t="s">
        <v>12</v>
      </c>
      <c r="C30" s="7" t="s">
        <v>589</v>
      </c>
      <c r="O30" s="199"/>
      <c r="P30" s="199"/>
      <c r="Q30" s="199"/>
      <c r="R30" s="199"/>
      <c r="S30" s="199"/>
      <c r="T30" s="199"/>
      <c r="U30" s="199"/>
      <c r="V30" s="199"/>
      <c r="W30" s="199"/>
      <c r="X30" s="199"/>
      <c r="Y30" s="199"/>
      <c r="Z30" s="199"/>
      <c r="AA30" s="198"/>
      <c r="AB30" s="199"/>
      <c r="AC30" s="200"/>
      <c r="AD30" s="198"/>
      <c r="AE30" s="198"/>
      <c r="AF30" s="198"/>
      <c r="AG30" s="198"/>
      <c r="AH30" s="198"/>
      <c r="AP30" s="26"/>
      <c r="AQ30" s="26"/>
    </row>
    <row r="31" spans="2:43" s="12" customFormat="1" ht="11.25" customHeight="1" x14ac:dyDescent="0.2">
      <c r="B31" s="18" t="s">
        <v>14</v>
      </c>
      <c r="C31" s="7" t="s">
        <v>589</v>
      </c>
      <c r="O31" s="70">
        <f>PBH!N22</f>
        <v>83330</v>
      </c>
      <c r="P31" s="70">
        <f>PBH!O22</f>
        <v>90422</v>
      </c>
      <c r="Q31" s="70">
        <f>PBH!P22</f>
        <v>124715</v>
      </c>
      <c r="R31" s="70">
        <f>PBH!Q22</f>
        <v>142992</v>
      </c>
      <c r="S31" s="70">
        <f>PBH!R22</f>
        <v>158041</v>
      </c>
      <c r="T31" s="70">
        <f>PBH!S22</f>
        <v>196585</v>
      </c>
      <c r="U31" s="70">
        <f>PBH!T22</f>
        <v>222662</v>
      </c>
      <c r="V31" s="70">
        <f>PBH!U22</f>
        <v>232875</v>
      </c>
      <c r="W31" s="70">
        <f>PBH!V22</f>
        <v>232763</v>
      </c>
      <c r="X31" s="70">
        <f>PBH!W22</f>
        <v>239121</v>
      </c>
      <c r="Y31" s="70">
        <f>PBH!X22</f>
        <v>231627</v>
      </c>
      <c r="Z31" s="70">
        <f>PBH!Y22</f>
        <v>234989</v>
      </c>
      <c r="AA31" s="70">
        <f>PBH!Z22</f>
        <v>238054</v>
      </c>
      <c r="AB31" s="70">
        <f>PBH!AA22</f>
        <v>238624</v>
      </c>
      <c r="AC31" s="70">
        <f>PBH!AB22</f>
        <v>235113</v>
      </c>
      <c r="AD31" s="70">
        <f>PBH!AC22</f>
        <v>218288</v>
      </c>
      <c r="AE31" s="70">
        <f>PBH!AD22</f>
        <v>221000</v>
      </c>
      <c r="AF31" s="70">
        <f>PBH!AE22</f>
        <v>227900</v>
      </c>
      <c r="AG31" s="70">
        <f>PBH!AF22</f>
        <v>238400</v>
      </c>
      <c r="AH31" s="70">
        <f>PBH!AG22</f>
        <v>235100</v>
      </c>
      <c r="AP31" s="26">
        <f>$AE31/AA31-1</f>
        <v>-7.1639207910810132E-2</v>
      </c>
      <c r="AQ31" s="26">
        <f>$AE31/AD31-1</f>
        <v>1.2423953675877675E-2</v>
      </c>
    </row>
    <row r="32" spans="2:43" s="12" customFormat="1" ht="11.25" customHeight="1" x14ac:dyDescent="0.2">
      <c r="B32" s="18" t="s">
        <v>16</v>
      </c>
      <c r="C32" s="7" t="s">
        <v>589</v>
      </c>
      <c r="O32" s="70">
        <f>'BBET + BetR'!N20</f>
        <v>20217</v>
      </c>
      <c r="P32" s="70">
        <f>'BBET + BetR'!O20</f>
        <v>22289</v>
      </c>
      <c r="Q32" s="70">
        <f>'BBET + BetR'!P20</f>
        <v>23927</v>
      </c>
      <c r="R32" s="70">
        <f>'BBET + BetR'!Q20</f>
        <v>25540</v>
      </c>
      <c r="S32" s="70">
        <f>'BBET + BetR'!R20</f>
        <v>26824</v>
      </c>
      <c r="T32" s="70">
        <f>'BBET + BetR'!S20</f>
        <v>32472</v>
      </c>
      <c r="U32" s="70">
        <f>'BBET + BetR'!T20</f>
        <v>39195</v>
      </c>
      <c r="V32" s="70">
        <f>'BBET + BetR'!U20</f>
        <v>45087</v>
      </c>
      <c r="W32" s="70">
        <f>'BBET + BetR'!V20</f>
        <v>49556</v>
      </c>
      <c r="X32" s="70">
        <f>'BBET + BetR'!W20</f>
        <v>53328</v>
      </c>
      <c r="Y32" s="70">
        <f>'BBET + BetR'!X20</f>
        <v>54920</v>
      </c>
      <c r="Z32" s="70">
        <f>'BBET + BetR'!Y20</f>
        <v>59632</v>
      </c>
      <c r="AA32" s="70">
        <f>'BBET + BetR'!Z20</f>
        <v>63118</v>
      </c>
      <c r="AB32" s="70">
        <f>'BBET + BetR'!AA20</f>
        <v>65415</v>
      </c>
      <c r="AC32" s="70">
        <f>'BBET + BetR'!AB20</f>
        <v>66526</v>
      </c>
      <c r="AD32" s="70">
        <f>'BBET + BetR'!AC20</f>
        <v>67391</v>
      </c>
      <c r="AE32" s="70">
        <f>'BBET + BetR'!AD20</f>
        <v>67732</v>
      </c>
      <c r="AF32" s="70">
        <f>'BBET + BetR'!AE20</f>
        <v>70456</v>
      </c>
      <c r="AG32" s="70">
        <f>'BBET + BetR'!AF20</f>
        <v>0</v>
      </c>
      <c r="AH32" s="70">
        <f>'BBET + BetR'!AG20</f>
        <v>0</v>
      </c>
      <c r="AP32" s="26">
        <f>$AE32/AA32-1</f>
        <v>7.3101175575905453E-2</v>
      </c>
      <c r="AQ32" s="26">
        <f>$AE32/AD32-1</f>
        <v>5.0600228517161394E-3</v>
      </c>
    </row>
    <row r="33" spans="2:43" s="12" customFormat="1" ht="11.25" customHeight="1" x14ac:dyDescent="0.2">
      <c r="B33" s="18" t="s">
        <v>596</v>
      </c>
      <c r="C33" s="7" t="s">
        <v>589</v>
      </c>
      <c r="O33" s="200"/>
      <c r="P33" s="200"/>
      <c r="Q33" s="200"/>
      <c r="R33" s="200"/>
      <c r="S33" s="200"/>
      <c r="T33" s="200"/>
      <c r="U33" s="200"/>
      <c r="V33" s="200"/>
      <c r="W33" s="200"/>
      <c r="X33" s="200"/>
      <c r="Y33" s="200"/>
      <c r="Z33" s="200"/>
      <c r="AA33" s="200"/>
      <c r="AB33" s="200"/>
      <c r="AC33" s="200"/>
      <c r="AD33" s="200"/>
      <c r="AE33" s="199"/>
      <c r="AF33" s="199"/>
      <c r="AG33" s="199"/>
      <c r="AH33" s="199"/>
    </row>
    <row r="34" spans="2:43" s="12" customFormat="1" ht="11.25" customHeight="1" x14ac:dyDescent="0.2">
      <c r="B34" s="66" t="s">
        <v>97</v>
      </c>
      <c r="C34" s="124"/>
      <c r="AE34" s="32"/>
      <c r="AF34" s="32"/>
      <c r="AG34" s="32"/>
      <c r="AH34" s="32"/>
    </row>
    <row r="35" spans="2:43" s="12" customFormat="1" ht="11.25" customHeight="1" x14ac:dyDescent="0.2">
      <c r="B35" s="18" t="s">
        <v>12</v>
      </c>
      <c r="C35" s="7" t="s">
        <v>118</v>
      </c>
      <c r="O35" s="199"/>
      <c r="P35" s="199"/>
      <c r="Q35" s="199"/>
      <c r="R35" s="199"/>
      <c r="S35" s="199"/>
      <c r="T35" s="199"/>
      <c r="U35" s="199"/>
      <c r="V35" s="199"/>
      <c r="W35" s="199"/>
      <c r="X35" s="199"/>
      <c r="Y35" s="199"/>
      <c r="Z35" s="199"/>
      <c r="AA35" s="198"/>
      <c r="AB35" s="199"/>
      <c r="AC35" s="200"/>
      <c r="AD35" s="198"/>
      <c r="AE35" s="198"/>
      <c r="AF35" s="198"/>
      <c r="AG35" s="198"/>
      <c r="AH35" s="198"/>
      <c r="AP35" s="190"/>
      <c r="AQ35" s="26"/>
    </row>
    <row r="36" spans="2:43" s="12" customFormat="1" ht="11.25" customHeight="1" x14ac:dyDescent="0.2">
      <c r="B36" s="18" t="s">
        <v>14</v>
      </c>
      <c r="C36" s="7" t="s">
        <v>118</v>
      </c>
      <c r="O36" s="26">
        <f t="shared" ref="O36:Z36" si="6">O21/O16</f>
        <v>0.11883408071748879</v>
      </c>
      <c r="P36" s="26">
        <f t="shared" si="6"/>
        <v>0.13733905579399144</v>
      </c>
      <c r="Q36" s="26">
        <f t="shared" si="6"/>
        <v>0.11464847451203335</v>
      </c>
      <c r="R36" s="26">
        <f t="shared" si="6"/>
        <v>0.13896558071047305</v>
      </c>
      <c r="S36" s="26">
        <f t="shared" si="6"/>
        <v>0.12948960302457466</v>
      </c>
      <c r="T36" s="26">
        <f t="shared" si="6"/>
        <v>0.13419563459983833</v>
      </c>
      <c r="U36" s="26">
        <f t="shared" si="6"/>
        <v>0.13921444409249289</v>
      </c>
      <c r="V36" s="26">
        <f t="shared" si="6"/>
        <v>0.12682255845942228</v>
      </c>
      <c r="W36" s="26">
        <f t="shared" si="6"/>
        <v>0.1360027614773904</v>
      </c>
      <c r="X36" s="26">
        <f t="shared" si="6"/>
        <v>0.13280988974273303</v>
      </c>
      <c r="Y36" s="26">
        <f t="shared" si="6"/>
        <v>0.11930053930380781</v>
      </c>
      <c r="Z36" s="26">
        <f t="shared" si="6"/>
        <v>9.9627064464571119E-2</v>
      </c>
      <c r="AA36" s="26">
        <f t="shared" ref="AA36:AH37" si="7">AA21/AA16</f>
        <v>0.12124870645050018</v>
      </c>
      <c r="AB36" s="26">
        <f t="shared" si="7"/>
        <v>0.14393788572566193</v>
      </c>
      <c r="AC36" s="26">
        <f t="shared" si="7"/>
        <v>0.12630093490915506</v>
      </c>
      <c r="AD36" s="26">
        <f t="shared" si="7"/>
        <v>9.771517302573203E-2</v>
      </c>
      <c r="AE36" s="26">
        <f t="shared" si="7"/>
        <v>0.12700247729149464</v>
      </c>
      <c r="AF36" s="26">
        <f t="shared" si="7"/>
        <v>0.13041314086610251</v>
      </c>
      <c r="AG36" s="26">
        <f t="shared" si="7"/>
        <v>0.13183856502242153</v>
      </c>
      <c r="AH36" s="26">
        <f t="shared" si="7"/>
        <v>0.13609467455621302</v>
      </c>
      <c r="AP36" s="190">
        <f>($AE36-AA36)*100</f>
        <v>0.57537708409944599</v>
      </c>
      <c r="AQ36" s="190">
        <f>($AE36-AD36)*100</f>
        <v>2.9287304265762608</v>
      </c>
    </row>
    <row r="37" spans="2:43" s="12" customFormat="1" ht="11.25" customHeight="1" x14ac:dyDescent="0.2">
      <c r="B37" s="18" t="s">
        <v>16</v>
      </c>
      <c r="C37" s="7" t="s">
        <v>118</v>
      </c>
      <c r="O37" s="278"/>
      <c r="P37" s="278"/>
      <c r="Q37" s="26">
        <f t="shared" ref="Q37:Z37" si="8">Q22/Q17</f>
        <v>0.1276595744680851</v>
      </c>
      <c r="R37" s="26">
        <f t="shared" si="8"/>
        <v>0.12849162011173185</v>
      </c>
      <c r="S37" s="26">
        <f t="shared" si="8"/>
        <v>0.12455089820359282</v>
      </c>
      <c r="T37" s="26">
        <f t="shared" si="8"/>
        <v>0.13160621761658031</v>
      </c>
      <c r="U37" s="26">
        <f t="shared" si="8"/>
        <v>0.1437648927720413</v>
      </c>
      <c r="V37" s="26">
        <f t="shared" si="8"/>
        <v>0.13275613275613274</v>
      </c>
      <c r="W37" s="26">
        <f t="shared" si="8"/>
        <v>0.14084507042253522</v>
      </c>
      <c r="X37" s="26">
        <f t="shared" si="8"/>
        <v>0.13417521704814522</v>
      </c>
      <c r="Y37" s="26">
        <f t="shared" si="8"/>
        <v>0.13403614457831325</v>
      </c>
      <c r="Z37" s="26">
        <f t="shared" si="8"/>
        <v>0.12440191387559807</v>
      </c>
      <c r="AA37" s="26">
        <f t="shared" si="7"/>
        <v>0.13266162888329136</v>
      </c>
      <c r="AB37" s="26">
        <f t="shared" si="7"/>
        <v>0.14513677811550155</v>
      </c>
      <c r="AC37" s="26">
        <f t="shared" si="7"/>
        <v>0.13064628214037527</v>
      </c>
      <c r="AD37" s="26">
        <f t="shared" si="7"/>
        <v>6.7829457364341081E-2</v>
      </c>
      <c r="AE37" s="26">
        <f t="shared" si="7"/>
        <v>0.13395415472779371</v>
      </c>
      <c r="AF37" s="26">
        <f t="shared" si="7"/>
        <v>0.13541666666666669</v>
      </c>
      <c r="AG37" s="26" t="e">
        <f t="shared" si="7"/>
        <v>#DIV/0!</v>
      </c>
      <c r="AH37" s="26" t="e">
        <f t="shared" si="7"/>
        <v>#DIV/0!</v>
      </c>
      <c r="AP37" s="190">
        <f>($AE37-AA37)*100</f>
        <v>0.12925258445023458</v>
      </c>
      <c r="AQ37" s="190">
        <f>($AE37-AD37)*100</f>
        <v>6.6124697363452629</v>
      </c>
    </row>
    <row r="38" spans="2:43" s="12" customFormat="1" ht="11.25" customHeight="1" x14ac:dyDescent="0.2">
      <c r="B38" s="18" t="s">
        <v>596</v>
      </c>
      <c r="C38" s="7" t="s">
        <v>118</v>
      </c>
      <c r="O38" s="199"/>
      <c r="P38" s="199"/>
      <c r="Q38" s="199"/>
      <c r="R38" s="199"/>
      <c r="S38" s="199"/>
      <c r="T38" s="199"/>
      <c r="U38" s="199"/>
      <c r="V38" s="199"/>
      <c r="W38" s="199"/>
      <c r="X38" s="199"/>
      <c r="Y38" s="199"/>
      <c r="Z38" s="199"/>
      <c r="AA38" s="26">
        <f>AA23/AA18</f>
        <v>0.10615471485036704</v>
      </c>
      <c r="AB38" s="199"/>
      <c r="AC38" s="200"/>
      <c r="AD38" s="198"/>
      <c r="AE38" s="26">
        <f>AE23/AE18</f>
        <v>0.13584767484437935</v>
      </c>
      <c r="AF38" s="26" t="e">
        <f>AF23/AF18</f>
        <v>#DIV/0!</v>
      </c>
      <c r="AG38" s="26" t="e">
        <f>AG23/AG18</f>
        <v>#DIV/0!</v>
      </c>
      <c r="AH38" s="26" t="e">
        <f>AH23/AH18</f>
        <v>#DIV/0!</v>
      </c>
      <c r="AP38" s="190">
        <f>($AE38-AA38)*100</f>
        <v>2.9692959994012309</v>
      </c>
      <c r="AQ38" s="26"/>
    </row>
    <row r="39" spans="2:43" s="12" customFormat="1" ht="11.25" customHeight="1" x14ac:dyDescent="0.2">
      <c r="B39" s="66" t="s">
        <v>99</v>
      </c>
      <c r="C39" s="124"/>
    </row>
    <row r="40" spans="2:43" s="12" customFormat="1" ht="11.25" customHeight="1" x14ac:dyDescent="0.2">
      <c r="B40" s="18" t="s">
        <v>12</v>
      </c>
      <c r="C40" s="7" t="s">
        <v>118</v>
      </c>
      <c r="O40" s="26">
        <f t="shared" ref="O40:Z40" si="9">O25/O15</f>
        <v>0.10420711974110032</v>
      </c>
      <c r="P40" s="26">
        <f t="shared" si="9"/>
        <v>0.12580348943985309</v>
      </c>
      <c r="Q40" s="26">
        <f t="shared" si="9"/>
        <v>0.10656010656010655</v>
      </c>
      <c r="R40" s="26">
        <f t="shared" si="9"/>
        <v>0.10713090056913291</v>
      </c>
      <c r="S40" s="26">
        <f t="shared" si="9"/>
        <v>0.11386983741869343</v>
      </c>
      <c r="T40" s="26">
        <f t="shared" si="9"/>
        <v>0.1204518075106466</v>
      </c>
      <c r="U40" s="26">
        <f t="shared" si="9"/>
        <v>0.11206779727080425</v>
      </c>
      <c r="V40" s="26">
        <f t="shared" si="9"/>
        <v>9.9627235038135933E-2</v>
      </c>
      <c r="W40" s="26">
        <f t="shared" si="9"/>
        <v>0.11516539643833351</v>
      </c>
      <c r="X40" s="26">
        <f t="shared" si="9"/>
        <v>0.11975911125315769</v>
      </c>
      <c r="Y40" s="26">
        <f t="shared" si="9"/>
        <v>0.11072803637384009</v>
      </c>
      <c r="Z40" s="26">
        <f t="shared" si="9"/>
        <v>0.10333385286807759</v>
      </c>
      <c r="AA40" s="26">
        <f t="shared" ref="AA40:AH42" si="10">AA25/AA15</f>
        <v>0.11152476932075285</v>
      </c>
      <c r="AB40" s="26">
        <f t="shared" si="10"/>
        <v>0.13160584577209827</v>
      </c>
      <c r="AC40" s="26">
        <f t="shared" si="10"/>
        <v>0.11334500564353435</v>
      </c>
      <c r="AD40" s="26">
        <f t="shared" si="10"/>
        <v>0.12413108242303873</v>
      </c>
      <c r="AE40" s="26">
        <f t="shared" si="10"/>
        <v>0.12914390133665232</v>
      </c>
      <c r="AF40" s="26">
        <f t="shared" si="10"/>
        <v>0.12802641232575201</v>
      </c>
      <c r="AG40" s="26">
        <f t="shared" si="10"/>
        <v>0.13822652757078988</v>
      </c>
      <c r="AH40" s="26">
        <f t="shared" si="10"/>
        <v>0.12110605530276512</v>
      </c>
      <c r="AP40" s="190">
        <f>($AE40-AA40)*100</f>
        <v>1.7619132015899472</v>
      </c>
      <c r="AQ40" s="190">
        <f>($AE40-AD40)*100</f>
        <v>0.50128189136135903</v>
      </c>
    </row>
    <row r="41" spans="2:43" s="12" customFormat="1" ht="11.25" customHeight="1" x14ac:dyDescent="0.2">
      <c r="B41" s="18" t="s">
        <v>14</v>
      </c>
      <c r="C41" s="7" t="s">
        <v>118</v>
      </c>
      <c r="O41" s="26">
        <f t="shared" ref="O41:Z41" si="11">O26/O16</f>
        <v>8.688340807174888E-2</v>
      </c>
      <c r="P41" s="26">
        <f t="shared" si="11"/>
        <v>0.10696599537801255</v>
      </c>
      <c r="Q41" s="26">
        <f t="shared" si="11"/>
        <v>6.651506537805571E-2</v>
      </c>
      <c r="R41" s="26">
        <f t="shared" si="11"/>
        <v>9.1662065157371617E-2</v>
      </c>
      <c r="S41" s="26">
        <f t="shared" si="11"/>
        <v>9.0264650283553891E-2</v>
      </c>
      <c r="T41" s="26">
        <f t="shared" si="11"/>
        <v>8.7105901374292638E-2</v>
      </c>
      <c r="U41" s="26">
        <f t="shared" si="11"/>
        <v>8.6791257522964835E-2</v>
      </c>
      <c r="V41" s="26">
        <f t="shared" si="11"/>
        <v>7.3039889958734533E-2</v>
      </c>
      <c r="W41" s="26">
        <f t="shared" si="11"/>
        <v>9.026579219882637E-2</v>
      </c>
      <c r="X41" s="26">
        <f t="shared" si="11"/>
        <v>9.2215168727029742E-2</v>
      </c>
      <c r="Y41" s="26">
        <f t="shared" si="11"/>
        <v>7.7627063245628375E-2</v>
      </c>
      <c r="Z41" s="26">
        <f t="shared" si="11"/>
        <v>6.1481086840703254E-2</v>
      </c>
      <c r="AA41" s="26">
        <f t="shared" si="10"/>
        <v>8.7443946188340824E-2</v>
      </c>
      <c r="AB41" s="26">
        <f t="shared" si="10"/>
        <v>0.11069082221779813</v>
      </c>
      <c r="AC41" s="26">
        <f t="shared" si="10"/>
        <v>9.3138119597812666E-2</v>
      </c>
      <c r="AD41" s="26">
        <f t="shared" si="10"/>
        <v>6.5993788819875776E-2</v>
      </c>
      <c r="AE41" s="26">
        <f t="shared" si="10"/>
        <v>0.10041288191577208</v>
      </c>
      <c r="AF41" s="26">
        <f t="shared" si="10"/>
        <v>9.9717935954869746E-2</v>
      </c>
      <c r="AG41" s="26">
        <f t="shared" si="10"/>
        <v>0.10152466367713005</v>
      </c>
      <c r="AH41" s="26">
        <f t="shared" si="10"/>
        <v>0.10228233305156383</v>
      </c>
      <c r="AP41" s="190">
        <f>($AE41-AA41)*100</f>
        <v>1.2968935727431254</v>
      </c>
      <c r="AQ41" s="190">
        <f>($AE41-AD41)*100</f>
        <v>3.4419093095896303</v>
      </c>
    </row>
    <row r="42" spans="2:43" s="12" customFormat="1" ht="11.25" customHeight="1" x14ac:dyDescent="0.2">
      <c r="B42" s="18" t="s">
        <v>16</v>
      </c>
      <c r="C42" s="7" t="s">
        <v>118</v>
      </c>
      <c r="O42" s="278"/>
      <c r="P42" s="278"/>
      <c r="Q42" s="26">
        <f t="shared" ref="Q42:Z42" si="12">Q27/Q17</f>
        <v>0.10505319148936171</v>
      </c>
      <c r="R42" s="26">
        <f t="shared" si="12"/>
        <v>0.10167597765363127</v>
      </c>
      <c r="S42" s="26">
        <f t="shared" si="12"/>
        <v>0.10179640718562874</v>
      </c>
      <c r="T42" s="26">
        <f t="shared" si="12"/>
        <v>0.10466321243523316</v>
      </c>
      <c r="U42" s="26">
        <f t="shared" si="12"/>
        <v>0.11755361397934869</v>
      </c>
      <c r="V42" s="26">
        <f t="shared" si="12"/>
        <v>9.9567099567099582E-2</v>
      </c>
      <c r="W42" s="26">
        <f t="shared" si="12"/>
        <v>0.10936205468102733</v>
      </c>
      <c r="X42" s="26">
        <f t="shared" si="12"/>
        <v>0.10102604577742699</v>
      </c>
      <c r="Y42" s="26">
        <f t="shared" si="12"/>
        <v>0.10165662650602408</v>
      </c>
      <c r="Z42" s="26">
        <f t="shared" si="12"/>
        <v>9.3643198906356792E-2</v>
      </c>
      <c r="AA42" s="26">
        <f t="shared" si="10"/>
        <v>0.10075566750629723</v>
      </c>
      <c r="AB42" s="26">
        <f t="shared" si="10"/>
        <v>0.11322188449848025</v>
      </c>
      <c r="AC42" s="26">
        <f t="shared" si="10"/>
        <v>0.10076441973592773</v>
      </c>
      <c r="AD42" s="26">
        <f t="shared" si="10"/>
        <v>0.10465116279069767</v>
      </c>
      <c r="AE42" s="26">
        <f t="shared" si="10"/>
        <v>0.11389684813753582</v>
      </c>
      <c r="AF42" s="26">
        <f t="shared" si="10"/>
        <v>0.11263020833333334</v>
      </c>
      <c r="AG42" s="26" t="e">
        <f t="shared" si="10"/>
        <v>#DIV/0!</v>
      </c>
      <c r="AH42" s="26" t="e">
        <f t="shared" si="10"/>
        <v>#DIV/0!</v>
      </c>
      <c r="AP42" s="190">
        <f>($AE42-AA42)*100</f>
        <v>1.3141180631238591</v>
      </c>
      <c r="AQ42" s="190">
        <f>($AE42-AD42)*100</f>
        <v>0.92456853468381595</v>
      </c>
    </row>
    <row r="43" spans="2:43" s="12" customFormat="1" ht="11.25" customHeight="1" x14ac:dyDescent="0.2">
      <c r="B43" s="18" t="s">
        <v>596</v>
      </c>
      <c r="C43" s="7" t="s">
        <v>118</v>
      </c>
      <c r="O43" s="199"/>
      <c r="P43" s="199"/>
      <c r="Q43" s="199"/>
      <c r="R43" s="199"/>
      <c r="S43" s="199"/>
      <c r="T43" s="199"/>
      <c r="U43" s="199"/>
      <c r="V43" s="199"/>
      <c r="W43" s="199"/>
      <c r="X43" s="199"/>
      <c r="Y43" s="199"/>
      <c r="Z43" s="199"/>
      <c r="AA43" s="26">
        <f>AA28/AA18</f>
        <v>4.2348955392433656E-2</v>
      </c>
      <c r="AB43" s="199"/>
      <c r="AC43" s="200"/>
      <c r="AD43" s="198"/>
      <c r="AE43" s="26">
        <f>AE28/AE18</f>
        <v>8.5316733797143898E-2</v>
      </c>
      <c r="AF43" s="26" t="e">
        <f>AF28/AF18</f>
        <v>#DIV/0!</v>
      </c>
      <c r="AG43" s="26" t="e">
        <f>AG28/AG18</f>
        <v>#DIV/0!</v>
      </c>
      <c r="AH43" s="26" t="e">
        <f>AH28/AH18</f>
        <v>#DIV/0!</v>
      </c>
      <c r="AP43" s="190">
        <f>($AE43-AA43)*100</f>
        <v>4.296777840471024</v>
      </c>
      <c r="AQ43" s="26"/>
    </row>
    <row r="44" spans="2:43" s="12" customFormat="1" ht="11.25" customHeight="1" x14ac:dyDescent="0.2">
      <c r="B44" s="66" t="s">
        <v>732</v>
      </c>
      <c r="C44" s="7"/>
      <c r="AE44" s="32"/>
    </row>
    <row r="45" spans="2:43" s="12" customFormat="1" ht="11.25" customHeight="1" x14ac:dyDescent="0.2">
      <c r="B45" s="18" t="s">
        <v>12</v>
      </c>
      <c r="C45" s="7"/>
      <c r="O45" s="26"/>
      <c r="P45" s="26"/>
      <c r="Q45" s="26"/>
      <c r="R45" s="26"/>
      <c r="S45" s="26">
        <f>'SBET QTR'!S41</f>
        <v>0.10731698569138218</v>
      </c>
      <c r="T45" s="26">
        <f>'SBET QTR'!T41</f>
        <v>0.15982187383247415</v>
      </c>
      <c r="U45" s="26">
        <f>'SBET QTR'!U41</f>
        <v>0.12749179960418763</v>
      </c>
      <c r="V45" s="26">
        <f>'SBET QTR'!V41</f>
        <v>0.12433990335498753</v>
      </c>
      <c r="W45" s="26">
        <f>'SBET QTR'!W41</f>
        <v>0.1187329401162595</v>
      </c>
      <c r="X45" s="26">
        <f>'SBET QTR'!X41</f>
        <v>0.13270821789957751</v>
      </c>
      <c r="Y45" s="26">
        <f>'SBET QTR'!Y41</f>
        <v>0.16729703181986272</v>
      </c>
      <c r="Z45" s="26">
        <f>'SBET QTR'!Z41</f>
        <v>0.17042412295161902</v>
      </c>
      <c r="AA45" s="26">
        <f>'SBET QTR'!AA41</f>
        <v>0.149771785706242</v>
      </c>
      <c r="AB45" s="26">
        <f>'SBET QTR'!AB41</f>
        <v>0.14536131497312263</v>
      </c>
      <c r="AC45" s="26">
        <f>'SBET QTR'!AC41</f>
        <v>0.17578651260196659</v>
      </c>
      <c r="AD45" s="26">
        <f>'SBET QTR'!AD41</f>
        <v>0.15466666666666667</v>
      </c>
      <c r="AE45" s="26">
        <f>'SBET QTR'!AE41</f>
        <v>0.14264808033218318</v>
      </c>
      <c r="AF45" s="26">
        <f>'SBET QTR'!AF41</f>
        <v>0.16045845272206305</v>
      </c>
      <c r="AG45" s="26">
        <f>'SBET QTR'!AG41</f>
        <v>0.16172506738544473</v>
      </c>
      <c r="AH45" s="26">
        <f>'SBET QTR'!AH41</f>
        <v>0.17341040462427745</v>
      </c>
    </row>
    <row r="46" spans="2:43" s="12" customFormat="1" ht="11.25" customHeight="1" x14ac:dyDescent="0.2">
      <c r="C46" s="7"/>
      <c r="AE46" s="32"/>
    </row>
    <row r="47" spans="2:43" s="12" customFormat="1" ht="11.25" customHeight="1" x14ac:dyDescent="0.2">
      <c r="C47" s="7"/>
      <c r="AE47" s="32"/>
    </row>
    <row r="48" spans="2:43" s="12" customFormat="1" ht="11.25" customHeight="1" x14ac:dyDescent="0.2">
      <c r="C48" s="7"/>
      <c r="O48" s="238">
        <f>O15/$O15</f>
        <v>1</v>
      </c>
      <c r="P48" s="238">
        <f t="shared" ref="P48:AG48" si="13">P15/$O15</f>
        <v>1.3674696606346162</v>
      </c>
      <c r="Q48" s="238">
        <f t="shared" si="13"/>
        <v>1.8045078911409582</v>
      </c>
      <c r="R48" s="238">
        <f t="shared" si="13"/>
        <v>1.7954585196241273</v>
      </c>
      <c r="S48" s="238">
        <f t="shared" si="13"/>
        <v>1.4549657242540892</v>
      </c>
      <c r="T48" s="238">
        <f t="shared" si="13"/>
        <v>1.5389653754936372</v>
      </c>
      <c r="U48" s="238">
        <f t="shared" si="13"/>
        <v>2.0743475539316494</v>
      </c>
      <c r="V48" s="238">
        <f t="shared" si="13"/>
        <v>2.0831648413384007</v>
      </c>
      <c r="W48" s="238">
        <f t="shared" si="13"/>
        <v>1.5553912146524069</v>
      </c>
      <c r="X48" s="238">
        <f t="shared" si="13"/>
        <v>1.5728987277657012</v>
      </c>
      <c r="Y48" s="238">
        <f t="shared" si="13"/>
        <v>1.6442958712118154</v>
      </c>
      <c r="Z48" s="238">
        <f t="shared" si="13"/>
        <v>1.9061247526223906</v>
      </c>
      <c r="AA48" s="238">
        <f t="shared" si="13"/>
        <v>1.5295940000061259</v>
      </c>
      <c r="AB48" s="238">
        <f t="shared" si="13"/>
        <v>1.4738615472898371</v>
      </c>
      <c r="AC48" s="238">
        <f t="shared" si="13"/>
        <v>1.4879101481778951</v>
      </c>
      <c r="AD48" s="238">
        <f t="shared" si="13"/>
        <v>1.5431169105888447</v>
      </c>
      <c r="AE48" s="238">
        <f t="shared" si="13"/>
        <v>1.2879637412960856</v>
      </c>
      <c r="AF48" s="238">
        <f t="shared" si="13"/>
        <v>1.3760506781592596</v>
      </c>
      <c r="AG48" s="238">
        <f t="shared" si="13"/>
        <v>1.3331245983085935</v>
      </c>
      <c r="AH48" s="238">
        <f>AH15/$O15</f>
        <v>1.457018816765586</v>
      </c>
    </row>
    <row r="49" spans="2:34" s="12" customFormat="1" ht="11.25" customHeight="1" x14ac:dyDescent="0.2">
      <c r="C49" s="7"/>
      <c r="O49" s="238">
        <f>O25/$O25</f>
        <v>1</v>
      </c>
      <c r="P49" s="238">
        <f t="shared" ref="P49:AG49" si="14">P25/$O25</f>
        <v>1.6508704533661065</v>
      </c>
      <c r="Q49" s="238">
        <f t="shared" si="14"/>
        <v>1.8452535071141893</v>
      </c>
      <c r="R49" s="238">
        <f t="shared" si="14"/>
        <v>1.8458344172619001</v>
      </c>
      <c r="S49" s="238">
        <f t="shared" si="14"/>
        <v>1.5898789917829399</v>
      </c>
      <c r="T49" s="238">
        <f t="shared" si="14"/>
        <v>1.778872323072157</v>
      </c>
      <c r="U49" s="238">
        <f t="shared" si="14"/>
        <v>2.2308222482375477</v>
      </c>
      <c r="V49" s="238">
        <f t="shared" si="14"/>
        <v>1.991610110583895</v>
      </c>
      <c r="W49" s="238">
        <f t="shared" si="14"/>
        <v>1.7189540052271108</v>
      </c>
      <c r="X49" s="238">
        <f t="shared" si="14"/>
        <v>1.8076399596921995</v>
      </c>
      <c r="Y49" s="238">
        <f t="shared" si="14"/>
        <v>1.7471901487081107</v>
      </c>
      <c r="Z49" s="238">
        <f t="shared" si="14"/>
        <v>1.8901512221529819</v>
      </c>
      <c r="AA49" s="238">
        <f t="shared" si="14"/>
        <v>1.6370054025954368</v>
      </c>
      <c r="AB49" s="238">
        <f t="shared" si="14"/>
        <v>1.8613775715513725</v>
      </c>
      <c r="AC49" s="238">
        <f t="shared" si="14"/>
        <v>1.6183844689431468</v>
      </c>
      <c r="AD49" s="238">
        <f t="shared" si="14"/>
        <v>1.8381543688433799</v>
      </c>
      <c r="AE49" s="238">
        <f t="shared" si="14"/>
        <v>1.5961736851030535</v>
      </c>
      <c r="AF49" s="238">
        <f t="shared" si="14"/>
        <v>1.6905834451699611</v>
      </c>
      <c r="AG49" s="238">
        <f t="shared" si="14"/>
        <v>1.768335834453755</v>
      </c>
      <c r="AH49" s="238">
        <f>AH25/$O25</f>
        <v>1.6932989016372104</v>
      </c>
    </row>
    <row r="50" spans="2:34" s="12" customFormat="1" ht="11.25" customHeight="1" x14ac:dyDescent="0.2">
      <c r="C50" s="7"/>
      <c r="AE50" s="32"/>
    </row>
    <row r="51" spans="2:34" s="12" customFormat="1" ht="11.25" customHeight="1" x14ac:dyDescent="0.2">
      <c r="C51" s="7"/>
      <c r="O51" s="238">
        <f>O16/$O16</f>
        <v>1</v>
      </c>
      <c r="P51" s="238">
        <f t="shared" ref="P51:AG51" si="15">P16/$O16</f>
        <v>1.6978699551569505</v>
      </c>
      <c r="Q51" s="238">
        <f t="shared" si="15"/>
        <v>2.9579596412556057</v>
      </c>
      <c r="R51" s="238">
        <f t="shared" si="15"/>
        <v>3.0454035874439458</v>
      </c>
      <c r="S51" s="238">
        <f t="shared" si="15"/>
        <v>2.3721973094170403</v>
      </c>
      <c r="T51" s="238">
        <f t="shared" si="15"/>
        <v>2.7735426008968611</v>
      </c>
      <c r="U51" s="238">
        <f t="shared" si="15"/>
        <v>3.5392376681614346</v>
      </c>
      <c r="V51" s="238">
        <f t="shared" si="15"/>
        <v>4.0751121076233181</v>
      </c>
      <c r="W51" s="238">
        <f t="shared" si="15"/>
        <v>3.2477578475336322</v>
      </c>
      <c r="X51" s="238">
        <f t="shared" si="15"/>
        <v>3.3553811659192827</v>
      </c>
      <c r="Y51" s="238">
        <f t="shared" si="15"/>
        <v>3.4299327354260085</v>
      </c>
      <c r="Z51" s="238">
        <f t="shared" si="15"/>
        <v>5.2606502242152464</v>
      </c>
      <c r="AA51" s="238">
        <f t="shared" si="15"/>
        <v>3.2499999999999996</v>
      </c>
      <c r="AB51" s="238">
        <f t="shared" si="15"/>
        <v>2.8155829596412554</v>
      </c>
      <c r="AC51" s="238">
        <f t="shared" si="15"/>
        <v>3.1776905829596411</v>
      </c>
      <c r="AD51" s="238">
        <f t="shared" si="15"/>
        <v>5.0538116591928253</v>
      </c>
      <c r="AE51" s="238">
        <f t="shared" si="15"/>
        <v>3.3940582959641254</v>
      </c>
      <c r="AF51" s="238">
        <f t="shared" si="15"/>
        <v>3.3783632286995515</v>
      </c>
      <c r="AG51" s="238">
        <f t="shared" si="15"/>
        <v>3.125</v>
      </c>
      <c r="AH51" s="238">
        <f>AH16/$O16</f>
        <v>3.3155829596412554</v>
      </c>
    </row>
    <row r="52" spans="2:34" s="12" customFormat="1" ht="11.25" customHeight="1" x14ac:dyDescent="0.2">
      <c r="C52" s="7"/>
      <c r="O52" s="238">
        <f>O26/$O26</f>
        <v>1</v>
      </c>
      <c r="P52" s="238">
        <f t="shared" ref="P52:AG52" si="16">P26/$O26</f>
        <v>2.0903225806451613</v>
      </c>
      <c r="Q52" s="238">
        <f t="shared" si="16"/>
        <v>2.2645161290322582</v>
      </c>
      <c r="R52" s="238">
        <f t="shared" si="16"/>
        <v>3.2129032258064516</v>
      </c>
      <c r="S52" s="238">
        <f t="shared" si="16"/>
        <v>2.4645161290322584</v>
      </c>
      <c r="T52" s="238">
        <f t="shared" si="16"/>
        <v>2.7806451612903227</v>
      </c>
      <c r="U52" s="238">
        <f t="shared" si="16"/>
        <v>3.5354838709677416</v>
      </c>
      <c r="V52" s="238">
        <f t="shared" si="16"/>
        <v>3.4258064516129032</v>
      </c>
      <c r="W52" s="238">
        <f t="shared" si="16"/>
        <v>3.3741935483870966</v>
      </c>
      <c r="X52" s="238">
        <f t="shared" si="16"/>
        <v>3.5612903225806454</v>
      </c>
      <c r="Y52" s="238">
        <f t="shared" si="16"/>
        <v>3.064516129032258</v>
      </c>
      <c r="Z52" s="238">
        <f t="shared" si="16"/>
        <v>3.7225806451612904</v>
      </c>
      <c r="AA52" s="238">
        <f t="shared" si="16"/>
        <v>3.2709677419354839</v>
      </c>
      <c r="AB52" s="238">
        <f t="shared" si="16"/>
        <v>3.5870967741935487</v>
      </c>
      <c r="AC52" s="238">
        <f t="shared" si="16"/>
        <v>3.4064516129032256</v>
      </c>
      <c r="AD52" s="238">
        <f t="shared" si="16"/>
        <v>3.838709677419355</v>
      </c>
      <c r="AE52" s="238">
        <f t="shared" si="16"/>
        <v>3.9225806451612901</v>
      </c>
      <c r="AF52" s="238">
        <f t="shared" si="16"/>
        <v>3.8774193548387097</v>
      </c>
      <c r="AG52" s="238">
        <f t="shared" si="16"/>
        <v>3.6516129032258067</v>
      </c>
      <c r="AH52" s="238">
        <f>AH26/$O26</f>
        <v>3.903225806451613</v>
      </c>
    </row>
    <row r="53" spans="2:34" s="12" customFormat="1" ht="11.25" customHeight="1" x14ac:dyDescent="0.2">
      <c r="C53" s="7"/>
      <c r="AE53" s="32"/>
    </row>
    <row r="54" spans="2:34" s="12" customFormat="1" ht="11.25" customHeight="1" x14ac:dyDescent="0.2">
      <c r="C54" s="7"/>
      <c r="AE54" s="32"/>
    </row>
    <row r="55" spans="2:34" s="12" customFormat="1" ht="11.25" customHeight="1" x14ac:dyDescent="0.2">
      <c r="C55" s="7"/>
      <c r="AE55" s="32"/>
    </row>
    <row r="56" spans="2:34" s="12" customFormat="1" ht="11.25" customHeight="1" x14ac:dyDescent="0.2">
      <c r="C56" s="7"/>
      <c r="AE56" s="32"/>
    </row>
    <row r="57" spans="2:34" s="12" customFormat="1" ht="11.25" customHeight="1" x14ac:dyDescent="0.2">
      <c r="C57" s="7"/>
      <c r="O57" s="201">
        <v>43921</v>
      </c>
      <c r="P57" s="201">
        <f t="shared" ref="P57:S60" si="17">EOMONTH(O57,12)</f>
        <v>44286</v>
      </c>
      <c r="Q57" s="201">
        <f t="shared" si="17"/>
        <v>44651</v>
      </c>
      <c r="R57" s="201">
        <f t="shared" si="17"/>
        <v>45016</v>
      </c>
      <c r="S57" s="201">
        <f t="shared" si="17"/>
        <v>45382</v>
      </c>
      <c r="T57" s="201"/>
      <c r="U57" s="201"/>
      <c r="AE57" s="26"/>
    </row>
    <row r="58" spans="2:34" s="12" customFormat="1" ht="11.25" customHeight="1" x14ac:dyDescent="0.2">
      <c r="C58" s="12" t="s">
        <v>12</v>
      </c>
      <c r="D58" s="12" t="s">
        <v>14</v>
      </c>
      <c r="E58" s="12" t="s">
        <v>16</v>
      </c>
      <c r="F58" s="12" t="s">
        <v>596</v>
      </c>
      <c r="O58" s="201">
        <f>EOMONTH(O57,3)</f>
        <v>44012</v>
      </c>
      <c r="P58" s="201">
        <f t="shared" si="17"/>
        <v>44377</v>
      </c>
      <c r="Q58" s="201">
        <f t="shared" si="17"/>
        <v>44742</v>
      </c>
      <c r="R58" s="201">
        <f t="shared" si="17"/>
        <v>45107</v>
      </c>
      <c r="S58" s="201">
        <f t="shared" si="17"/>
        <v>45473</v>
      </c>
      <c r="T58" s="201"/>
      <c r="U58" s="201"/>
    </row>
    <row r="59" spans="2:34" s="12" customFormat="1" ht="11.25" customHeight="1" x14ac:dyDescent="0.2">
      <c r="B59" s="12" t="s">
        <v>9</v>
      </c>
      <c r="C59" s="192">
        <v>-0.15480857980834317</v>
      </c>
      <c r="D59" s="192">
        <v>4.4325629527423249E-2</v>
      </c>
      <c r="E59" s="192">
        <v>0.17212426532325775</v>
      </c>
      <c r="F59" s="192">
        <v>-0.22896668548842458</v>
      </c>
      <c r="G59" s="192"/>
      <c r="H59" s="192"/>
      <c r="I59" s="192"/>
      <c r="J59" s="192"/>
      <c r="K59" s="192"/>
      <c r="L59" s="192"/>
      <c r="M59" s="192"/>
      <c r="N59" s="192"/>
      <c r="O59" s="201">
        <f>EOMONTH(O58,3)</f>
        <v>44104</v>
      </c>
      <c r="P59" s="201">
        <f t="shared" si="17"/>
        <v>44469</v>
      </c>
      <c r="Q59" s="201">
        <f t="shared" si="17"/>
        <v>44834</v>
      </c>
      <c r="R59" s="201">
        <f t="shared" si="17"/>
        <v>45199</v>
      </c>
      <c r="S59" s="201">
        <f t="shared" si="17"/>
        <v>45565</v>
      </c>
      <c r="T59" s="201"/>
      <c r="U59" s="201"/>
      <c r="V59" s="192"/>
      <c r="W59" s="192"/>
      <c r="X59" s="192"/>
      <c r="Y59" s="192"/>
      <c r="Z59" s="192"/>
      <c r="AB59" s="192"/>
      <c r="AC59" s="192"/>
      <c r="AD59" s="192"/>
    </row>
    <row r="60" spans="2:34" s="12" customFormat="1" ht="11.25" customHeight="1" x14ac:dyDescent="0.2">
      <c r="B60" s="12" t="s">
        <v>96</v>
      </c>
      <c r="C60" s="192"/>
      <c r="D60" s="192">
        <v>9.3883357041251836E-2</v>
      </c>
      <c r="E60" s="192">
        <v>0.18354430379746822</v>
      </c>
      <c r="F60" s="192">
        <v>-1.3297872340425565E-2</v>
      </c>
      <c r="G60" s="192"/>
      <c r="H60" s="192"/>
      <c r="I60" s="192"/>
      <c r="J60" s="192"/>
      <c r="K60" s="192"/>
      <c r="L60" s="192"/>
      <c r="M60" s="192"/>
      <c r="N60" s="192"/>
      <c r="O60" s="201">
        <f>EOMONTH(O59,3)</f>
        <v>44196</v>
      </c>
      <c r="P60" s="201">
        <f t="shared" si="17"/>
        <v>44561</v>
      </c>
      <c r="Q60" s="201">
        <f t="shared" si="17"/>
        <v>44926</v>
      </c>
      <c r="R60" s="201">
        <f t="shared" si="17"/>
        <v>45291</v>
      </c>
      <c r="S60" s="201">
        <f t="shared" si="17"/>
        <v>45657</v>
      </c>
      <c r="T60" s="201"/>
      <c r="U60" s="201"/>
      <c r="V60" s="192"/>
      <c r="W60" s="192"/>
      <c r="X60" s="192"/>
      <c r="Y60" s="192"/>
      <c r="Z60" s="192"/>
      <c r="AB60" s="192"/>
      <c r="AC60" s="192"/>
      <c r="AD60" s="192"/>
    </row>
    <row r="61" spans="2:34" s="12" customFormat="1" ht="11.25" customHeight="1" x14ac:dyDescent="0.2">
      <c r="B61" s="12" t="s">
        <v>98</v>
      </c>
      <c r="C61" s="192">
        <v>-2.6520596386395257E-2</v>
      </c>
      <c r="D61" s="192">
        <v>0.19921104536489143</v>
      </c>
      <c r="E61" s="192">
        <v>0.32499999999999996</v>
      </c>
      <c r="F61" s="192">
        <v>0.55333333333333345</v>
      </c>
      <c r="G61" s="192"/>
      <c r="H61" s="192"/>
      <c r="I61" s="192"/>
      <c r="J61" s="192"/>
      <c r="K61" s="192"/>
      <c r="L61" s="192"/>
      <c r="M61" s="192"/>
      <c r="N61" s="192"/>
      <c r="O61" s="192"/>
      <c r="P61" s="192"/>
      <c r="Q61" s="192"/>
      <c r="R61" s="192"/>
      <c r="S61" s="192"/>
      <c r="T61" s="192"/>
      <c r="U61" s="192"/>
      <c r="V61" s="192"/>
      <c r="W61" s="192"/>
      <c r="X61" s="192"/>
      <c r="Y61" s="192"/>
      <c r="Z61" s="192"/>
      <c r="AB61" s="192"/>
      <c r="AC61" s="192"/>
      <c r="AD61" s="192"/>
    </row>
    <row r="62" spans="2:34" s="12" customFormat="1" ht="11.25" customHeight="1" x14ac:dyDescent="0.2">
      <c r="B62" s="12" t="s">
        <v>100</v>
      </c>
      <c r="C62" s="192"/>
      <c r="D62" s="192">
        <v>-7.1639207910810132E-2</v>
      </c>
      <c r="E62" s="192">
        <v>7.3101175575905453E-2</v>
      </c>
      <c r="F62" s="192"/>
      <c r="G62" s="192"/>
      <c r="H62" s="192"/>
      <c r="I62" s="192"/>
      <c r="J62" s="192"/>
      <c r="K62" s="192"/>
      <c r="L62" s="192"/>
      <c r="M62" s="192"/>
      <c r="O62" s="7">
        <v>2020</v>
      </c>
      <c r="P62" s="7">
        <v>2021</v>
      </c>
      <c r="Q62" s="7">
        <v>2022</v>
      </c>
      <c r="R62" s="7">
        <v>2023</v>
      </c>
      <c r="S62" s="7">
        <v>2024</v>
      </c>
      <c r="T62" s="192"/>
      <c r="U62" s="192"/>
      <c r="V62" s="192"/>
      <c r="W62" s="192"/>
      <c r="X62" s="192"/>
      <c r="Y62" s="192"/>
      <c r="Z62" s="192"/>
      <c r="AB62" s="192"/>
      <c r="AC62" s="192"/>
      <c r="AD62" s="192"/>
      <c r="AE62" s="192"/>
    </row>
    <row r="63" spans="2:34" s="12" customFormat="1" ht="11.25" customHeight="1" x14ac:dyDescent="0.2">
      <c r="C63" s="7"/>
      <c r="N63" s="192" t="s">
        <v>602</v>
      </c>
      <c r="O63" s="189">
        <f t="shared" ref="O63:S65" si="18">_xlfn.XLOOKUP(O57,$O$11:$AN$11,$O$15:$AN$15)</f>
        <v>3005.7915924634472</v>
      </c>
      <c r="P63" s="189">
        <f t="shared" si="18"/>
        <v>4373.3237412854314</v>
      </c>
      <c r="Q63" s="189">
        <f t="shared" si="18"/>
        <v>4675.1818359937133</v>
      </c>
      <c r="R63" s="189">
        <f t="shared" si="18"/>
        <v>4597.6407851009471</v>
      </c>
      <c r="S63" s="189">
        <f t="shared" si="18"/>
        <v>3871.3505849855401</v>
      </c>
    </row>
    <row r="64" spans="2:34" s="12" customFormat="1" ht="11.25" customHeight="1" x14ac:dyDescent="0.2">
      <c r="C64" s="12" t="s">
        <v>12</v>
      </c>
      <c r="D64" s="12" t="s">
        <v>14</v>
      </c>
      <c r="N64" s="7" t="s">
        <v>603</v>
      </c>
      <c r="O64" s="189">
        <f t="shared" si="18"/>
        <v>4110.3288088843728</v>
      </c>
      <c r="P64" s="189">
        <f t="shared" si="18"/>
        <v>4625.8091867511266</v>
      </c>
      <c r="Q64" s="189">
        <f t="shared" si="18"/>
        <v>4727.8057717145966</v>
      </c>
      <c r="R64" s="189">
        <f t="shared" si="18"/>
        <v>4430.1206472989597</v>
      </c>
      <c r="S64" s="189">
        <f t="shared" si="18"/>
        <v>4136.1215592147273</v>
      </c>
    </row>
    <row r="65" spans="2:19" s="12" customFormat="1" ht="11.25" customHeight="1" x14ac:dyDescent="0.2">
      <c r="B65" s="12" t="s">
        <v>9</v>
      </c>
      <c r="C65" s="192">
        <v>-8.3231976891655846E-2</v>
      </c>
      <c r="D65" s="192">
        <v>-1.6581407655671176E-2</v>
      </c>
      <c r="E65" s="192"/>
      <c r="F65" s="192"/>
      <c r="N65" s="7" t="s">
        <v>604</v>
      </c>
      <c r="O65" s="189">
        <f t="shared" si="18"/>
        <v>5423.9746477254375</v>
      </c>
      <c r="P65" s="189">
        <f t="shared" si="18"/>
        <v>6235.0564374548685</v>
      </c>
      <c r="Q65" s="189">
        <f t="shared" si="18"/>
        <v>4942.4107052108338</v>
      </c>
      <c r="R65" s="189">
        <f t="shared" si="18"/>
        <v>4472.347813734159</v>
      </c>
      <c r="S65" s="189">
        <f t="shared" si="18"/>
        <v>4007.0947093021809</v>
      </c>
    </row>
    <row r="66" spans="2:19" s="12" customFormat="1" ht="11.25" customHeight="1" x14ac:dyDescent="0.2">
      <c r="B66" s="12" t="s">
        <v>98</v>
      </c>
      <c r="C66" s="192">
        <v>0.11801715216935782</v>
      </c>
      <c r="D66" s="192">
        <v>7.1969696969697017E-2</v>
      </c>
      <c r="E66" s="192"/>
      <c r="F66" s="192"/>
      <c r="N66" s="7" t="s">
        <v>605</v>
      </c>
      <c r="O66" s="189">
        <f>_xlfn.XLOOKUP(O60,$O$11:$AN$11,$O$15:$AN$15)</f>
        <v>5396.7741229030689</v>
      </c>
      <c r="P66" s="189">
        <f>_xlfn.XLOOKUP(P60,$O$11:$AN$11,$O$15:$AN$15)</f>
        <v>6261.5593658104162</v>
      </c>
      <c r="Q66" s="189">
        <f>_xlfn.XLOOKUP(Q60,$O$11:$AN$11,$O$15:$AN$15)</f>
        <v>5729.4137556188498</v>
      </c>
      <c r="R66" s="189">
        <f>_xlfn.XLOOKUP(R60,$O$11:$AN$11,$O$15:$AN$15)</f>
        <v>4638.2878360361183</v>
      </c>
      <c r="S66" s="189"/>
    </row>
    <row r="67" spans="2:19" s="12" customFormat="1" ht="11.25" customHeight="1" x14ac:dyDescent="0.2">
      <c r="B67" s="12" t="s">
        <v>39</v>
      </c>
      <c r="C67" s="192">
        <v>0.1428105785509115</v>
      </c>
      <c r="D67" s="192"/>
      <c r="E67" s="192"/>
      <c r="F67" s="192"/>
    </row>
    <row r="68" spans="2:19" s="12" customFormat="1" ht="11.25" customHeight="1" x14ac:dyDescent="0.2">
      <c r="B68" s="12" t="s">
        <v>731</v>
      </c>
      <c r="C68" s="192">
        <v>6.4951040721995978E-2</v>
      </c>
      <c r="D68" s="192">
        <v>1.3980511498726145E-2</v>
      </c>
      <c r="E68" s="192"/>
      <c r="F68" s="192"/>
      <c r="O68" s="7">
        <v>2020</v>
      </c>
      <c r="P68" s="7">
        <v>2021</v>
      </c>
      <c r="Q68" s="7">
        <v>2022</v>
      </c>
      <c r="R68" s="7">
        <v>2023</v>
      </c>
      <c r="S68" s="7">
        <v>2024</v>
      </c>
    </row>
    <row r="69" spans="2:19" s="12" customFormat="1" ht="11.25" customHeight="1" x14ac:dyDescent="0.2">
      <c r="C69" s="7"/>
      <c r="N69" s="192" t="s">
        <v>602</v>
      </c>
      <c r="O69" s="189">
        <f>_xlfn.XLOOKUP(O57,$O$11:$AN$11,$O$25:$AN$25)</f>
        <v>313.22488439263105</v>
      </c>
      <c r="P69" s="189">
        <f>_xlfn.XLOOKUP(P57,$O$11:$AN$11,$O$25:$AN$25)</f>
        <v>497.98966339948419</v>
      </c>
      <c r="Q69" s="189">
        <f>_xlfn.XLOOKUP(Q57,$O$11:$AN$11,$O$25:$AN$25)</f>
        <v>538.4191695635119</v>
      </c>
      <c r="R69" s="189">
        <f>_xlfn.XLOOKUP(R57,$O$11:$AN$11,$O$25:$AN$25)</f>
        <v>512.75082797806817</v>
      </c>
      <c r="S69" s="189">
        <f>_xlfn.XLOOKUP(S57,$O$11:$AN$11,$O$25:$AN$25)</f>
        <v>499.96131798696382</v>
      </c>
    </row>
    <row r="70" spans="2:19" s="12" customFormat="1" ht="11.25" customHeight="1" x14ac:dyDescent="0.2">
      <c r="C70" s="7"/>
      <c r="N70" s="7" t="s">
        <v>603</v>
      </c>
      <c r="O70" s="189">
        <f t="shared" ref="O70:R72" si="19">_xlfn.XLOOKUP(O58,$O$11:$AN$11,$O$25:$AN$25)</f>
        <v>517.09370690280912</v>
      </c>
      <c r="P70" s="189">
        <f t="shared" si="19"/>
        <v>557.18707774352742</v>
      </c>
      <c r="Q70" s="189">
        <f t="shared" si="19"/>
        <v>566.19781739808946</v>
      </c>
      <c r="R70" s="189">
        <f t="shared" si="19"/>
        <v>583.02977466021503</v>
      </c>
      <c r="S70" s="189">
        <f>_xlfn.XLOOKUP(S58,$O$11:$AN$11,$O$25:$AN$25)</f>
        <v>529.53280416945699</v>
      </c>
    </row>
    <row r="71" spans="2:19" s="12" customFormat="1" ht="11.25" customHeight="1" x14ac:dyDescent="0.2">
      <c r="C71" s="7"/>
      <c r="N71" s="7" t="s">
        <v>604</v>
      </c>
      <c r="O71" s="189">
        <f t="shared" si="19"/>
        <v>577.97931644093899</v>
      </c>
      <c r="P71" s="189">
        <f t="shared" si="19"/>
        <v>698.74904080471515</v>
      </c>
      <c r="Q71" s="189">
        <f t="shared" si="19"/>
        <v>547.26343234104183</v>
      </c>
      <c r="R71" s="189">
        <f t="shared" si="19"/>
        <v>506.91828818754675</v>
      </c>
      <c r="S71" s="189">
        <f>_xlfn.XLOOKUP(S59,$O$11:$AN$11,$O$25:$AN$25)</f>
        <v>553.88678731412415</v>
      </c>
    </row>
    <row r="72" spans="2:19" s="12" customFormat="1" ht="11.25" customHeight="1" x14ac:dyDescent="0.2">
      <c r="C72" s="7"/>
      <c r="N72" s="7" t="s">
        <v>605</v>
      </c>
      <c r="O72" s="189">
        <f t="shared" si="19"/>
        <v>578.16127195479817</v>
      </c>
      <c r="P72" s="189">
        <f t="shared" si="19"/>
        <v>623.82184664283568</v>
      </c>
      <c r="Q72" s="189">
        <f t="shared" si="19"/>
        <v>592.04239804345809</v>
      </c>
      <c r="R72" s="189">
        <f t="shared" si="19"/>
        <v>575.75568967677737</v>
      </c>
      <c r="S72" s="189"/>
    </row>
    <row r="73" spans="2:19" s="12" customFormat="1" ht="11.25" customHeight="1" x14ac:dyDescent="0.2">
      <c r="C73" s="7"/>
    </row>
    <row r="74" spans="2:19" s="12" customFormat="1" ht="11.25" customHeight="1" x14ac:dyDescent="0.2">
      <c r="C74" s="7"/>
      <c r="O74" s="7">
        <v>2020</v>
      </c>
      <c r="P74" s="7">
        <v>2021</v>
      </c>
      <c r="Q74" s="7">
        <v>2022</v>
      </c>
      <c r="R74" s="7">
        <v>2023</v>
      </c>
      <c r="S74" s="7">
        <v>2024</v>
      </c>
    </row>
    <row r="75" spans="2:19" s="12" customFormat="1" ht="11.25" customHeight="1" x14ac:dyDescent="0.2">
      <c r="C75" s="7"/>
      <c r="N75" s="192" t="s">
        <v>602</v>
      </c>
      <c r="O75" s="26">
        <f>_xlfn.XLOOKUP(O57,$O$11:$AN$11,$O$40:$AN$40)</f>
        <v>0.10420711974110032</v>
      </c>
      <c r="P75" s="26">
        <f>_xlfn.XLOOKUP(P57,$O$11:$AN$11,$O$40:$AN$40)</f>
        <v>0.11386983741869343</v>
      </c>
      <c r="Q75" s="26">
        <f>_xlfn.XLOOKUP(Q57,$O$11:$AN$11,$O$40:$AN$40)</f>
        <v>0.11516539643833351</v>
      </c>
      <c r="R75" s="26">
        <f>_xlfn.XLOOKUP(R57,$O$11:$AN$11,$O$40:$AN$40)</f>
        <v>0.11152476932075285</v>
      </c>
      <c r="S75" s="26">
        <f>_xlfn.XLOOKUP(S57,$O$11:$AN$11,$O$40:$AN$40)</f>
        <v>0.12914390133665232</v>
      </c>
    </row>
    <row r="76" spans="2:19" s="12" customFormat="1" ht="11.25" customHeight="1" x14ac:dyDescent="0.2">
      <c r="C76" s="7"/>
      <c r="N76" s="7" t="s">
        <v>603</v>
      </c>
      <c r="O76" s="26">
        <f t="shared" ref="O76:R78" si="20">_xlfn.XLOOKUP(O58,$O$11:$AN$11,$O$40:$AN$40)</f>
        <v>0.12580348943985309</v>
      </c>
      <c r="P76" s="26">
        <f t="shared" si="20"/>
        <v>0.1204518075106466</v>
      </c>
      <c r="Q76" s="26">
        <f t="shared" si="20"/>
        <v>0.11975911125315769</v>
      </c>
      <c r="R76" s="26">
        <f t="shared" si="20"/>
        <v>0.13160584577209827</v>
      </c>
      <c r="S76" s="26">
        <f>_xlfn.XLOOKUP(S58,$O$11:$AN$11,$O$40:$AN$40)</f>
        <v>0.12802641232575201</v>
      </c>
    </row>
    <row r="77" spans="2:19" s="12" customFormat="1" ht="11.25" customHeight="1" x14ac:dyDescent="0.2">
      <c r="C77" s="7"/>
      <c r="N77" s="7" t="s">
        <v>604</v>
      </c>
      <c r="O77" s="26">
        <f t="shared" si="20"/>
        <v>0.10656010656010655</v>
      </c>
      <c r="P77" s="26">
        <f t="shared" si="20"/>
        <v>0.11206779727080425</v>
      </c>
      <c r="Q77" s="26">
        <f t="shared" si="20"/>
        <v>0.11072803637384009</v>
      </c>
      <c r="R77" s="26">
        <f t="shared" si="20"/>
        <v>0.11334500564353435</v>
      </c>
      <c r="S77" s="26">
        <f>_xlfn.XLOOKUP(S59,$O$11:$AN$11,$O$40:$AN$40)</f>
        <v>0.13822652757078988</v>
      </c>
    </row>
    <row r="78" spans="2:19" s="12" customFormat="1" ht="11.25" customHeight="1" x14ac:dyDescent="0.2">
      <c r="C78" s="7"/>
      <c r="N78" s="7" t="s">
        <v>605</v>
      </c>
      <c r="O78" s="26">
        <f t="shared" si="20"/>
        <v>0.10713090056913291</v>
      </c>
      <c r="P78" s="26">
        <f t="shared" si="20"/>
        <v>9.9627235038135933E-2</v>
      </c>
      <c r="Q78" s="26">
        <f t="shared" si="20"/>
        <v>0.10333385286807759</v>
      </c>
      <c r="R78" s="26">
        <f t="shared" si="20"/>
        <v>0.12413108242303873</v>
      </c>
      <c r="S78" s="26"/>
    </row>
    <row r="79" spans="2:19" s="12" customFormat="1" ht="11.25" customHeight="1" x14ac:dyDescent="0.2">
      <c r="C79" s="7"/>
    </row>
    <row r="80" spans="2:19" s="12" customFormat="1" ht="11.25" customHeight="1" x14ac:dyDescent="0.2">
      <c r="C80" s="7"/>
      <c r="O80" s="7">
        <v>2020</v>
      </c>
      <c r="P80" s="7">
        <v>2021</v>
      </c>
      <c r="Q80" s="7">
        <v>2022</v>
      </c>
      <c r="R80" s="7">
        <v>2023</v>
      </c>
      <c r="S80" s="7">
        <v>2024</v>
      </c>
    </row>
    <row r="81" spans="3:19" s="12" customFormat="1" ht="11.25" customHeight="1" x14ac:dyDescent="0.2">
      <c r="C81" s="7"/>
      <c r="N81" s="192" t="s">
        <v>602</v>
      </c>
      <c r="O81" s="26"/>
      <c r="P81" s="26">
        <f t="shared" ref="P81:S83" si="21">_xlfn.XLOOKUP(P57,$O$11:$AN$11,$O$45:$AN$45)</f>
        <v>0.10731698569138218</v>
      </c>
      <c r="Q81" s="26">
        <f t="shared" si="21"/>
        <v>0.1187329401162595</v>
      </c>
      <c r="R81" s="26">
        <f t="shared" si="21"/>
        <v>0.149771785706242</v>
      </c>
      <c r="S81" s="26">
        <f t="shared" si="21"/>
        <v>0.14264808033218318</v>
      </c>
    </row>
    <row r="82" spans="3:19" s="12" customFormat="1" ht="11.25" customHeight="1" x14ac:dyDescent="0.2">
      <c r="C82" s="7"/>
      <c r="N82" s="7" t="s">
        <v>603</v>
      </c>
      <c r="O82" s="26"/>
      <c r="P82" s="26">
        <f t="shared" si="21"/>
        <v>0.15982187383247415</v>
      </c>
      <c r="Q82" s="26">
        <f t="shared" si="21"/>
        <v>0.13270821789957751</v>
      </c>
      <c r="R82" s="26">
        <f t="shared" si="21"/>
        <v>0.14536131497312263</v>
      </c>
      <c r="S82" s="26">
        <f t="shared" si="21"/>
        <v>0.16045845272206305</v>
      </c>
    </row>
    <row r="83" spans="3:19" s="12" customFormat="1" ht="11.25" customHeight="1" x14ac:dyDescent="0.2">
      <c r="C83" s="7"/>
      <c r="N83" s="7" t="s">
        <v>604</v>
      </c>
      <c r="O83" s="26"/>
      <c r="P83" s="26">
        <f t="shared" si="21"/>
        <v>0.12749179960418763</v>
      </c>
      <c r="Q83" s="26">
        <f t="shared" si="21"/>
        <v>0.16729703181986272</v>
      </c>
      <c r="R83" s="26">
        <f t="shared" si="21"/>
        <v>0.17578651260196659</v>
      </c>
      <c r="S83" s="26">
        <f t="shared" si="21"/>
        <v>0.16172506738544473</v>
      </c>
    </row>
    <row r="84" spans="3:19" s="12" customFormat="1" ht="11.25" customHeight="1" x14ac:dyDescent="0.2">
      <c r="C84" s="7"/>
      <c r="N84" s="7" t="s">
        <v>605</v>
      </c>
      <c r="O84" s="26"/>
      <c r="P84" s="26">
        <f>_xlfn.XLOOKUP(P60,$O$11:$AN$11,$O$45:$AN$45)</f>
        <v>0.12433990335498753</v>
      </c>
      <c r="Q84" s="26">
        <f>_xlfn.XLOOKUP(Q60,$O$11:$AN$11,$O$45:$AN$45)</f>
        <v>0.17042412295161902</v>
      </c>
      <c r="R84" s="26">
        <f>_xlfn.XLOOKUP(R60,$O$11:$AN$11,$O$45:$AN$45)</f>
        <v>0.15466666666666667</v>
      </c>
      <c r="S84" s="26"/>
    </row>
    <row r="85" spans="3:19" s="12" customFormat="1" ht="11.25" customHeight="1" x14ac:dyDescent="0.2">
      <c r="C85" s="7"/>
    </row>
    <row r="86" spans="3:19" s="12" customFormat="1" ht="11.25" customHeight="1" x14ac:dyDescent="0.2">
      <c r="C86" s="7"/>
    </row>
    <row r="87" spans="3:19" s="12" customFormat="1" ht="11.25" customHeight="1" x14ac:dyDescent="0.2">
      <c r="C87" s="7"/>
    </row>
    <row r="88" spans="3:19" s="12" customFormat="1" ht="11.25" customHeight="1" x14ac:dyDescent="0.2">
      <c r="C88" s="7"/>
    </row>
    <row r="89" spans="3:19" s="12" customFormat="1" ht="11.25" customHeight="1" x14ac:dyDescent="0.2">
      <c r="C89" s="7"/>
    </row>
    <row r="90" spans="3:19" s="12" customFormat="1" ht="11.25" customHeight="1" x14ac:dyDescent="0.2">
      <c r="C90" s="7"/>
    </row>
    <row r="91" spans="3:19" s="12" customFormat="1" ht="11.25" customHeight="1" x14ac:dyDescent="0.2">
      <c r="C91" s="7"/>
    </row>
    <row r="92" spans="3:19" s="12" customFormat="1" ht="11.25" customHeight="1" x14ac:dyDescent="0.2">
      <c r="C92" s="7"/>
      <c r="O92" s="7">
        <v>2020</v>
      </c>
      <c r="P92" s="7">
        <v>2021</v>
      </c>
      <c r="Q92" s="7">
        <v>2022</v>
      </c>
      <c r="R92" s="7">
        <v>2023</v>
      </c>
      <c r="S92" s="7">
        <v>2024</v>
      </c>
    </row>
    <row r="93" spans="3:19" s="12" customFormat="1" ht="11.25" customHeight="1" x14ac:dyDescent="0.2">
      <c r="C93" s="7"/>
      <c r="N93" s="192" t="s">
        <v>602</v>
      </c>
      <c r="O93" s="189">
        <f t="shared" ref="O93:S95" si="22">_xlfn.XLOOKUP(O57,$O$11:$AN$11,$O$16:$AN$16)</f>
        <v>178.4</v>
      </c>
      <c r="P93" s="189">
        <f t="shared" si="22"/>
        <v>423.2</v>
      </c>
      <c r="Q93" s="189">
        <f t="shared" si="22"/>
        <v>579.4</v>
      </c>
      <c r="R93" s="189">
        <f t="shared" si="22"/>
        <v>579.79999999999995</v>
      </c>
      <c r="S93" s="189">
        <f t="shared" si="22"/>
        <v>605.5</v>
      </c>
    </row>
    <row r="94" spans="3:19" s="12" customFormat="1" ht="11.25" customHeight="1" x14ac:dyDescent="0.2">
      <c r="C94" s="7"/>
      <c r="N94" s="7" t="s">
        <v>603</v>
      </c>
      <c r="O94" s="189">
        <f t="shared" si="22"/>
        <v>302.89999999999998</v>
      </c>
      <c r="P94" s="189">
        <f t="shared" si="22"/>
        <v>494.8</v>
      </c>
      <c r="Q94" s="189">
        <f t="shared" si="22"/>
        <v>598.6</v>
      </c>
      <c r="R94" s="189">
        <f t="shared" si="22"/>
        <v>502.3</v>
      </c>
      <c r="S94" s="189">
        <f t="shared" si="22"/>
        <v>602.70000000000005</v>
      </c>
    </row>
    <row r="95" spans="3:19" s="12" customFormat="1" ht="11.25" customHeight="1" x14ac:dyDescent="0.2">
      <c r="C95" s="7"/>
      <c r="N95" s="7" t="s">
        <v>604</v>
      </c>
      <c r="O95" s="189">
        <f t="shared" si="22"/>
        <v>527.70000000000005</v>
      </c>
      <c r="P95" s="189">
        <f t="shared" si="22"/>
        <v>631.4</v>
      </c>
      <c r="Q95" s="189">
        <f t="shared" si="22"/>
        <v>611.9</v>
      </c>
      <c r="R95" s="189">
        <f t="shared" si="22"/>
        <v>566.9</v>
      </c>
      <c r="S95" s="189">
        <f t="shared" si="22"/>
        <v>557.5</v>
      </c>
    </row>
    <row r="96" spans="3:19" s="12" customFormat="1" ht="11.25" customHeight="1" x14ac:dyDescent="0.2">
      <c r="C96" s="7"/>
      <c r="N96" s="7" t="s">
        <v>605</v>
      </c>
      <c r="O96" s="189">
        <f>_xlfn.XLOOKUP(O60,$O$11:$AN$11,$O$16:$AN$16)</f>
        <v>543.29999999999995</v>
      </c>
      <c r="P96" s="189">
        <f>_xlfn.XLOOKUP(P60,$O$11:$AN$11,$O$16:$AN$16)</f>
        <v>727</v>
      </c>
      <c r="Q96" s="189">
        <f>_xlfn.XLOOKUP(Q60,$O$11:$AN$11,$O$16:$AN$16)</f>
        <v>938.5</v>
      </c>
      <c r="R96" s="189">
        <f>_xlfn.XLOOKUP(R60,$O$11:$AN$11,$O$16:$AN$16)</f>
        <v>901.6</v>
      </c>
      <c r="S96" s="189"/>
    </row>
    <row r="97" spans="3:19" s="12" customFormat="1" ht="11.25" customHeight="1" x14ac:dyDescent="0.2">
      <c r="C97" s="7"/>
    </row>
    <row r="98" spans="3:19" s="12" customFormat="1" ht="11.25" customHeight="1" x14ac:dyDescent="0.2">
      <c r="C98" s="7"/>
      <c r="O98" s="7">
        <v>2020</v>
      </c>
      <c r="P98" s="7">
        <v>2021</v>
      </c>
      <c r="Q98" s="7">
        <v>2022</v>
      </c>
      <c r="R98" s="7">
        <v>2023</v>
      </c>
      <c r="S98" s="7">
        <v>2024</v>
      </c>
    </row>
    <row r="99" spans="3:19" s="12" customFormat="1" ht="11.25" customHeight="1" x14ac:dyDescent="0.2">
      <c r="C99" s="7"/>
      <c r="N99" s="192" t="s">
        <v>602</v>
      </c>
      <c r="O99" s="189">
        <f t="shared" ref="O99:S101" si="23">_xlfn.XLOOKUP(O57,$O$11:$AN$11,$O$26:$AN$26)</f>
        <v>15.5</v>
      </c>
      <c r="P99" s="189">
        <f t="shared" si="23"/>
        <v>38.200000000000003</v>
      </c>
      <c r="Q99" s="189">
        <f t="shared" si="23"/>
        <v>52.3</v>
      </c>
      <c r="R99" s="189">
        <f t="shared" si="23"/>
        <v>50.7</v>
      </c>
      <c r="S99" s="189">
        <f t="shared" si="23"/>
        <v>60.8</v>
      </c>
    </row>
    <row r="100" spans="3:19" s="12" customFormat="1" ht="11.25" customHeight="1" x14ac:dyDescent="0.2">
      <c r="C100" s="7"/>
      <c r="N100" s="7" t="s">
        <v>603</v>
      </c>
      <c r="O100" s="189">
        <f t="shared" si="23"/>
        <v>32.4</v>
      </c>
      <c r="P100" s="189">
        <f t="shared" si="23"/>
        <v>43.1</v>
      </c>
      <c r="Q100" s="189">
        <f t="shared" si="23"/>
        <v>55.2</v>
      </c>
      <c r="R100" s="189">
        <f t="shared" si="23"/>
        <v>55.6</v>
      </c>
      <c r="S100" s="189">
        <f t="shared" si="23"/>
        <v>60.1</v>
      </c>
    </row>
    <row r="101" spans="3:19" s="12" customFormat="1" ht="11.25" customHeight="1" x14ac:dyDescent="0.2">
      <c r="C101" s="7"/>
      <c r="N101" s="7" t="s">
        <v>604</v>
      </c>
      <c r="O101" s="189">
        <f t="shared" si="23"/>
        <v>35.1</v>
      </c>
      <c r="P101" s="189">
        <f t="shared" si="23"/>
        <v>54.8</v>
      </c>
      <c r="Q101" s="189">
        <f t="shared" si="23"/>
        <v>47.5</v>
      </c>
      <c r="R101" s="189">
        <f t="shared" si="23"/>
        <v>52.8</v>
      </c>
      <c r="S101" s="189">
        <f t="shared" si="23"/>
        <v>56.6</v>
      </c>
    </row>
    <row r="102" spans="3:19" s="12" customFormat="1" ht="11.25" customHeight="1" x14ac:dyDescent="0.2">
      <c r="C102" s="7"/>
      <c r="N102" s="7" t="s">
        <v>605</v>
      </c>
      <c r="O102" s="189">
        <f>_xlfn.XLOOKUP(O60,$O$11:$AN$11,$O$26:$AN$26)</f>
        <v>49.8</v>
      </c>
      <c r="P102" s="189">
        <f>_xlfn.XLOOKUP(P60,$O$11:$AN$11,$O$26:$AN$26)</f>
        <v>53.1</v>
      </c>
      <c r="Q102" s="189">
        <f>_xlfn.XLOOKUP(Q60,$O$11:$AN$11,$O$26:$AN$26)</f>
        <v>57.7</v>
      </c>
      <c r="R102" s="189">
        <f>_xlfn.XLOOKUP(R60,$O$11:$AN$11,$O$26:$AN$26)</f>
        <v>59.5</v>
      </c>
      <c r="S102" s="189"/>
    </row>
    <row r="103" spans="3:19" s="12" customFormat="1" ht="11.25" customHeight="1" x14ac:dyDescent="0.2">
      <c r="C103" s="7"/>
    </row>
    <row r="104" spans="3:19" ht="11.25" customHeight="1" x14ac:dyDescent="0.25">
      <c r="N104" s="12"/>
      <c r="O104" s="7">
        <v>2020</v>
      </c>
      <c r="P104" s="7">
        <v>2021</v>
      </c>
      <c r="Q104" s="7">
        <v>2022</v>
      </c>
      <c r="R104" s="7">
        <v>2023</v>
      </c>
      <c r="S104" s="7">
        <v>2024</v>
      </c>
    </row>
    <row r="105" spans="3:19" ht="11.25" customHeight="1" x14ac:dyDescent="0.25">
      <c r="N105" s="192" t="s">
        <v>602</v>
      </c>
      <c r="O105" s="26">
        <f t="shared" ref="O105:S107" si="24">_xlfn.XLOOKUP(O57,$O$11:$AN$11,$O$41:$AN$41)</f>
        <v>8.688340807174888E-2</v>
      </c>
      <c r="P105" s="26">
        <f t="shared" si="24"/>
        <v>9.0264650283553891E-2</v>
      </c>
      <c r="Q105" s="26">
        <f t="shared" si="24"/>
        <v>9.026579219882637E-2</v>
      </c>
      <c r="R105" s="26">
        <f t="shared" si="24"/>
        <v>8.7443946188340824E-2</v>
      </c>
      <c r="S105" s="26">
        <f t="shared" si="24"/>
        <v>0.10041288191577208</v>
      </c>
    </row>
    <row r="106" spans="3:19" ht="11.25" customHeight="1" x14ac:dyDescent="0.25">
      <c r="N106" s="7" t="s">
        <v>603</v>
      </c>
      <c r="O106" s="26">
        <f t="shared" si="24"/>
        <v>0.10696599537801255</v>
      </c>
      <c r="P106" s="26">
        <f t="shared" si="24"/>
        <v>8.7105901374292638E-2</v>
      </c>
      <c r="Q106" s="26">
        <f t="shared" si="24"/>
        <v>9.2215168727029742E-2</v>
      </c>
      <c r="R106" s="26">
        <f t="shared" si="24"/>
        <v>0.11069082221779813</v>
      </c>
      <c r="S106" s="26">
        <f t="shared" si="24"/>
        <v>9.9717935954869746E-2</v>
      </c>
    </row>
    <row r="107" spans="3:19" ht="11.25" customHeight="1" x14ac:dyDescent="0.25">
      <c r="N107" s="7" t="s">
        <v>604</v>
      </c>
      <c r="O107" s="26">
        <f t="shared" si="24"/>
        <v>6.651506537805571E-2</v>
      </c>
      <c r="P107" s="26">
        <f t="shared" si="24"/>
        <v>8.6791257522964835E-2</v>
      </c>
      <c r="Q107" s="26">
        <f t="shared" si="24"/>
        <v>7.7627063245628375E-2</v>
      </c>
      <c r="R107" s="26">
        <f t="shared" si="24"/>
        <v>9.3138119597812666E-2</v>
      </c>
      <c r="S107" s="26">
        <f t="shared" si="24"/>
        <v>0.10152466367713005</v>
      </c>
    </row>
    <row r="108" spans="3:19" ht="11.25" customHeight="1" x14ac:dyDescent="0.25">
      <c r="N108" s="7" t="s">
        <v>605</v>
      </c>
      <c r="O108" s="26">
        <f>_xlfn.XLOOKUP(O60,$O$11:$AN$11,$O$41:$AN$41)</f>
        <v>9.1662065157371617E-2</v>
      </c>
      <c r="P108" s="26">
        <f>_xlfn.XLOOKUP(P60,$O$11:$AN$11,$O$41:$AN$41)</f>
        <v>7.3039889958734533E-2</v>
      </c>
      <c r="Q108" s="26">
        <f>_xlfn.XLOOKUP(Q60,$O$11:$AN$11,$O$41:$AN$41)</f>
        <v>6.1481086840703254E-2</v>
      </c>
      <c r="R108" s="26">
        <f>_xlfn.XLOOKUP(R60,$O$11:$AN$11,$O$41:$AN$41)</f>
        <v>6.5993788819875776E-2</v>
      </c>
      <c r="S108" s="2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3A23-1D08-45CE-9680-81F606AB45AA}">
  <sheetPr>
    <tabColor theme="3" tint="0.39997558519241921"/>
    <pageSetUpPr autoPageBreaks="0"/>
  </sheetPr>
  <dimension ref="A2:AK133"/>
  <sheetViews>
    <sheetView workbookViewId="0">
      <pane xSplit="3" ySplit="3" topLeftCell="D4" activePane="bottomRight" state="frozen"/>
      <selection pane="topRight" activeCell="D1" sqref="D1"/>
      <selection pane="bottomLeft" activeCell="A4" sqref="A4"/>
      <selection pane="bottomRight" activeCell="K20" sqref="K20"/>
    </sheetView>
  </sheetViews>
  <sheetFormatPr defaultColWidth="0" defaultRowHeight="11.25" x14ac:dyDescent="0.2"/>
  <cols>
    <col min="1" max="1" width="5.7109375" style="12" customWidth="1"/>
    <col min="2" max="2" width="17.42578125" style="12" bestFit="1" customWidth="1"/>
    <col min="3" max="17" width="9.140625" style="12" customWidth="1"/>
    <col min="18" max="18" width="6" style="12" bestFit="1" customWidth="1"/>
    <col min="19" max="19" width="3.7109375" style="12" customWidth="1"/>
    <col min="20" max="20" width="5.7109375" style="12" bestFit="1" customWidth="1"/>
    <col min="21" max="37" width="3.7109375" style="12" customWidth="1"/>
    <col min="38" max="16384" width="9.140625" style="12" hidden="1"/>
  </cols>
  <sheetData>
    <row r="2" spans="1:37" s="6" customFormat="1" x14ac:dyDescent="0.2">
      <c r="A2" s="1" t="s">
        <v>0</v>
      </c>
      <c r="B2" s="2"/>
      <c r="C2" s="3"/>
      <c r="D2" s="4" t="str">
        <f t="shared" ref="D2:AK2" si="0">D7&amp;D9</f>
        <v>1H18A</v>
      </c>
      <c r="E2" s="5" t="str">
        <f t="shared" si="0"/>
        <v>2H18A</v>
      </c>
      <c r="F2" s="4" t="str">
        <f t="shared" si="0"/>
        <v>1H19A</v>
      </c>
      <c r="G2" s="5" t="str">
        <f t="shared" si="0"/>
        <v>2H19A</v>
      </c>
      <c r="H2" s="4" t="str">
        <f t="shared" si="0"/>
        <v>1H20A</v>
      </c>
      <c r="I2" s="5" t="str">
        <f t="shared" si="0"/>
        <v>2H20A</v>
      </c>
      <c r="J2" s="4" t="str">
        <f t="shared" si="0"/>
        <v>1H21A</v>
      </c>
      <c r="K2" s="5" t="str">
        <f t="shared" si="0"/>
        <v>2H21A</v>
      </c>
      <c r="L2" s="4" t="str">
        <f t="shared" si="0"/>
        <v>1H22A</v>
      </c>
      <c r="M2" s="5" t="str">
        <f t="shared" si="0"/>
        <v>2H22A</v>
      </c>
      <c r="N2" s="4" t="str">
        <f t="shared" si="0"/>
        <v>1H23A</v>
      </c>
      <c r="O2" s="5" t="str">
        <f t="shared" si="0"/>
        <v>2H23A</v>
      </c>
      <c r="P2" s="4" t="str">
        <f t="shared" si="0"/>
        <v>1H24A</v>
      </c>
      <c r="Q2" s="5" t="str">
        <f t="shared" si="0"/>
        <v>2H24E</v>
      </c>
      <c r="R2" s="4" t="str">
        <f t="shared" si="0"/>
        <v>1H25E</v>
      </c>
      <c r="S2" s="5" t="str">
        <f t="shared" si="0"/>
        <v>2H25E</v>
      </c>
      <c r="T2" s="4" t="str">
        <f t="shared" si="0"/>
        <v>1H26E</v>
      </c>
      <c r="U2" s="5" t="str">
        <f t="shared" si="0"/>
        <v>2H26E</v>
      </c>
      <c r="V2" s="4" t="str">
        <f t="shared" si="0"/>
        <v>1H27E</v>
      </c>
      <c r="W2" s="5" t="str">
        <f t="shared" si="0"/>
        <v>2H27E</v>
      </c>
      <c r="X2" s="4" t="str">
        <f t="shared" si="0"/>
        <v>1H28E</v>
      </c>
      <c r="Y2" s="5" t="str">
        <f t="shared" si="0"/>
        <v>2H28E</v>
      </c>
      <c r="Z2" s="4" t="str">
        <f t="shared" si="0"/>
        <v>1H29E</v>
      </c>
      <c r="AA2" s="5" t="str">
        <f t="shared" si="0"/>
        <v>2H29E</v>
      </c>
      <c r="AB2" s="4" t="str">
        <f t="shared" si="0"/>
        <v>1H30E</v>
      </c>
      <c r="AC2" s="5" t="str">
        <f t="shared" si="0"/>
        <v>2H30E</v>
      </c>
      <c r="AD2" s="4" t="str">
        <f t="shared" si="0"/>
        <v>1H31E</v>
      </c>
      <c r="AE2" s="5" t="str">
        <f t="shared" si="0"/>
        <v>2H31E</v>
      </c>
      <c r="AF2" s="4" t="str">
        <f t="shared" si="0"/>
        <v>1H32E</v>
      </c>
      <c r="AG2" s="5" t="str">
        <f t="shared" si="0"/>
        <v>2H32E</v>
      </c>
      <c r="AH2" s="4" t="str">
        <f t="shared" si="0"/>
        <v>1H33E</v>
      </c>
      <c r="AI2" s="5" t="str">
        <f t="shared" si="0"/>
        <v>2H33E</v>
      </c>
      <c r="AJ2" s="4" t="str">
        <f t="shared" si="0"/>
        <v>1H34E</v>
      </c>
      <c r="AK2" s="5" t="str">
        <f t="shared" si="0"/>
        <v>2H34E</v>
      </c>
    </row>
    <row r="3" spans="1:37" s="7" customFormat="1" x14ac:dyDescent="0.2">
      <c r="B3" s="8" t="s">
        <v>1</v>
      </c>
      <c r="C3" s="9"/>
      <c r="D3" s="10">
        <v>43100</v>
      </c>
      <c r="E3" s="11">
        <f t="shared" ref="E3:AK3" si="1">EOMONTH(D3,6)</f>
        <v>43281</v>
      </c>
      <c r="F3" s="10">
        <f t="shared" si="1"/>
        <v>43465</v>
      </c>
      <c r="G3" s="11">
        <f t="shared" si="1"/>
        <v>43646</v>
      </c>
      <c r="H3" s="10">
        <f t="shared" si="1"/>
        <v>43830</v>
      </c>
      <c r="I3" s="11">
        <f t="shared" si="1"/>
        <v>44012</v>
      </c>
      <c r="J3" s="10">
        <f t="shared" si="1"/>
        <v>44196</v>
      </c>
      <c r="K3" s="11">
        <f t="shared" si="1"/>
        <v>44377</v>
      </c>
      <c r="L3" s="10">
        <f t="shared" si="1"/>
        <v>44561</v>
      </c>
      <c r="M3" s="11">
        <f t="shared" si="1"/>
        <v>44742</v>
      </c>
      <c r="N3" s="10">
        <f t="shared" si="1"/>
        <v>44926</v>
      </c>
      <c r="O3" s="11">
        <f t="shared" si="1"/>
        <v>45107</v>
      </c>
      <c r="P3" s="10">
        <f t="shared" si="1"/>
        <v>45291</v>
      </c>
      <c r="Q3" s="11">
        <f t="shared" si="1"/>
        <v>45473</v>
      </c>
      <c r="R3" s="10">
        <f t="shared" si="1"/>
        <v>45657</v>
      </c>
      <c r="S3" s="11">
        <f t="shared" si="1"/>
        <v>45838</v>
      </c>
      <c r="T3" s="10">
        <f t="shared" si="1"/>
        <v>46022</v>
      </c>
      <c r="U3" s="11">
        <f t="shared" si="1"/>
        <v>46203</v>
      </c>
      <c r="V3" s="10">
        <f t="shared" si="1"/>
        <v>46387</v>
      </c>
      <c r="W3" s="11">
        <f t="shared" si="1"/>
        <v>46568</v>
      </c>
      <c r="X3" s="10">
        <f t="shared" si="1"/>
        <v>46752</v>
      </c>
      <c r="Y3" s="11">
        <f t="shared" si="1"/>
        <v>46934</v>
      </c>
      <c r="Z3" s="10">
        <f t="shared" si="1"/>
        <v>47118</v>
      </c>
      <c r="AA3" s="11">
        <f t="shared" si="1"/>
        <v>47299</v>
      </c>
      <c r="AB3" s="10">
        <f t="shared" si="1"/>
        <v>47483</v>
      </c>
      <c r="AC3" s="11">
        <f t="shared" si="1"/>
        <v>47664</v>
      </c>
      <c r="AD3" s="10">
        <f t="shared" si="1"/>
        <v>47848</v>
      </c>
      <c r="AE3" s="11">
        <f t="shared" si="1"/>
        <v>48029</v>
      </c>
      <c r="AF3" s="10">
        <f t="shared" si="1"/>
        <v>48213</v>
      </c>
      <c r="AG3" s="11">
        <f t="shared" si="1"/>
        <v>48395</v>
      </c>
      <c r="AH3" s="10">
        <f t="shared" si="1"/>
        <v>48579</v>
      </c>
      <c r="AI3" s="11">
        <f t="shared" si="1"/>
        <v>48760</v>
      </c>
      <c r="AJ3" s="10">
        <f t="shared" si="1"/>
        <v>48944</v>
      </c>
      <c r="AK3" s="11">
        <f t="shared" si="1"/>
        <v>49125</v>
      </c>
    </row>
    <row r="4" spans="1:37" x14ac:dyDescent="0.2">
      <c r="C4" s="7"/>
    </row>
    <row r="5" spans="1:37" s="7" customFormat="1" x14ac:dyDescent="0.2">
      <c r="A5" s="8"/>
      <c r="B5" s="13" t="s">
        <v>2</v>
      </c>
      <c r="C5" s="14"/>
      <c r="D5" s="15" t="str" cm="1">
        <f t="array" ref="D5">_xlfn.IFS(AND(MONTH(D$3)&gt;=7,MONTH(D$3)&lt;=12),"1H",AND(MONTH(D$3)&gt;=1,MONTH(D$3)&lt;=6),"2H")</f>
        <v>1H</v>
      </c>
      <c r="E5" s="15" t="str" cm="1">
        <f t="array" ref="E5">_xlfn.IFS(AND(MONTH(E$3)&gt;=7,MONTH(E$3)&lt;=12),"1H",AND(MONTH(E$3)&gt;=1,MONTH(E$3)&lt;=6),"2H")</f>
        <v>2H</v>
      </c>
      <c r="F5" s="15" t="str" cm="1">
        <f t="array" ref="F5">_xlfn.IFS(AND(MONTH(F$3)&gt;=7,MONTH(F$3)&lt;=12),"1H",AND(MONTH(F$3)&gt;=1,MONTH(F$3)&lt;=6),"2H")</f>
        <v>1H</v>
      </c>
      <c r="G5" s="15" t="str" cm="1">
        <f t="array" ref="G5">_xlfn.IFS(AND(MONTH(G$3)&gt;=7,MONTH(G$3)&lt;=12),"1H",AND(MONTH(G$3)&gt;=1,MONTH(G$3)&lt;=6),"2H")</f>
        <v>2H</v>
      </c>
      <c r="H5" s="15" t="str" cm="1">
        <f t="array" ref="H5">_xlfn.IFS(AND(MONTH(H$3)&gt;=7,MONTH(H$3)&lt;=12),"1H",AND(MONTH(H$3)&gt;=1,MONTH(H$3)&lt;=6),"2H")</f>
        <v>1H</v>
      </c>
      <c r="I5" s="15" t="str" cm="1">
        <f t="array" ref="I5">_xlfn.IFS(AND(MONTH(I$3)&gt;=7,MONTH(I$3)&lt;=12),"1H",AND(MONTH(I$3)&gt;=1,MONTH(I$3)&lt;=6),"2H")</f>
        <v>2H</v>
      </c>
      <c r="J5" s="15" t="str" cm="1">
        <f t="array" ref="J5">_xlfn.IFS(AND(MONTH(J$3)&gt;=7,MONTH(J$3)&lt;=12),"1H",AND(MONTH(J$3)&gt;=1,MONTH(J$3)&lt;=6),"2H")</f>
        <v>1H</v>
      </c>
      <c r="K5" s="15" t="str" cm="1">
        <f t="array" ref="K5">_xlfn.IFS(AND(MONTH(K$3)&gt;=7,MONTH(K$3)&lt;=12),"1H",AND(MONTH(K$3)&gt;=1,MONTH(K$3)&lt;=6),"2H")</f>
        <v>2H</v>
      </c>
      <c r="L5" s="15" t="str" cm="1">
        <f t="array" ref="L5">_xlfn.IFS(AND(MONTH(L$3)&gt;=7,MONTH(L$3)&lt;=12),"1H",AND(MONTH(L$3)&gt;=1,MONTH(L$3)&lt;=6),"2H")</f>
        <v>1H</v>
      </c>
      <c r="M5" s="15" t="str" cm="1">
        <f t="array" ref="M5">_xlfn.IFS(AND(MONTH(M$3)&gt;=7,MONTH(M$3)&lt;=12),"1H",AND(MONTH(M$3)&gt;=1,MONTH(M$3)&lt;=6),"2H")</f>
        <v>2H</v>
      </c>
      <c r="N5" s="15" t="str" cm="1">
        <f t="array" ref="N5">_xlfn.IFS(AND(MONTH(N$3)&gt;=7,MONTH(N$3)&lt;=12),"1H",AND(MONTH(N$3)&gt;=1,MONTH(N$3)&lt;=6),"2H")</f>
        <v>1H</v>
      </c>
      <c r="O5" s="15" t="str" cm="1">
        <f t="array" ref="O5">_xlfn.IFS(AND(MONTH(O$3)&gt;=7,MONTH(O$3)&lt;=12),"1H",AND(MONTH(O$3)&gt;=1,MONTH(O$3)&lt;=6),"2H")</f>
        <v>2H</v>
      </c>
      <c r="P5" s="15" t="str" cm="1">
        <f t="array" ref="P5">_xlfn.IFS(AND(MONTH(P$3)&gt;=7,MONTH(P$3)&lt;=12),"1H",AND(MONTH(P$3)&gt;=1,MONTH(P$3)&lt;=6),"2H")</f>
        <v>1H</v>
      </c>
      <c r="Q5" s="15" t="str" cm="1">
        <f t="array" ref="Q5">_xlfn.IFS(AND(MONTH(Q$3)&gt;=7,MONTH(Q$3)&lt;=12),"1H",AND(MONTH(Q$3)&gt;=1,MONTH(Q$3)&lt;=6),"2H")</f>
        <v>2H</v>
      </c>
      <c r="R5" s="15" t="str" cm="1">
        <f t="array" ref="R5">_xlfn.IFS(AND(MONTH(R$3)&gt;=7,MONTH(R$3)&lt;=12),"1H",AND(MONTH(R$3)&gt;=1,MONTH(R$3)&lt;=6),"2H")</f>
        <v>1H</v>
      </c>
      <c r="S5" s="15" t="str" cm="1">
        <f t="array" ref="S5">_xlfn.IFS(AND(MONTH(S$3)&gt;=7,MONTH(S$3)&lt;=12),"1H",AND(MONTH(S$3)&gt;=1,MONTH(S$3)&lt;=6),"2H")</f>
        <v>2H</v>
      </c>
      <c r="T5" s="15" t="str" cm="1">
        <f t="array" ref="T5">_xlfn.IFS(AND(MONTH(T$3)&gt;=7,MONTH(T$3)&lt;=12),"1H",AND(MONTH(T$3)&gt;=1,MONTH(T$3)&lt;=6),"2H")</f>
        <v>1H</v>
      </c>
      <c r="U5" s="15" t="str" cm="1">
        <f t="array" ref="U5">_xlfn.IFS(AND(MONTH(U$3)&gt;=7,MONTH(U$3)&lt;=12),"1H",AND(MONTH(U$3)&gt;=1,MONTH(U$3)&lt;=6),"2H")</f>
        <v>2H</v>
      </c>
      <c r="V5" s="15" t="str" cm="1">
        <f t="array" ref="V5">_xlfn.IFS(AND(MONTH(V$3)&gt;=7,MONTH(V$3)&lt;=12),"1H",AND(MONTH(V$3)&gt;=1,MONTH(V$3)&lt;=6),"2H")</f>
        <v>1H</v>
      </c>
      <c r="W5" s="15" t="str" cm="1">
        <f t="array" ref="W5">_xlfn.IFS(AND(MONTH(W$3)&gt;=7,MONTH(W$3)&lt;=12),"1H",AND(MONTH(W$3)&gt;=1,MONTH(W$3)&lt;=6),"2H")</f>
        <v>2H</v>
      </c>
      <c r="X5" s="15" t="str" cm="1">
        <f t="array" ref="X5">_xlfn.IFS(AND(MONTH(X$3)&gt;=7,MONTH(X$3)&lt;=12),"1H",AND(MONTH(X$3)&gt;=1,MONTH(X$3)&lt;=6),"2H")</f>
        <v>1H</v>
      </c>
      <c r="Y5" s="15" t="str" cm="1">
        <f t="array" ref="Y5">_xlfn.IFS(AND(MONTH(Y$3)&gt;=7,MONTH(Y$3)&lt;=12),"1H",AND(MONTH(Y$3)&gt;=1,MONTH(Y$3)&lt;=6),"2H")</f>
        <v>2H</v>
      </c>
      <c r="Z5" s="15" t="str" cm="1">
        <f t="array" ref="Z5">_xlfn.IFS(AND(MONTH(Z$3)&gt;=7,MONTH(Z$3)&lt;=12),"1H",AND(MONTH(Z$3)&gt;=1,MONTH(Z$3)&lt;=6),"2H")</f>
        <v>1H</v>
      </c>
      <c r="AA5" s="15" t="str" cm="1">
        <f t="array" ref="AA5">_xlfn.IFS(AND(MONTH(AA$3)&gt;=7,MONTH(AA$3)&lt;=12),"1H",AND(MONTH(AA$3)&gt;=1,MONTH(AA$3)&lt;=6),"2H")</f>
        <v>2H</v>
      </c>
      <c r="AB5" s="15" t="str" cm="1">
        <f t="array" ref="AB5">_xlfn.IFS(AND(MONTH(AB$3)&gt;=7,MONTH(AB$3)&lt;=12),"1H",AND(MONTH(AB$3)&gt;=1,MONTH(AB$3)&lt;=6),"2H")</f>
        <v>1H</v>
      </c>
      <c r="AC5" s="15" t="str" cm="1">
        <f t="array" ref="AC5">_xlfn.IFS(AND(MONTH(AC$3)&gt;=7,MONTH(AC$3)&lt;=12),"1H",AND(MONTH(AC$3)&gt;=1,MONTH(AC$3)&lt;=6),"2H")</f>
        <v>2H</v>
      </c>
      <c r="AD5" s="15" t="str" cm="1">
        <f t="array" ref="AD5">_xlfn.IFS(AND(MONTH(AD$3)&gt;=7,MONTH(AD$3)&lt;=12),"1H",AND(MONTH(AD$3)&gt;=1,MONTH(AD$3)&lt;=6),"2H")</f>
        <v>1H</v>
      </c>
      <c r="AE5" s="15" t="str" cm="1">
        <f t="array" ref="AE5">_xlfn.IFS(AND(MONTH(AE$3)&gt;=7,MONTH(AE$3)&lt;=12),"1H",AND(MONTH(AE$3)&gt;=1,MONTH(AE$3)&lt;=6),"2H")</f>
        <v>2H</v>
      </c>
      <c r="AF5" s="15" t="str" cm="1">
        <f t="array" ref="AF5">_xlfn.IFS(AND(MONTH(AF$3)&gt;=7,MONTH(AF$3)&lt;=12),"1H",AND(MONTH(AF$3)&gt;=1,MONTH(AF$3)&lt;=6),"2H")</f>
        <v>1H</v>
      </c>
      <c r="AG5" s="15" t="str" cm="1">
        <f t="array" ref="AG5">_xlfn.IFS(AND(MONTH(AG$3)&gt;=7,MONTH(AG$3)&lt;=12),"1H",AND(MONTH(AG$3)&gt;=1,MONTH(AG$3)&lt;=6),"2H")</f>
        <v>2H</v>
      </c>
      <c r="AH5" s="15" t="str" cm="1">
        <f t="array" ref="AH5">_xlfn.IFS(AND(MONTH(AH$3)&gt;=7,MONTH(AH$3)&lt;=12),"1H",AND(MONTH(AH$3)&gt;=1,MONTH(AH$3)&lt;=6),"2H")</f>
        <v>1H</v>
      </c>
      <c r="AI5" s="15" t="str" cm="1">
        <f t="array" ref="AI5">_xlfn.IFS(AND(MONTH(AI$3)&gt;=7,MONTH(AI$3)&lt;=12),"1H",AND(MONTH(AI$3)&gt;=1,MONTH(AI$3)&lt;=6),"2H")</f>
        <v>2H</v>
      </c>
      <c r="AJ5" s="15" t="str" cm="1">
        <f t="array" ref="AJ5">_xlfn.IFS(AND(MONTH(AJ$3)&gt;=7,MONTH(AJ$3)&lt;=12),"1H",AND(MONTH(AJ$3)&gt;=1,MONTH(AJ$3)&lt;=6),"2H")</f>
        <v>1H</v>
      </c>
      <c r="AK5" s="15" t="str" cm="1">
        <f t="array" ref="AK5">_xlfn.IFS(AND(MONTH(AK$3)&gt;=7,MONTH(AK$3)&lt;=12),"1H",AND(MONTH(AK$3)&gt;=1,MONTH(AK$3)&lt;=6),"2H")</f>
        <v>2H</v>
      </c>
    </row>
    <row r="6" spans="1:37" s="7" customFormat="1" x14ac:dyDescent="0.2">
      <c r="A6" s="8"/>
      <c r="B6" s="13" t="s">
        <v>3</v>
      </c>
      <c r="C6" s="14"/>
      <c r="D6" s="15">
        <f t="shared" ref="D6:AK6" si="2">IF(MONTH(D3)&gt;6,RIGHT(YEAR(D3),2)+1,RIGHT(YEAR(D3),2))</f>
        <v>18</v>
      </c>
      <c r="E6" s="15" t="str">
        <f t="shared" si="2"/>
        <v>18</v>
      </c>
      <c r="F6" s="15">
        <f t="shared" si="2"/>
        <v>19</v>
      </c>
      <c r="G6" s="15" t="str">
        <f t="shared" si="2"/>
        <v>19</v>
      </c>
      <c r="H6" s="15">
        <f t="shared" si="2"/>
        <v>20</v>
      </c>
      <c r="I6" s="15" t="str">
        <f t="shared" si="2"/>
        <v>20</v>
      </c>
      <c r="J6" s="15">
        <f t="shared" si="2"/>
        <v>21</v>
      </c>
      <c r="K6" s="15" t="str">
        <f t="shared" si="2"/>
        <v>21</v>
      </c>
      <c r="L6" s="15">
        <f t="shared" si="2"/>
        <v>22</v>
      </c>
      <c r="M6" s="15" t="str">
        <f t="shared" si="2"/>
        <v>22</v>
      </c>
      <c r="N6" s="15">
        <f t="shared" si="2"/>
        <v>23</v>
      </c>
      <c r="O6" s="15" t="str">
        <f t="shared" si="2"/>
        <v>23</v>
      </c>
      <c r="P6" s="15">
        <f t="shared" si="2"/>
        <v>24</v>
      </c>
      <c r="Q6" s="15" t="str">
        <f t="shared" si="2"/>
        <v>24</v>
      </c>
      <c r="R6" s="15">
        <f t="shared" si="2"/>
        <v>25</v>
      </c>
      <c r="S6" s="15" t="str">
        <f t="shared" si="2"/>
        <v>25</v>
      </c>
      <c r="T6" s="15">
        <f t="shared" si="2"/>
        <v>26</v>
      </c>
      <c r="U6" s="15" t="str">
        <f t="shared" si="2"/>
        <v>26</v>
      </c>
      <c r="V6" s="15">
        <f t="shared" si="2"/>
        <v>27</v>
      </c>
      <c r="W6" s="15" t="str">
        <f t="shared" si="2"/>
        <v>27</v>
      </c>
      <c r="X6" s="15">
        <f t="shared" si="2"/>
        <v>28</v>
      </c>
      <c r="Y6" s="15" t="str">
        <f t="shared" si="2"/>
        <v>28</v>
      </c>
      <c r="Z6" s="15">
        <f t="shared" si="2"/>
        <v>29</v>
      </c>
      <c r="AA6" s="15" t="str">
        <f t="shared" si="2"/>
        <v>29</v>
      </c>
      <c r="AB6" s="15">
        <f t="shared" si="2"/>
        <v>30</v>
      </c>
      <c r="AC6" s="15" t="str">
        <f t="shared" si="2"/>
        <v>30</v>
      </c>
      <c r="AD6" s="15">
        <f t="shared" si="2"/>
        <v>31</v>
      </c>
      <c r="AE6" s="15" t="str">
        <f t="shared" si="2"/>
        <v>31</v>
      </c>
      <c r="AF6" s="15">
        <f t="shared" si="2"/>
        <v>32</v>
      </c>
      <c r="AG6" s="15" t="str">
        <f t="shared" si="2"/>
        <v>32</v>
      </c>
      <c r="AH6" s="15">
        <f t="shared" si="2"/>
        <v>33</v>
      </c>
      <c r="AI6" s="15" t="str">
        <f t="shared" si="2"/>
        <v>33</v>
      </c>
      <c r="AJ6" s="15">
        <f t="shared" si="2"/>
        <v>34</v>
      </c>
      <c r="AK6" s="15" t="str">
        <f t="shared" si="2"/>
        <v>34</v>
      </c>
    </row>
    <row r="7" spans="1:37" s="7" customFormat="1" x14ac:dyDescent="0.2">
      <c r="A7" s="8"/>
      <c r="B7" s="13" t="s">
        <v>4</v>
      </c>
      <c r="C7" s="14"/>
      <c r="D7" s="15" t="str">
        <f t="shared" ref="D7:AK7" si="3">D$5&amp;TEXT(D$6,"00")</f>
        <v>1H18</v>
      </c>
      <c r="E7" s="15" t="str">
        <f t="shared" si="3"/>
        <v>2H18</v>
      </c>
      <c r="F7" s="15" t="str">
        <f t="shared" si="3"/>
        <v>1H19</v>
      </c>
      <c r="G7" s="15" t="str">
        <f t="shared" si="3"/>
        <v>2H19</v>
      </c>
      <c r="H7" s="15" t="str">
        <f t="shared" si="3"/>
        <v>1H20</v>
      </c>
      <c r="I7" s="15" t="str">
        <f t="shared" si="3"/>
        <v>2H20</v>
      </c>
      <c r="J7" s="15" t="str">
        <f t="shared" si="3"/>
        <v>1H21</v>
      </c>
      <c r="K7" s="15" t="str">
        <f t="shared" si="3"/>
        <v>2H21</v>
      </c>
      <c r="L7" s="15" t="str">
        <f t="shared" si="3"/>
        <v>1H22</v>
      </c>
      <c r="M7" s="15" t="str">
        <f t="shared" si="3"/>
        <v>2H22</v>
      </c>
      <c r="N7" s="15" t="str">
        <f t="shared" si="3"/>
        <v>1H23</v>
      </c>
      <c r="O7" s="15" t="str">
        <f t="shared" si="3"/>
        <v>2H23</v>
      </c>
      <c r="P7" s="15" t="str">
        <f t="shared" si="3"/>
        <v>1H24</v>
      </c>
      <c r="Q7" s="15" t="str">
        <f t="shared" si="3"/>
        <v>2H24</v>
      </c>
      <c r="R7" s="15" t="str">
        <f t="shared" si="3"/>
        <v>1H25</v>
      </c>
      <c r="S7" s="15" t="str">
        <f t="shared" si="3"/>
        <v>2H25</v>
      </c>
      <c r="T7" s="15" t="str">
        <f t="shared" si="3"/>
        <v>1H26</v>
      </c>
      <c r="U7" s="15" t="str">
        <f t="shared" si="3"/>
        <v>2H26</v>
      </c>
      <c r="V7" s="15" t="str">
        <f t="shared" si="3"/>
        <v>1H27</v>
      </c>
      <c r="W7" s="15" t="str">
        <f t="shared" si="3"/>
        <v>2H27</v>
      </c>
      <c r="X7" s="15" t="str">
        <f t="shared" si="3"/>
        <v>1H28</v>
      </c>
      <c r="Y7" s="15" t="str">
        <f t="shared" si="3"/>
        <v>2H28</v>
      </c>
      <c r="Z7" s="15" t="str">
        <f t="shared" si="3"/>
        <v>1H29</v>
      </c>
      <c r="AA7" s="15" t="str">
        <f t="shared" si="3"/>
        <v>2H29</v>
      </c>
      <c r="AB7" s="15" t="str">
        <f t="shared" si="3"/>
        <v>1H30</v>
      </c>
      <c r="AC7" s="15" t="str">
        <f t="shared" si="3"/>
        <v>2H30</v>
      </c>
      <c r="AD7" s="15" t="str">
        <f t="shared" si="3"/>
        <v>1H31</v>
      </c>
      <c r="AE7" s="15" t="str">
        <f t="shared" si="3"/>
        <v>2H31</v>
      </c>
      <c r="AF7" s="15" t="str">
        <f t="shared" si="3"/>
        <v>1H32</v>
      </c>
      <c r="AG7" s="15" t="str">
        <f t="shared" si="3"/>
        <v>2H32</v>
      </c>
      <c r="AH7" s="15" t="str">
        <f t="shared" si="3"/>
        <v>1H33</v>
      </c>
      <c r="AI7" s="15" t="str">
        <f t="shared" si="3"/>
        <v>2H33</v>
      </c>
      <c r="AJ7" s="15" t="str">
        <f t="shared" si="3"/>
        <v>1H34</v>
      </c>
      <c r="AK7" s="15" t="str">
        <f t="shared" si="3"/>
        <v>2H34</v>
      </c>
    </row>
    <row r="8" spans="1:37" s="16" customFormat="1" x14ac:dyDescent="0.2">
      <c r="B8" s="13" t="s">
        <v>5</v>
      </c>
      <c r="C8" s="17"/>
      <c r="D8" s="15" cm="1">
        <f t="array" ref="D8">_xlfn.IFS(MONTH(D$3)=12,YEAR(D$3)+1,MONTH(D$3)=6,YEAR(D$3))</f>
        <v>2018</v>
      </c>
      <c r="E8" s="15" cm="1">
        <f t="array" ref="E8">_xlfn.IFS(MONTH(E$3)=12,YEAR(E$3)+1,MONTH(E$3)=6,YEAR(E$3))</f>
        <v>2018</v>
      </c>
      <c r="F8" s="15" cm="1">
        <f t="array" ref="F8">_xlfn.IFS(MONTH(F$3)=12,YEAR(F$3)+1,MONTH(F$3)=6,YEAR(F$3))</f>
        <v>2019</v>
      </c>
      <c r="G8" s="15" cm="1">
        <f t="array" ref="G8">_xlfn.IFS(MONTH(G$3)=12,YEAR(G$3)+1,MONTH(G$3)=6,YEAR(G$3))</f>
        <v>2019</v>
      </c>
      <c r="H8" s="15" cm="1">
        <f t="array" ref="H8">_xlfn.IFS(MONTH(H$3)=12,YEAR(H$3)+1,MONTH(H$3)=6,YEAR(H$3))</f>
        <v>2020</v>
      </c>
      <c r="I8" s="15" cm="1">
        <f t="array" ref="I8">_xlfn.IFS(MONTH(I$3)=12,YEAR(I$3)+1,MONTH(I$3)=6,YEAR(I$3))</f>
        <v>2020</v>
      </c>
      <c r="J8" s="15" cm="1">
        <f t="array" ref="J8">_xlfn.IFS(MONTH(J$3)=12,YEAR(J$3)+1,MONTH(J$3)=6,YEAR(J$3))</f>
        <v>2021</v>
      </c>
      <c r="K8" s="15" cm="1">
        <f t="array" ref="K8">_xlfn.IFS(MONTH(K$3)=12,YEAR(K$3)+1,MONTH(K$3)=6,YEAR(K$3))</f>
        <v>2021</v>
      </c>
      <c r="L8" s="15" cm="1">
        <f t="array" ref="L8">_xlfn.IFS(MONTH(L$3)=12,YEAR(L$3)+1,MONTH(L$3)=6,YEAR(L$3))</f>
        <v>2022</v>
      </c>
      <c r="M8" s="15" cm="1">
        <f t="array" ref="M8">_xlfn.IFS(MONTH(M$3)=12,YEAR(M$3)+1,MONTH(M$3)=6,YEAR(M$3))</f>
        <v>2022</v>
      </c>
      <c r="N8" s="15" cm="1">
        <f t="array" ref="N8">_xlfn.IFS(MONTH(N$3)=12,YEAR(N$3)+1,MONTH(N$3)=6,YEAR(N$3))</f>
        <v>2023</v>
      </c>
      <c r="O8" s="15" cm="1">
        <f t="array" ref="O8">_xlfn.IFS(MONTH(O$3)=12,YEAR(O$3)+1,MONTH(O$3)=6,YEAR(O$3))</f>
        <v>2023</v>
      </c>
      <c r="P8" s="15" cm="1">
        <f t="array" ref="P8">_xlfn.IFS(MONTH(P$3)=12,YEAR(P$3)+1,MONTH(P$3)=6,YEAR(P$3))</f>
        <v>2024</v>
      </c>
      <c r="Q8" s="15" cm="1">
        <f t="array" ref="Q8">_xlfn.IFS(MONTH(Q$3)=12,YEAR(Q$3)+1,MONTH(Q$3)=6,YEAR(Q$3))</f>
        <v>2024</v>
      </c>
      <c r="R8" s="15" cm="1">
        <f t="array" ref="R8">_xlfn.IFS(MONTH(R$3)=12,YEAR(R$3)+1,MONTH(R$3)=6,YEAR(R$3))</f>
        <v>2025</v>
      </c>
      <c r="S8" s="15" cm="1">
        <f t="array" ref="S8">_xlfn.IFS(MONTH(S$3)=12,YEAR(S$3)+1,MONTH(S$3)=6,YEAR(S$3))</f>
        <v>2025</v>
      </c>
      <c r="T8" s="15" cm="1">
        <f t="array" ref="T8">_xlfn.IFS(MONTH(T$3)=12,YEAR(T$3)+1,MONTH(T$3)=6,YEAR(T$3))</f>
        <v>2026</v>
      </c>
      <c r="U8" s="15" cm="1">
        <f t="array" ref="U8">_xlfn.IFS(MONTH(U$3)=12,YEAR(U$3)+1,MONTH(U$3)=6,YEAR(U$3))</f>
        <v>2026</v>
      </c>
      <c r="V8" s="15" cm="1">
        <f t="array" ref="V8">_xlfn.IFS(MONTH(V$3)=12,YEAR(V$3)+1,MONTH(V$3)=6,YEAR(V$3))</f>
        <v>2027</v>
      </c>
      <c r="W8" s="15" cm="1">
        <f t="array" ref="W8">_xlfn.IFS(MONTH(W$3)=12,YEAR(W$3)+1,MONTH(W$3)=6,YEAR(W$3))</f>
        <v>2027</v>
      </c>
      <c r="X8" s="15" cm="1">
        <f t="array" ref="X8">_xlfn.IFS(MONTH(X$3)=12,YEAR(X$3)+1,MONTH(X$3)=6,YEAR(X$3))</f>
        <v>2028</v>
      </c>
      <c r="Y8" s="15" cm="1">
        <f t="array" ref="Y8">_xlfn.IFS(MONTH(Y$3)=12,YEAR(Y$3)+1,MONTH(Y$3)=6,YEAR(Y$3))</f>
        <v>2028</v>
      </c>
      <c r="Z8" s="15" cm="1">
        <f t="array" ref="Z8">_xlfn.IFS(MONTH(Z$3)=12,YEAR(Z$3)+1,MONTH(Z$3)=6,YEAR(Z$3))</f>
        <v>2029</v>
      </c>
      <c r="AA8" s="15" cm="1">
        <f t="array" ref="AA8">_xlfn.IFS(MONTH(AA$3)=12,YEAR(AA$3)+1,MONTH(AA$3)=6,YEAR(AA$3))</f>
        <v>2029</v>
      </c>
      <c r="AB8" s="15" cm="1">
        <f t="array" ref="AB8">_xlfn.IFS(MONTH(AB$3)=12,YEAR(AB$3)+1,MONTH(AB$3)=6,YEAR(AB$3))</f>
        <v>2030</v>
      </c>
      <c r="AC8" s="15" cm="1">
        <f t="array" ref="AC8">_xlfn.IFS(MONTH(AC$3)=12,YEAR(AC$3)+1,MONTH(AC$3)=6,YEAR(AC$3))</f>
        <v>2030</v>
      </c>
      <c r="AD8" s="15" cm="1">
        <f t="array" ref="AD8">_xlfn.IFS(MONTH(AD$3)=12,YEAR(AD$3)+1,MONTH(AD$3)=6,YEAR(AD$3))</f>
        <v>2031</v>
      </c>
      <c r="AE8" s="15" cm="1">
        <f t="array" ref="AE8">_xlfn.IFS(MONTH(AE$3)=12,YEAR(AE$3)+1,MONTH(AE$3)=6,YEAR(AE$3))</f>
        <v>2031</v>
      </c>
      <c r="AF8" s="15" cm="1">
        <f t="array" ref="AF8">_xlfn.IFS(MONTH(AF$3)=12,YEAR(AF$3)+1,MONTH(AF$3)=6,YEAR(AF$3))</f>
        <v>2032</v>
      </c>
      <c r="AG8" s="15" cm="1">
        <f t="array" ref="AG8">_xlfn.IFS(MONTH(AG$3)=12,YEAR(AG$3)+1,MONTH(AG$3)=6,YEAR(AG$3))</f>
        <v>2032</v>
      </c>
      <c r="AH8" s="15" cm="1">
        <f t="array" ref="AH8">_xlfn.IFS(MONTH(AH$3)=12,YEAR(AH$3)+1,MONTH(AH$3)=6,YEAR(AH$3))</f>
        <v>2033</v>
      </c>
      <c r="AI8" s="15" cm="1">
        <f t="array" ref="AI8">_xlfn.IFS(MONTH(AI$3)=12,YEAR(AI$3)+1,MONTH(AI$3)=6,YEAR(AI$3))</f>
        <v>2033</v>
      </c>
      <c r="AJ8" s="15" cm="1">
        <f t="array" ref="AJ8">_xlfn.IFS(MONTH(AJ$3)=12,YEAR(AJ$3)+1,MONTH(AJ$3)=6,YEAR(AJ$3))</f>
        <v>2034</v>
      </c>
      <c r="AK8" s="15" cm="1">
        <f t="array" ref="AK8">_xlfn.IFS(MONTH(AK$3)=12,YEAR(AK$3)+1,MONTH(AK$3)=6,YEAR(AK$3))</f>
        <v>2034</v>
      </c>
    </row>
    <row r="9" spans="1:37" x14ac:dyDescent="0.2">
      <c r="B9" s="18" t="s">
        <v>6</v>
      </c>
      <c r="C9" s="7"/>
      <c r="D9" s="7" t="str">
        <f>IF(ISNUMBER(D$14),"A","E")</f>
        <v>A</v>
      </c>
      <c r="E9" s="7" t="str">
        <f t="shared" ref="E9:AK9" si="4">IF(ISNUMBER(E$14),"A","E")</f>
        <v>A</v>
      </c>
      <c r="F9" s="7" t="str">
        <f t="shared" si="4"/>
        <v>A</v>
      </c>
      <c r="G9" s="7" t="str">
        <f t="shared" si="4"/>
        <v>A</v>
      </c>
      <c r="H9" s="7" t="str">
        <f t="shared" si="4"/>
        <v>A</v>
      </c>
      <c r="I9" s="7" t="str">
        <f t="shared" si="4"/>
        <v>A</v>
      </c>
      <c r="J9" s="7" t="str">
        <f t="shared" si="4"/>
        <v>A</v>
      </c>
      <c r="K9" s="7" t="str">
        <f t="shared" si="4"/>
        <v>A</v>
      </c>
      <c r="L9" s="7" t="str">
        <f t="shared" si="4"/>
        <v>A</v>
      </c>
      <c r="M9" s="7" t="str">
        <f t="shared" si="4"/>
        <v>A</v>
      </c>
      <c r="N9" s="7" t="str">
        <f t="shared" si="4"/>
        <v>A</v>
      </c>
      <c r="O9" s="7" t="str">
        <f t="shared" si="4"/>
        <v>A</v>
      </c>
      <c r="P9" s="7" t="str">
        <f t="shared" si="4"/>
        <v>A</v>
      </c>
      <c r="Q9" s="7" t="str">
        <f t="shared" si="4"/>
        <v>E</v>
      </c>
      <c r="R9" s="7" t="str">
        <f t="shared" si="4"/>
        <v>E</v>
      </c>
      <c r="S9" s="7" t="str">
        <f t="shared" si="4"/>
        <v>E</v>
      </c>
      <c r="T9" s="7" t="str">
        <f t="shared" si="4"/>
        <v>E</v>
      </c>
      <c r="U9" s="7" t="str">
        <f t="shared" si="4"/>
        <v>E</v>
      </c>
      <c r="V9" s="7" t="str">
        <f t="shared" si="4"/>
        <v>E</v>
      </c>
      <c r="W9" s="7" t="str">
        <f t="shared" si="4"/>
        <v>E</v>
      </c>
      <c r="X9" s="7" t="str">
        <f t="shared" si="4"/>
        <v>E</v>
      </c>
      <c r="Y9" s="7" t="str">
        <f t="shared" si="4"/>
        <v>E</v>
      </c>
      <c r="Z9" s="7" t="str">
        <f t="shared" si="4"/>
        <v>E</v>
      </c>
      <c r="AA9" s="7" t="str">
        <f t="shared" si="4"/>
        <v>E</v>
      </c>
      <c r="AB9" s="7" t="str">
        <f t="shared" si="4"/>
        <v>E</v>
      </c>
      <c r="AC9" s="7" t="str">
        <f t="shared" si="4"/>
        <v>E</v>
      </c>
      <c r="AD9" s="7" t="str">
        <f t="shared" si="4"/>
        <v>E</v>
      </c>
      <c r="AE9" s="7" t="str">
        <f t="shared" si="4"/>
        <v>E</v>
      </c>
      <c r="AF9" s="7" t="str">
        <f t="shared" si="4"/>
        <v>E</v>
      </c>
      <c r="AG9" s="7" t="str">
        <f t="shared" si="4"/>
        <v>E</v>
      </c>
      <c r="AH9" s="7" t="str">
        <f t="shared" si="4"/>
        <v>E</v>
      </c>
      <c r="AI9" s="7" t="str">
        <f t="shared" si="4"/>
        <v>E</v>
      </c>
      <c r="AJ9" s="7" t="str">
        <f t="shared" si="4"/>
        <v>E</v>
      </c>
      <c r="AK9" s="7" t="str">
        <f t="shared" si="4"/>
        <v>E</v>
      </c>
    </row>
    <row r="10" spans="1:37" s="19" customFormat="1" x14ac:dyDescent="0.2">
      <c r="A10" s="12"/>
      <c r="B10" s="18" t="s">
        <v>7</v>
      </c>
      <c r="C10" s="7"/>
      <c r="D10" s="7">
        <f>D3-EOMONTH(D3,-6)</f>
        <v>184</v>
      </c>
      <c r="E10" s="7">
        <f t="shared" ref="E10:AK10" si="5">E3-D3</f>
        <v>181</v>
      </c>
      <c r="F10" s="7">
        <f t="shared" si="5"/>
        <v>184</v>
      </c>
      <c r="G10" s="7">
        <f t="shared" si="5"/>
        <v>181</v>
      </c>
      <c r="H10" s="7">
        <f t="shared" si="5"/>
        <v>184</v>
      </c>
      <c r="I10" s="7">
        <f t="shared" si="5"/>
        <v>182</v>
      </c>
      <c r="J10" s="7">
        <f t="shared" si="5"/>
        <v>184</v>
      </c>
      <c r="K10" s="7">
        <f t="shared" si="5"/>
        <v>181</v>
      </c>
      <c r="L10" s="7">
        <f t="shared" si="5"/>
        <v>184</v>
      </c>
      <c r="M10" s="7">
        <f t="shared" si="5"/>
        <v>181</v>
      </c>
      <c r="N10" s="7">
        <f t="shared" si="5"/>
        <v>184</v>
      </c>
      <c r="O10" s="7">
        <f t="shared" si="5"/>
        <v>181</v>
      </c>
      <c r="P10" s="7">
        <f t="shared" si="5"/>
        <v>184</v>
      </c>
      <c r="Q10" s="7">
        <f t="shared" si="5"/>
        <v>182</v>
      </c>
      <c r="R10" s="7">
        <f t="shared" si="5"/>
        <v>184</v>
      </c>
      <c r="S10" s="7">
        <f t="shared" si="5"/>
        <v>181</v>
      </c>
      <c r="T10" s="7">
        <f t="shared" si="5"/>
        <v>184</v>
      </c>
      <c r="U10" s="7">
        <f t="shared" si="5"/>
        <v>181</v>
      </c>
      <c r="V10" s="7">
        <f t="shared" si="5"/>
        <v>184</v>
      </c>
      <c r="W10" s="7">
        <f t="shared" si="5"/>
        <v>181</v>
      </c>
      <c r="X10" s="7">
        <f t="shared" si="5"/>
        <v>184</v>
      </c>
      <c r="Y10" s="7">
        <f t="shared" si="5"/>
        <v>182</v>
      </c>
      <c r="Z10" s="7">
        <f t="shared" si="5"/>
        <v>184</v>
      </c>
      <c r="AA10" s="7">
        <f t="shared" si="5"/>
        <v>181</v>
      </c>
      <c r="AB10" s="7">
        <f t="shared" si="5"/>
        <v>184</v>
      </c>
      <c r="AC10" s="7">
        <f t="shared" si="5"/>
        <v>181</v>
      </c>
      <c r="AD10" s="7">
        <f t="shared" si="5"/>
        <v>184</v>
      </c>
      <c r="AE10" s="7">
        <f t="shared" si="5"/>
        <v>181</v>
      </c>
      <c r="AF10" s="7">
        <f t="shared" si="5"/>
        <v>184</v>
      </c>
      <c r="AG10" s="7">
        <f t="shared" si="5"/>
        <v>182</v>
      </c>
      <c r="AH10" s="7">
        <f t="shared" si="5"/>
        <v>184</v>
      </c>
      <c r="AI10" s="7">
        <f t="shared" si="5"/>
        <v>181</v>
      </c>
      <c r="AJ10" s="7">
        <f t="shared" si="5"/>
        <v>184</v>
      </c>
      <c r="AK10" s="7">
        <f t="shared" si="5"/>
        <v>181</v>
      </c>
    </row>
    <row r="11" spans="1:37" x14ac:dyDescent="0.2">
      <c r="C11" s="7"/>
    </row>
    <row r="12" spans="1:37" x14ac:dyDescent="0.2">
      <c r="B12" s="20" t="s">
        <v>8</v>
      </c>
      <c r="C12" s="7"/>
    </row>
    <row r="13" spans="1:37" x14ac:dyDescent="0.2">
      <c r="B13" s="21" t="s">
        <v>9</v>
      </c>
    </row>
    <row r="14" spans="1:37" x14ac:dyDescent="0.2">
      <c r="B14" s="22" t="s">
        <v>10</v>
      </c>
      <c r="D14" s="23">
        <v>4254</v>
      </c>
      <c r="E14" s="23">
        <v>3765.4</v>
      </c>
      <c r="F14" s="23">
        <v>3969.7</v>
      </c>
      <c r="G14" s="23">
        <v>3458.8</v>
      </c>
      <c r="H14" s="23">
        <v>3612</v>
      </c>
      <c r="I14" s="23">
        <v>1742</v>
      </c>
      <c r="J14" s="23">
        <v>2595</v>
      </c>
      <c r="K14" s="23">
        <v>2710</v>
      </c>
      <c r="L14" s="24">
        <v>1720.5</v>
      </c>
      <c r="M14" s="24">
        <v>2476.1999999999998</v>
      </c>
      <c r="N14" s="24">
        <v>2839</v>
      </c>
      <c r="O14" s="24">
        <v>2445.1000000000004</v>
      </c>
      <c r="P14" s="24">
        <v>2732.4</v>
      </c>
      <c r="R14" s="26"/>
    </row>
    <row r="15" spans="1:37" x14ac:dyDescent="0.2">
      <c r="B15" s="22" t="s">
        <v>11</v>
      </c>
      <c r="D15" s="23">
        <v>3491.4</v>
      </c>
      <c r="E15" s="23">
        <v>3360.2000000000003</v>
      </c>
      <c r="F15" s="23">
        <v>3821.9000000000005</v>
      </c>
      <c r="G15" s="23">
        <v>3446.8</v>
      </c>
      <c r="H15" s="23">
        <v>3616</v>
      </c>
      <c r="I15" s="23">
        <v>3842</v>
      </c>
      <c r="J15" s="23">
        <v>5167</v>
      </c>
      <c r="K15" s="23">
        <v>4314</v>
      </c>
      <c r="L15" s="24">
        <v>5259</v>
      </c>
      <c r="M15" s="24">
        <v>4438</v>
      </c>
      <c r="N15" s="24">
        <v>4920.5</v>
      </c>
      <c r="O15" s="24">
        <v>4346.2000000000007</v>
      </c>
      <c r="P15" s="24">
        <v>4731.2</v>
      </c>
      <c r="R15" s="26"/>
    </row>
    <row r="16" spans="1:37" x14ac:dyDescent="0.2">
      <c r="B16" s="22" t="s">
        <v>12</v>
      </c>
      <c r="D16" s="25">
        <f>_xlfn.XLOOKUP(D$7,SBET!$18:$18,SBET!$94:$94)</f>
        <v>2998.4194196733479</v>
      </c>
      <c r="E16" s="25">
        <f>_xlfn.XLOOKUP(E$7,SBET!$18:$18,SBET!$94:$94)</f>
        <v>3770.1164562935642</v>
      </c>
      <c r="F16" s="25">
        <f>_xlfn.XLOOKUP(F$7,SBET!$18:$18,SBET!$94:$94)</f>
        <v>3921.6312318015985</v>
      </c>
      <c r="G16" s="25">
        <f>_xlfn.XLOOKUP(G$7,SBET!$18:$18,SBET!$94:$94)</f>
        <v>6066.1924436682702</v>
      </c>
      <c r="H16" s="25">
        <f>_xlfn.XLOOKUP(H$7,SBET!$18:$18,SBET!$94:$94)</f>
        <v>6326.0607817342661</v>
      </c>
      <c r="I16" s="25">
        <f>_xlfn.XLOOKUP(I$7,SBET!$18:$18,SBET!$94:$94)</f>
        <v>7132.9196940444772</v>
      </c>
      <c r="J16" s="25">
        <f>_xlfn.XLOOKUP(J$7,SBET!$18:$18,SBET!$94:$94)</f>
        <v>10820.753051496698</v>
      </c>
      <c r="K16" s="25">
        <f>_xlfn.XLOOKUP(K$7,SBET!$18:$18,SBET!$94:$94)</f>
        <v>9001.6286667680761</v>
      </c>
      <c r="L16" s="25">
        <f>_xlfn.XLOOKUP(L$7,SBET!$18:$18,SBET!$94:$94)</f>
        <v>12483.669814875177</v>
      </c>
      <c r="M16" s="25">
        <f>_xlfn.XLOOKUP(M$7,SBET!$18:$18,SBET!$94:$94)</f>
        <v>9392.0397843059964</v>
      </c>
      <c r="N16" s="25">
        <f>_xlfn.XLOOKUP(N$7,SBET!$18:$18,SBET!$94:$94)</f>
        <v>10671.301531646679</v>
      </c>
      <c r="O16" s="25">
        <f>_xlfn.XLOOKUP(O$7,SBET!$18:$18,SBET!$94:$94)</f>
        <v>9038.7017982228299</v>
      </c>
      <c r="P16" s="25">
        <f>_xlfn.XLOOKUP(P$7,SBET!$18:$18,SBET!$94:$94)</f>
        <v>8171.37951530592</v>
      </c>
      <c r="R16" s="26"/>
      <c r="T16" s="26"/>
    </row>
    <row r="17" spans="2:37" x14ac:dyDescent="0.2">
      <c r="B17" s="22" t="s">
        <v>13</v>
      </c>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row>
    <row r="18" spans="2:37" x14ac:dyDescent="0.2">
      <c r="B18" s="22" t="s">
        <v>15</v>
      </c>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119"/>
      <c r="AH18" s="119"/>
      <c r="AI18" s="119"/>
      <c r="AJ18" s="119"/>
      <c r="AK18" s="119"/>
    </row>
    <row r="19" spans="2:37" x14ac:dyDescent="0.2">
      <c r="B19" s="22" t="s">
        <v>14</v>
      </c>
      <c r="D19" s="120"/>
      <c r="E19" s="120"/>
      <c r="F19" s="25">
        <f>SUMIF(PBH!$9:$9,HY!F$7,PBH!$12:$12)</f>
        <v>209.6</v>
      </c>
      <c r="G19" s="25">
        <f>SUMIF(PBH!$9:$9,HY!G$7,PBH!$12:$12)</f>
        <v>280.5</v>
      </c>
      <c r="H19" s="25">
        <f>SUMIF(PBH!$9:$9,HY!H$7,PBH!$12:$12)</f>
        <v>349.20000000000005</v>
      </c>
      <c r="I19" s="25">
        <f>SUMIF(PBH!$9:$9,HY!I$7,PBH!$12:$12)</f>
        <v>481.29999999999995</v>
      </c>
      <c r="J19" s="25">
        <f>SUMIF(PBH!$9:$9,HY!J$7,PBH!$12:$12)</f>
        <v>1071</v>
      </c>
      <c r="K19" s="25">
        <f>SUMIF(PBH!$9:$9,HY!K$7,PBH!$12:$12)</f>
        <v>918</v>
      </c>
      <c r="L19" s="25">
        <f>SUMIF(PBH!$9:$9,HY!L$7,PBH!$12:$12)</f>
        <v>1358.4</v>
      </c>
      <c r="M19" s="25">
        <f>SUMIF(PBH!$9:$9,HY!M$7,PBH!$12:$12)</f>
        <v>1178</v>
      </c>
      <c r="N19" s="25">
        <f>SUMIF(PBH!$9:$9,HY!N$7,PBH!$12:$12)</f>
        <v>1550.4</v>
      </c>
      <c r="O19" s="25">
        <f>SUMIF(PBH!$9:$9,HY!O$7,PBH!$12:$12)</f>
        <v>1082.0999999999999</v>
      </c>
      <c r="P19" s="25">
        <f>SUMIF(PBH!$9:$9,HY!P$7,PBH!$12:$12)</f>
        <v>1468.5</v>
      </c>
    </row>
    <row r="20" spans="2:37" x14ac:dyDescent="0.2">
      <c r="B20" s="22" t="s">
        <v>16</v>
      </c>
      <c r="D20" s="119"/>
      <c r="E20" s="119"/>
      <c r="F20" s="119"/>
      <c r="G20" s="119"/>
      <c r="H20" s="120"/>
      <c r="I20" s="120"/>
      <c r="J20" s="25">
        <f>SUMIF('BBET + BetR'!$9:$9,HY!J$7,'BBET + BetR'!$12:$12)</f>
        <v>164.7</v>
      </c>
      <c r="K20" s="25">
        <f>SUMIF('BBET + BetR'!$9:$9,HY!K$7,'BBET + BetR'!$12:$12)</f>
        <v>180</v>
      </c>
      <c r="L20" s="25">
        <f>SUMIF('BBET + BetR'!$9:$9,HY!L$7,'BBET + BetR'!$12:$12)</f>
        <v>264.5</v>
      </c>
      <c r="M20" s="25">
        <f>SUMIF('BBET + BetR'!$9:$9,HY!M$7,'BBET + BetR'!$12:$12)</f>
        <v>247.4</v>
      </c>
      <c r="N20" s="25">
        <f>SUMIF('BBET + BetR'!$9:$9,HY!N$7,'BBET + BetR'!$12:$12)</f>
        <v>279.10000000000002</v>
      </c>
      <c r="O20" s="25">
        <f>SUMIF('BBET + BetR'!$9:$9,HY!O$7,'BBET + BetR'!$12:$12)</f>
        <v>250.7</v>
      </c>
      <c r="P20" s="25">
        <f>SUMIF('BBET + BetR'!$9:$9,HY!P$7,'BBET + BetR'!$12:$12)</f>
        <v>298.70000000000005</v>
      </c>
    </row>
    <row r="21" spans="2:37" x14ac:dyDescent="0.2">
      <c r="B21" s="22" t="s">
        <v>596</v>
      </c>
      <c r="D21" s="119"/>
      <c r="E21" s="119"/>
      <c r="F21" s="119"/>
      <c r="G21" s="119"/>
      <c r="H21" s="120"/>
      <c r="I21" s="120"/>
      <c r="J21" s="120"/>
      <c r="K21" s="120"/>
      <c r="L21" s="120"/>
      <c r="M21" s="120"/>
      <c r="N21" s="120"/>
      <c r="O21" s="120"/>
      <c r="P21" s="25">
        <f>SUMIF(BETR!$10:$10,HY!P$7,BETR!$12:$12)</f>
        <v>673.2</v>
      </c>
    </row>
    <row r="22" spans="2:37" x14ac:dyDescent="0.2">
      <c r="B22" s="18"/>
      <c r="M22" s="25"/>
      <c r="O22" s="25"/>
    </row>
    <row r="23" spans="2:37" x14ac:dyDescent="0.2">
      <c r="B23" s="21" t="s">
        <v>17</v>
      </c>
    </row>
    <row r="24" spans="2:37" x14ac:dyDescent="0.2">
      <c r="B24" s="22" t="s">
        <v>10</v>
      </c>
      <c r="C24" s="56"/>
      <c r="L24" s="24">
        <v>288.10000000000002</v>
      </c>
      <c r="M24" s="24">
        <v>410.69999999999993</v>
      </c>
      <c r="N24" s="24">
        <v>471.9</v>
      </c>
      <c r="O24" s="24">
        <v>410.1</v>
      </c>
      <c r="P24" s="24">
        <v>458.1</v>
      </c>
    </row>
    <row r="25" spans="2:37" x14ac:dyDescent="0.2">
      <c r="B25" s="22" t="s">
        <v>11</v>
      </c>
      <c r="C25" s="56"/>
      <c r="L25" s="24">
        <v>894.03000000000009</v>
      </c>
      <c r="M25" s="24">
        <v>744.76300000000003</v>
      </c>
      <c r="N25" s="24">
        <v>806.96199999999999</v>
      </c>
      <c r="O25" s="24">
        <v>712.77680000000009</v>
      </c>
      <c r="P25" s="24">
        <v>780.64800000000002</v>
      </c>
    </row>
    <row r="26" spans="2:37" x14ac:dyDescent="0.2">
      <c r="B26" s="22" t="s">
        <v>12</v>
      </c>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row>
    <row r="27" spans="2:37" x14ac:dyDescent="0.2">
      <c r="B27" s="22" t="s">
        <v>13</v>
      </c>
      <c r="D27" s="119"/>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row>
    <row r="28" spans="2:37" x14ac:dyDescent="0.2">
      <c r="B28" s="22" t="s">
        <v>15</v>
      </c>
      <c r="D28" s="119"/>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row>
    <row r="29" spans="2:37" x14ac:dyDescent="0.2">
      <c r="B29" s="22" t="s">
        <v>14</v>
      </c>
      <c r="D29" s="120"/>
      <c r="E29" s="120"/>
      <c r="F29" s="25">
        <f>SUMIF(PBH!$9:$9,HY!F$7,PBH!$14:$14)</f>
        <v>21.8</v>
      </c>
      <c r="G29" s="25">
        <f>SUMIF(PBH!$9:$9,HY!G$7,PBH!$14:$14)</f>
        <v>28.700000000000003</v>
      </c>
      <c r="H29" s="25">
        <f>SUMIF(PBH!$9:$9,HY!H$7,PBH!$14:$14)</f>
        <v>38</v>
      </c>
      <c r="I29" s="25">
        <f>SUMIF(PBH!$9:$9,HY!I$7,PBH!$14:$14)</f>
        <v>62.8</v>
      </c>
      <c r="J29" s="25">
        <f>SUMIF(PBH!$9:$9,HY!J$7,PBH!$14:$14)</f>
        <v>136</v>
      </c>
      <c r="K29" s="25">
        <f>SUMIF(PBH!$9:$9,HY!K$7,PBH!$14:$14)</f>
        <v>121.2</v>
      </c>
      <c r="L29" s="25">
        <f>SUMIF(PBH!$9:$9,HY!L$7,PBH!$14:$14)</f>
        <v>180.10000000000002</v>
      </c>
      <c r="M29" s="25">
        <f>SUMIF(PBH!$9:$9,HY!M$7,PBH!$14:$14)</f>
        <v>158.30000000000001</v>
      </c>
      <c r="N29" s="25">
        <f>SUMIF(PBH!$9:$9,HY!N$7,PBH!$14:$14)</f>
        <v>166.5</v>
      </c>
      <c r="O29" s="25">
        <f>SUMIF(PBH!$9:$9,HY!O$7,PBH!$14:$14)</f>
        <v>142.6</v>
      </c>
      <c r="P29" s="25">
        <f>SUMIF(PBH!$9:$9,HY!P$7,PBH!$14:$14)</f>
        <v>159.69999999999999</v>
      </c>
    </row>
    <row r="30" spans="2:37" x14ac:dyDescent="0.2">
      <c r="B30" s="22" t="s">
        <v>16</v>
      </c>
      <c r="D30" s="119"/>
      <c r="E30" s="119"/>
      <c r="F30" s="119"/>
      <c r="G30" s="119"/>
      <c r="H30" s="119"/>
      <c r="I30" s="119"/>
      <c r="J30" s="25">
        <f>SUMIF('BBET + BetR'!$9:$9,HY!J$7,'BBET + BetR'!$14:$14)</f>
        <v>21.1</v>
      </c>
      <c r="K30" s="25">
        <f>SUMIF('BBET + BetR'!$9:$9,HY!K$7,'BBET + BetR'!$14:$14)</f>
        <v>23.1</v>
      </c>
      <c r="L30" s="25">
        <f>SUMIF('BBET + BetR'!$9:$9,HY!L$7,'BBET + BetR'!$14:$14)</f>
        <v>36.5</v>
      </c>
      <c r="M30" s="25">
        <f>SUMIF('BBET + BetR'!$9:$9,HY!M$7,'BBET + BetR'!$14:$14)</f>
        <v>34</v>
      </c>
      <c r="N30" s="25">
        <f>SUMIF('BBET + BetR'!$9:$9,HY!N$7,'BBET + BetR'!$14:$14)</f>
        <v>36</v>
      </c>
      <c r="O30" s="25">
        <f>SUMIF('BBET + BetR'!$9:$9,HY!O$7,'BBET + BetR'!$14:$14)</f>
        <v>34.900000000000006</v>
      </c>
      <c r="P30" s="25">
        <f>SUMIF('BBET + BetR'!$9:$9,HY!P$7,'BBET + BetR'!$14:$14)</f>
        <v>29.3</v>
      </c>
    </row>
    <row r="31" spans="2:37" x14ac:dyDescent="0.2">
      <c r="B31" s="22" t="s">
        <v>596</v>
      </c>
      <c r="D31" s="119"/>
      <c r="E31" s="119"/>
      <c r="F31" s="119"/>
      <c r="G31" s="119"/>
      <c r="H31" s="120"/>
      <c r="I31" s="120"/>
      <c r="J31" s="120"/>
      <c r="K31" s="120"/>
      <c r="L31" s="120"/>
      <c r="M31" s="120"/>
      <c r="N31" s="120"/>
      <c r="O31" s="120"/>
      <c r="P31" s="25">
        <f>SUMIF(BETR!$10:$10,HY!P$7,BETR!$14:$14)</f>
        <v>79.8</v>
      </c>
    </row>
    <row r="32" spans="2:37" x14ac:dyDescent="0.2">
      <c r="B32" s="18"/>
    </row>
    <row r="33" spans="2:37" x14ac:dyDescent="0.2">
      <c r="B33" s="21" t="s">
        <v>18</v>
      </c>
    </row>
    <row r="34" spans="2:37" x14ac:dyDescent="0.2">
      <c r="B34" s="22" t="s">
        <v>10</v>
      </c>
      <c r="C34" s="56"/>
      <c r="L34" s="24">
        <v>288.10000000000002</v>
      </c>
      <c r="M34" s="24">
        <v>410.69999999999993</v>
      </c>
      <c r="N34" s="24">
        <v>471.9</v>
      </c>
      <c r="O34" s="24">
        <v>410.1</v>
      </c>
      <c r="P34" s="24">
        <v>458.1</v>
      </c>
      <c r="R34" s="26"/>
      <c r="T34" s="26">
        <f>SUM(N34:O35)/SUM(L34:M35)-1</f>
        <v>1.1594782347943422E-2</v>
      </c>
    </row>
    <row r="35" spans="2:37" x14ac:dyDescent="0.2">
      <c r="B35" s="22" t="s">
        <v>11</v>
      </c>
      <c r="C35" s="56"/>
      <c r="L35" s="24">
        <v>702.3</v>
      </c>
      <c r="M35" s="24">
        <v>599.79999999999995</v>
      </c>
      <c r="N35" s="24">
        <v>599.20000000000005</v>
      </c>
      <c r="O35" s="24">
        <v>542.89999999999986</v>
      </c>
      <c r="P35" s="24">
        <v>572.9</v>
      </c>
    </row>
    <row r="36" spans="2:37" x14ac:dyDescent="0.2">
      <c r="B36" s="22" t="s">
        <v>12</v>
      </c>
      <c r="D36" s="25">
        <f>_xlfn.XLOOKUP(D$7,SBET!$18:$18,SBET!$96:$96)</f>
        <v>375.43661092356638</v>
      </c>
      <c r="E36" s="25">
        <f>_xlfn.XLOOKUP(E$7,SBET!$18:$18,SBET!$96:$96)</f>
        <v>369.16466719620047</v>
      </c>
      <c r="F36" s="25">
        <f>_xlfn.XLOOKUP(F$7,SBET!$18:$18,SBET!$96:$96)</f>
        <v>350.33715653286839</v>
      </c>
      <c r="G36" s="25">
        <f>_xlfn.XLOOKUP(G$7,SBET!$18:$18,SBET!$96:$96)</f>
        <v>575.11607104825998</v>
      </c>
      <c r="H36" s="25">
        <f>_xlfn.XLOOKUP(H$7,SBET!$18:$18,SBET!$96:$96)</f>
        <v>675.0986644072334</v>
      </c>
      <c r="I36" s="25">
        <f>_xlfn.XLOOKUP(I$7,SBET!$18:$18,SBET!$96:$96)</f>
        <v>833.41930349431846</v>
      </c>
      <c r="J36" s="25">
        <f>_xlfn.XLOOKUP(J$7,SBET!$18:$18,SBET!$96:$96)</f>
        <v>1156.1405597592466</v>
      </c>
      <c r="K36" s="25">
        <f>_xlfn.XLOOKUP(K$7,SBET!$18:$18,SBET!$96:$96)</f>
        <v>1053.1905540118651</v>
      </c>
      <c r="L36" s="25">
        <f>_xlfn.XLOOKUP(L$7,SBET!$18:$18,SBET!$96:$96)</f>
        <v>1320.6388986491347</v>
      </c>
      <c r="M36" s="25">
        <f>_xlfn.XLOOKUP(M$7,SBET!$18:$18,SBET!$96:$96)</f>
        <v>1103.4609998071164</v>
      </c>
      <c r="N36" s="25">
        <f>_xlfn.XLOOKUP(N$7,SBET!$18:$18,SBET!$96:$96)</f>
        <v>1141.2875467557069</v>
      </c>
      <c r="O36" s="25">
        <f>_xlfn.XLOOKUP(O$7,SBET!$18:$18,SBET!$96:$96)</f>
        <v>1096.761514381571</v>
      </c>
      <c r="P36" s="25">
        <f>_xlfn.XLOOKUP(P$7,SBET!$18:$18,SBET!$96:$96)</f>
        <v>969.78113702198289</v>
      </c>
      <c r="R36" s="26">
        <f>SUM(L36:M36)/SUM(J36:K36)-1</f>
        <v>9.7209867432930919E-2</v>
      </c>
      <c r="T36" s="26">
        <f>SUM(N36:O36)/SUM(L36:M36)-1</f>
        <v>-7.675048269976692E-2</v>
      </c>
    </row>
    <row r="37" spans="2:37" x14ac:dyDescent="0.2">
      <c r="B37" s="22" t="s">
        <v>13</v>
      </c>
      <c r="D37" s="119"/>
      <c r="E37" s="25">
        <f>_xlfn.XLOOKUP(E$7,ENT!$17:$17,ENT!$28:$28)</f>
        <v>157.12085277195303</v>
      </c>
      <c r="F37" s="25">
        <f>_xlfn.XLOOKUP(F$7,ENT!$17:$17,ENT!$28:$28)</f>
        <v>204.83165233642046</v>
      </c>
      <c r="G37" s="25">
        <f>_xlfn.XLOOKUP(G$7,ENT!$17:$17,ENT!$28:$28)</f>
        <v>206.54746556693138</v>
      </c>
      <c r="H37" s="25">
        <f>_xlfn.XLOOKUP(H$7,ENT!$17:$17,ENT!$28:$28)</f>
        <v>247.45071928847744</v>
      </c>
      <c r="I37" s="25">
        <f>_xlfn.XLOOKUP(I$7,ENT!$17:$17,ENT!$28:$28)</f>
        <v>308.96148974936932</v>
      </c>
      <c r="J37" s="25">
        <f>_xlfn.XLOOKUP(J$7,ENT!$17:$17,ENT!$28:$28)</f>
        <v>401.10623702131653</v>
      </c>
      <c r="K37" s="25">
        <f>_xlfn.XLOOKUP(K$7,ENT!$17:$17,ENT!$28:$28)</f>
        <v>322.25830627029717</v>
      </c>
      <c r="L37" s="25">
        <f>_xlfn.XLOOKUP(L$7,ENT!$17:$17,ENT!$28:$28)</f>
        <v>442.75862652877191</v>
      </c>
      <c r="M37" s="25">
        <f>_xlfn.XLOOKUP(M$7,ENT!$17:$17,ENT!$28:$28)</f>
        <v>385.30982950781168</v>
      </c>
      <c r="N37" s="25">
        <f>_xlfn.XLOOKUP(N$7,ENT!$17:$17,ENT!$28:$28)</f>
        <v>437.05527712165554</v>
      </c>
      <c r="O37" s="25">
        <f>_xlfn.XLOOKUP(O$7,ENT!$17:$17,ENT!$28:$28)</f>
        <v>381.5854120751855</v>
      </c>
      <c r="P37" s="25">
        <f>_xlfn.XLOOKUP(P$7,ENT!$17:$17,ENT!$28:$28)</f>
        <v>587.66523468199932</v>
      </c>
      <c r="R37" s="26">
        <f>SUM(L37:M37)/SUM(J37:K37)-1</f>
        <v>0.14474570770157325</v>
      </c>
      <c r="T37" s="26">
        <f>SUM(N37:O37)/SUM(L37:M37)-1</f>
        <v>-1.1385250544220682E-2</v>
      </c>
    </row>
    <row r="38" spans="2:37" x14ac:dyDescent="0.2">
      <c r="B38" s="22" t="s">
        <v>15</v>
      </c>
      <c r="D38" s="119"/>
      <c r="E38" s="119"/>
      <c r="F38" s="119"/>
      <c r="G38" s="119"/>
      <c r="H38" s="119"/>
      <c r="I38" s="119"/>
      <c r="J38" s="119"/>
      <c r="K38" s="119"/>
      <c r="L38" s="119"/>
      <c r="M38" s="119"/>
      <c r="N38" s="119"/>
      <c r="O38" s="119"/>
      <c r="P38" s="119"/>
    </row>
    <row r="39" spans="2:37" x14ac:dyDescent="0.2">
      <c r="B39" s="22" t="s">
        <v>14</v>
      </c>
      <c r="D39" s="119"/>
      <c r="E39" s="119"/>
      <c r="F39" s="25">
        <f>SUMIF(PBH!$9:$9,HY!F$7,PBH!$19:$19)</f>
        <v>13.3</v>
      </c>
      <c r="G39" s="25">
        <f>SUMIF(PBH!$9:$9,HY!G$7,PBH!$19:$19)</f>
        <v>15.7</v>
      </c>
      <c r="H39" s="25">
        <f>SUMIF(PBH!$9:$9,HY!H$7,PBH!$19:$19)</f>
        <v>27.2</v>
      </c>
      <c r="I39" s="25">
        <f>SUMIF(PBH!$9:$9,HY!I$7,PBH!$19:$19)</f>
        <v>47.9</v>
      </c>
      <c r="J39" s="25">
        <f>SUMIF(PBH!$9:$9,HY!J$7,PBH!$19:$19)</f>
        <v>84.9</v>
      </c>
      <c r="K39" s="25">
        <f>SUMIF(PBH!$9:$9,HY!K$7,PBH!$19:$19)</f>
        <v>81.300000000000011</v>
      </c>
      <c r="L39" s="25">
        <f>SUMIF(PBH!$9:$9,HY!L$7,PBH!$19:$19)</f>
        <v>107.9</v>
      </c>
      <c r="M39" s="25">
        <f>SUMIF(PBH!$9:$9,HY!M$7,PBH!$19:$19)</f>
        <v>107.5</v>
      </c>
      <c r="N39" s="25">
        <f>SUMIF(PBH!$9:$9,HY!N$7,PBH!$19:$19)</f>
        <v>105.2</v>
      </c>
      <c r="O39" s="25">
        <f>SUMIF(PBH!$9:$9,HY!O$7,PBH!$19:$19)</f>
        <v>106.30000000000001</v>
      </c>
      <c r="P39" s="25">
        <f>SUMIF(PBH!$9:$9,HY!P$7,PBH!$19:$19)</f>
        <v>112.3</v>
      </c>
      <c r="R39" s="26">
        <f>SUM(L39:M39)/SUM(J39:K39)-1</f>
        <v>0.29602888086642598</v>
      </c>
      <c r="T39" s="26">
        <f>SUM(N39:O39)/SUM(L39:M39)-1</f>
        <v>-1.8105849582172762E-2</v>
      </c>
    </row>
    <row r="40" spans="2:37" x14ac:dyDescent="0.2">
      <c r="B40" s="22" t="s">
        <v>16</v>
      </c>
      <c r="D40" s="119"/>
      <c r="E40" s="119"/>
      <c r="F40" s="119"/>
      <c r="G40" s="119"/>
      <c r="H40" s="119"/>
      <c r="I40" s="119"/>
      <c r="J40" s="25">
        <f>SUMIF('BBET + BetR'!$9:$9,HY!J$7,'BBET + BetR'!$17:$17)</f>
        <v>17</v>
      </c>
      <c r="K40" s="25">
        <f>SUMIF('BBET + BetR'!$9:$9,HY!K$7,'BBET + BetR'!$17:$17)</f>
        <v>18.600000000000001</v>
      </c>
      <c r="L40" s="25">
        <f>SUMIF('BBET + BetR'!$9:$9,HY!L$7,'BBET + BetR'!$17:$17)</f>
        <v>28.6</v>
      </c>
      <c r="M40" s="25">
        <f>SUMIF('BBET + BetR'!$9:$9,HY!M$7,'BBET + BetR'!$17:$17)</f>
        <v>26</v>
      </c>
      <c r="N40" s="25">
        <f>SUMIF('BBET + BetR'!$9:$9,HY!N$7,'BBET + BetR'!$17:$17)</f>
        <v>27.2</v>
      </c>
      <c r="O40" s="25">
        <f>SUMIF('BBET + BetR'!$9:$9,HY!O$7,'BBET + BetR'!$17:$17)</f>
        <v>26.9</v>
      </c>
      <c r="P40" s="25">
        <f>SUMIF('BBET + BetR'!$9:$9,HY!P$7,'BBET + BetR'!$17:$17)</f>
        <v>30.7</v>
      </c>
      <c r="R40" s="26">
        <f>SUM(L40:M40)/SUM(J40:K40)-1</f>
        <v>0.53370786516853941</v>
      </c>
      <c r="T40" s="26">
        <f>SUM(N40:O40)/SUM(L40:M40)-1</f>
        <v>-9.157509157509236E-3</v>
      </c>
    </row>
    <row r="41" spans="2:37" x14ac:dyDescent="0.2">
      <c r="B41" s="22" t="s">
        <v>596</v>
      </c>
      <c r="D41" s="119"/>
      <c r="E41" s="119"/>
      <c r="F41" s="119"/>
      <c r="G41" s="119"/>
      <c r="H41" s="120"/>
      <c r="I41" s="120"/>
      <c r="J41" s="120"/>
      <c r="K41" s="120"/>
      <c r="L41" s="120"/>
      <c r="M41" s="120"/>
      <c r="N41" s="120"/>
      <c r="O41" s="120"/>
      <c r="P41" s="25">
        <f>SUMIF(BETR!$10:$10,HY!P$7,BETR!$17:$17)</f>
        <v>49.8</v>
      </c>
    </row>
    <row r="42" spans="2:37" x14ac:dyDescent="0.2">
      <c r="B42" s="22"/>
    </row>
    <row r="43" spans="2:37" x14ac:dyDescent="0.2">
      <c r="B43" s="21" t="s">
        <v>37</v>
      </c>
    </row>
    <row r="44" spans="2:37" x14ac:dyDescent="0.2">
      <c r="B44" s="22" t="s">
        <v>10</v>
      </c>
      <c r="C44" s="56"/>
    </row>
    <row r="45" spans="2:37" x14ac:dyDescent="0.2">
      <c r="B45" s="22" t="s">
        <v>11</v>
      </c>
      <c r="C45" s="56"/>
    </row>
    <row r="46" spans="2:37" x14ac:dyDescent="0.2">
      <c r="B46" s="22" t="s">
        <v>12</v>
      </c>
      <c r="D46" s="25">
        <f>_xlfn.XLOOKUP(D$7,SBET!$18:$18,SBET!$99:$99)</f>
        <v>272.27610071483866</v>
      </c>
      <c r="E46" s="25">
        <f>_xlfn.XLOOKUP(E$7,SBET!$18:$18,SBET!$99:$99)</f>
        <v>221.14211947984955</v>
      </c>
      <c r="F46" s="25">
        <f>_xlfn.XLOOKUP(F$7,SBET!$18:$18,SBET!$99:$99)</f>
        <v>282.41464659282246</v>
      </c>
      <c r="G46" s="25">
        <f>_xlfn.XLOOKUP(G$7,SBET!$18:$18,SBET!$99:$99)</f>
        <v>318.69489287387654</v>
      </c>
      <c r="H46" s="25">
        <f>_xlfn.XLOOKUP(H$7,SBET!$18:$18,SBET!$99:$99)</f>
        <v>382.61722669401786</v>
      </c>
      <c r="I46" s="25">
        <f>_xlfn.XLOOKUP(I$7,SBET!$18:$18,SBET!$99:$99)</f>
        <v>450.2380145314134</v>
      </c>
      <c r="J46" s="25">
        <f>_xlfn.XLOOKUP(J$7,SBET!$18:$18,SBET!$99:$99)</f>
        <v>578.07027987962329</v>
      </c>
      <c r="K46" s="25">
        <f>_xlfn.XLOOKUP(K$7,SBET!$18:$18,SBET!$99:$99)</f>
        <v>558.10097733962073</v>
      </c>
      <c r="L46" s="25">
        <f>_xlfn.XLOOKUP(L$7,SBET!$18:$18,SBET!$99:$99)</f>
        <v>648.21204052171913</v>
      </c>
      <c r="M46" s="25">
        <f>_xlfn.XLOOKUP(M$7,SBET!$18:$18,SBET!$99:$99)</f>
        <v>580.57915349328675</v>
      </c>
      <c r="N46" s="25">
        <f>_xlfn.XLOOKUP(N$7,SBET!$18:$18,SBET!$99:$99)</f>
        <v>536.45774087134612</v>
      </c>
      <c r="O46" s="25">
        <f>_xlfn.XLOOKUP(O$7,SBET!$18:$18,SBET!$99:$99)</f>
        <v>518.27000014037628</v>
      </c>
      <c r="P46" s="119"/>
    </row>
    <row r="47" spans="2:37" x14ac:dyDescent="0.2">
      <c r="B47" s="22" t="s">
        <v>13</v>
      </c>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row>
    <row r="48" spans="2:37" x14ac:dyDescent="0.2">
      <c r="B48" s="22" t="s">
        <v>15</v>
      </c>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row>
    <row r="49" spans="2:37" x14ac:dyDescent="0.2">
      <c r="B49" s="22" t="s">
        <v>14</v>
      </c>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row>
    <row r="50" spans="2:37" x14ac:dyDescent="0.2">
      <c r="B50" s="22" t="s">
        <v>16</v>
      </c>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row>
    <row r="51" spans="2:37" x14ac:dyDescent="0.2">
      <c r="B51" s="22" t="s">
        <v>596</v>
      </c>
      <c r="D51" s="119"/>
      <c r="E51" s="119"/>
      <c r="F51" s="119"/>
      <c r="G51" s="119"/>
      <c r="H51" s="120"/>
      <c r="I51" s="120"/>
      <c r="J51" s="120"/>
      <c r="K51" s="120"/>
      <c r="L51" s="120"/>
      <c r="M51" s="120"/>
      <c r="N51" s="120"/>
      <c r="O51" s="120"/>
      <c r="P51" s="25">
        <f>SUMIF(BETR!$10:$10,HY!P$7,BETR!$14:$14)</f>
        <v>79.8</v>
      </c>
    </row>
    <row r="52" spans="2:37" x14ac:dyDescent="0.2">
      <c r="B52" s="22"/>
    </row>
    <row r="53" spans="2:37" s="20" customFormat="1" x14ac:dyDescent="0.2">
      <c r="B53" s="20" t="s">
        <v>126</v>
      </c>
    </row>
    <row r="54" spans="2:37" x14ac:dyDescent="0.2">
      <c r="B54" s="21" t="s">
        <v>19</v>
      </c>
    </row>
    <row r="55" spans="2:37" x14ac:dyDescent="0.2">
      <c r="B55" s="22" t="s">
        <v>10</v>
      </c>
      <c r="C55" s="56"/>
      <c r="D55" s="23"/>
      <c r="E55" s="23"/>
      <c r="F55" s="23"/>
      <c r="G55" s="23"/>
      <c r="H55" s="23"/>
      <c r="I55" s="23"/>
      <c r="J55" s="23"/>
      <c r="K55" s="23"/>
      <c r="L55" s="26">
        <f t="shared" ref="L55:O56" si="6">L24/L14</f>
        <v>0.16745132229003198</v>
      </c>
      <c r="M55" s="26">
        <f t="shared" si="6"/>
        <v>0.16585897746547126</v>
      </c>
      <c r="N55" s="26">
        <f t="shared" si="6"/>
        <v>0.16622050017611834</v>
      </c>
      <c r="O55" s="26">
        <f t="shared" si="6"/>
        <v>0.16772320150505091</v>
      </c>
      <c r="P55" s="26">
        <f>P24/P14</f>
        <v>0.1676548089591568</v>
      </c>
    </row>
    <row r="56" spans="2:37" x14ac:dyDescent="0.2">
      <c r="B56" s="22" t="s">
        <v>11</v>
      </c>
      <c r="C56" s="56"/>
      <c r="D56" s="23"/>
      <c r="E56" s="23"/>
      <c r="F56" s="23"/>
      <c r="G56" s="23"/>
      <c r="H56" s="23"/>
      <c r="I56" s="23"/>
      <c r="J56" s="23"/>
      <c r="K56" s="23"/>
      <c r="L56" s="26">
        <f t="shared" si="6"/>
        <v>0.17</v>
      </c>
      <c r="M56" s="26">
        <f t="shared" si="6"/>
        <v>0.16781500675980171</v>
      </c>
      <c r="N56" s="26">
        <f t="shared" si="6"/>
        <v>0.16400000000000001</v>
      </c>
      <c r="O56" s="26">
        <f t="shared" si="6"/>
        <v>0.16400000000000001</v>
      </c>
      <c r="P56" s="26">
        <f>P25/P15</f>
        <v>0.16500000000000001</v>
      </c>
    </row>
    <row r="57" spans="2:37" x14ac:dyDescent="0.2">
      <c r="B57" s="22" t="s">
        <v>12</v>
      </c>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row>
    <row r="58" spans="2:37" x14ac:dyDescent="0.2">
      <c r="B58" s="22" t="s">
        <v>13</v>
      </c>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row>
    <row r="59" spans="2:37" x14ac:dyDescent="0.2">
      <c r="B59" s="22" t="s">
        <v>15</v>
      </c>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row>
    <row r="60" spans="2:37" x14ac:dyDescent="0.2">
      <c r="B60" s="22" t="s">
        <v>14</v>
      </c>
      <c r="D60" s="119"/>
      <c r="E60" s="119"/>
      <c r="F60" s="26">
        <f t="shared" ref="F60:O60" si="7">F29/F19</f>
        <v>0.10400763358778627</v>
      </c>
      <c r="G60" s="26">
        <f t="shared" si="7"/>
        <v>0.10231729055258468</v>
      </c>
      <c r="H60" s="26">
        <f t="shared" si="7"/>
        <v>0.10882016036655211</v>
      </c>
      <c r="I60" s="26">
        <f t="shared" si="7"/>
        <v>0.1304799501350509</v>
      </c>
      <c r="J60" s="26">
        <f t="shared" si="7"/>
        <v>0.12698412698412698</v>
      </c>
      <c r="K60" s="26">
        <f t="shared" si="7"/>
        <v>0.13202614379084968</v>
      </c>
      <c r="L60" s="26">
        <f t="shared" si="7"/>
        <v>0.13258244994110718</v>
      </c>
      <c r="M60" s="26">
        <f t="shared" si="7"/>
        <v>0.13438030560271647</v>
      </c>
      <c r="N60" s="26">
        <f t="shared" si="7"/>
        <v>0.10739164086687306</v>
      </c>
      <c r="O60" s="26">
        <f t="shared" si="7"/>
        <v>0.13178079659920525</v>
      </c>
      <c r="P60" s="26">
        <f>P29/P19</f>
        <v>0.10875042560435819</v>
      </c>
    </row>
    <row r="61" spans="2:37" x14ac:dyDescent="0.2">
      <c r="B61" s="22" t="s">
        <v>16</v>
      </c>
      <c r="D61" s="119"/>
      <c r="E61" s="119"/>
      <c r="F61" s="119"/>
      <c r="G61" s="119"/>
      <c r="H61" s="119"/>
      <c r="I61" s="119"/>
      <c r="J61" s="26">
        <f t="shared" ref="J61:O61" si="8">J30/J20</f>
        <v>0.12811171827565271</v>
      </c>
      <c r="K61" s="26">
        <f t="shared" si="8"/>
        <v>0.12833333333333335</v>
      </c>
      <c r="L61" s="26">
        <f t="shared" si="8"/>
        <v>0.13799621928166353</v>
      </c>
      <c r="M61" s="26">
        <f t="shared" si="8"/>
        <v>0.137429264349232</v>
      </c>
      <c r="N61" s="26">
        <f t="shared" si="8"/>
        <v>0.12898602651379432</v>
      </c>
      <c r="O61" s="26">
        <f t="shared" si="8"/>
        <v>0.13921021140805748</v>
      </c>
      <c r="P61" s="26">
        <f>P30/P20</f>
        <v>9.8091730833612306E-2</v>
      </c>
    </row>
    <row r="62" spans="2:37" x14ac:dyDescent="0.2">
      <c r="B62" s="18"/>
    </row>
    <row r="63" spans="2:37" x14ac:dyDescent="0.2">
      <c r="B63" s="21" t="s">
        <v>20</v>
      </c>
    </row>
    <row r="64" spans="2:37" x14ac:dyDescent="0.2">
      <c r="B64" s="22" t="s">
        <v>10</v>
      </c>
      <c r="C64" s="56"/>
      <c r="L64" s="26">
        <f t="shared" ref="L64:O66" si="9">L34/L14</f>
        <v>0.16745132229003198</v>
      </c>
      <c r="M64" s="26">
        <f t="shared" si="9"/>
        <v>0.16585897746547126</v>
      </c>
      <c r="N64" s="26">
        <f t="shared" si="9"/>
        <v>0.16622050017611834</v>
      </c>
      <c r="O64" s="26">
        <f t="shared" si="9"/>
        <v>0.16772320150505091</v>
      </c>
      <c r="P64" s="26">
        <f>P34/P14</f>
        <v>0.1676548089591568</v>
      </c>
    </row>
    <row r="65" spans="2:37" x14ac:dyDescent="0.2">
      <c r="B65" s="22" t="s">
        <v>11</v>
      </c>
      <c r="C65" s="56"/>
      <c r="L65" s="26">
        <f t="shared" si="9"/>
        <v>0.13354249857387335</v>
      </c>
      <c r="M65" s="26">
        <f t="shared" si="9"/>
        <v>0.1351509689049121</v>
      </c>
      <c r="N65" s="26">
        <f t="shared" si="9"/>
        <v>0.12177624225180368</v>
      </c>
      <c r="O65" s="26">
        <f t="shared" si="9"/>
        <v>0.12491371773043113</v>
      </c>
      <c r="P65" s="26">
        <f>P35/P15</f>
        <v>0.12108978694622928</v>
      </c>
    </row>
    <row r="66" spans="2:37" x14ac:dyDescent="0.2">
      <c r="B66" s="22" t="s">
        <v>12</v>
      </c>
      <c r="D66" s="26">
        <f t="shared" ref="D66:K66" si="10">D36/D16</f>
        <v>0.12521150592216582</v>
      </c>
      <c r="E66" s="26">
        <f t="shared" si="10"/>
        <v>9.7918637653736998E-2</v>
      </c>
      <c r="F66" s="26">
        <f t="shared" si="10"/>
        <v>8.9334548769371011E-2</v>
      </c>
      <c r="G66" s="26">
        <f t="shared" si="10"/>
        <v>9.4806763285024159E-2</v>
      </c>
      <c r="H66" s="26">
        <f t="shared" si="10"/>
        <v>0.10671706891538238</v>
      </c>
      <c r="I66" s="26">
        <f t="shared" si="10"/>
        <v>0.11684125705076551</v>
      </c>
      <c r="J66" s="26">
        <f t="shared" si="10"/>
        <v>0.10684474123539232</v>
      </c>
      <c r="K66" s="26">
        <f t="shared" si="10"/>
        <v>0.11700000000000002</v>
      </c>
      <c r="L66" s="26">
        <f t="shared" si="9"/>
        <v>0.10578931662190391</v>
      </c>
      <c r="M66" s="26">
        <f t="shared" si="9"/>
        <v>0.11748896141293913</v>
      </c>
      <c r="N66" s="26">
        <f t="shared" si="9"/>
        <v>0.10694923607688517</v>
      </c>
      <c r="O66" s="26">
        <f t="shared" si="9"/>
        <v>0.12134060165556229</v>
      </c>
      <c r="P66" s="26">
        <f>P36/P16</f>
        <v>0.11868022225689957</v>
      </c>
    </row>
    <row r="67" spans="2:37" x14ac:dyDescent="0.2">
      <c r="B67" s="22" t="s">
        <v>13</v>
      </c>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c r="AB67" s="119"/>
      <c r="AC67" s="119"/>
      <c r="AD67" s="119"/>
      <c r="AE67" s="119"/>
      <c r="AF67" s="119"/>
      <c r="AG67" s="119"/>
      <c r="AH67" s="119"/>
      <c r="AI67" s="119"/>
      <c r="AJ67" s="119"/>
      <c r="AK67" s="119"/>
    </row>
    <row r="68" spans="2:37" x14ac:dyDescent="0.2">
      <c r="B68" s="22" t="s">
        <v>15</v>
      </c>
      <c r="D68" s="119"/>
      <c r="E68" s="119"/>
      <c r="F68" s="119"/>
      <c r="G68" s="119"/>
      <c r="H68" s="119"/>
      <c r="I68" s="119"/>
      <c r="J68" s="119"/>
      <c r="K68" s="119"/>
      <c r="L68" s="119"/>
      <c r="M68" s="119"/>
      <c r="N68" s="119"/>
      <c r="O68" s="119"/>
      <c r="P68" s="119"/>
      <c r="Q68" s="119"/>
      <c r="R68" s="119"/>
      <c r="S68" s="119"/>
      <c r="T68" s="119"/>
      <c r="U68" s="119"/>
      <c r="V68" s="119"/>
      <c r="W68" s="119"/>
      <c r="X68" s="119"/>
      <c r="Y68" s="119"/>
      <c r="Z68" s="119"/>
      <c r="AA68" s="119"/>
      <c r="AB68" s="119"/>
      <c r="AC68" s="119"/>
      <c r="AD68" s="119"/>
      <c r="AE68" s="119"/>
      <c r="AF68" s="119"/>
      <c r="AG68" s="119"/>
      <c r="AH68" s="119"/>
      <c r="AI68" s="119"/>
      <c r="AJ68" s="119"/>
      <c r="AK68" s="119"/>
    </row>
    <row r="69" spans="2:37" x14ac:dyDescent="0.2">
      <c r="B69" s="22" t="s">
        <v>14</v>
      </c>
      <c r="D69" s="119"/>
      <c r="E69" s="119"/>
      <c r="F69" s="26">
        <f t="shared" ref="F69:O69" si="11">F39/F19</f>
        <v>6.3454198473282444E-2</v>
      </c>
      <c r="G69" s="26">
        <f t="shared" si="11"/>
        <v>5.5971479500891264E-2</v>
      </c>
      <c r="H69" s="26">
        <f t="shared" si="11"/>
        <v>7.7892325315005714E-2</v>
      </c>
      <c r="I69" s="26">
        <f t="shared" si="11"/>
        <v>9.9522127571161439E-2</v>
      </c>
      <c r="J69" s="26">
        <f t="shared" si="11"/>
        <v>7.9271708683473399E-2</v>
      </c>
      <c r="K69" s="26">
        <f t="shared" si="11"/>
        <v>8.8562091503267992E-2</v>
      </c>
      <c r="L69" s="26">
        <f t="shared" si="11"/>
        <v>7.9431684334511185E-2</v>
      </c>
      <c r="M69" s="26">
        <f t="shared" si="11"/>
        <v>9.1256366723259763E-2</v>
      </c>
      <c r="N69" s="26">
        <f t="shared" si="11"/>
        <v>6.7853457172342618E-2</v>
      </c>
      <c r="O69" s="26">
        <f t="shared" si="11"/>
        <v>9.8234913593937739E-2</v>
      </c>
      <c r="P69" s="26">
        <f>P39/P19</f>
        <v>7.6472591079332644E-2</v>
      </c>
    </row>
    <row r="70" spans="2:37" x14ac:dyDescent="0.2">
      <c r="B70" s="22" t="s">
        <v>16</v>
      </c>
      <c r="D70" s="119"/>
      <c r="E70" s="119"/>
      <c r="F70" s="119"/>
      <c r="G70" s="119"/>
      <c r="H70" s="119"/>
      <c r="I70" s="119"/>
      <c r="J70" s="26">
        <f t="shared" ref="J70:O70" si="12">J40/J20</f>
        <v>0.1032179720704311</v>
      </c>
      <c r="K70" s="26">
        <f t="shared" si="12"/>
        <v>0.10333333333333335</v>
      </c>
      <c r="L70" s="26">
        <f t="shared" si="12"/>
        <v>0.10812854442344046</v>
      </c>
      <c r="M70" s="26">
        <f t="shared" si="12"/>
        <v>0.10509296685529507</v>
      </c>
      <c r="N70" s="26">
        <f t="shared" si="12"/>
        <v>9.7456108921533488E-2</v>
      </c>
      <c r="O70" s="26">
        <f t="shared" si="12"/>
        <v>0.10729956122856003</v>
      </c>
      <c r="P70" s="26">
        <f>P40/P20</f>
        <v>0.10277870773351187</v>
      </c>
    </row>
    <row r="71" spans="2:37" x14ac:dyDescent="0.2">
      <c r="B71" s="18"/>
    </row>
    <row r="72" spans="2:37" x14ac:dyDescent="0.2">
      <c r="B72" s="21" t="s">
        <v>21</v>
      </c>
    </row>
    <row r="73" spans="2:37" x14ac:dyDescent="0.2">
      <c r="B73" s="22" t="s">
        <v>10</v>
      </c>
      <c r="C73" s="56"/>
      <c r="L73" s="26">
        <f t="shared" ref="L73:O74" si="13">L55-L64</f>
        <v>0</v>
      </c>
      <c r="M73" s="26">
        <f t="shared" si="13"/>
        <v>0</v>
      </c>
      <c r="N73" s="26">
        <f t="shared" si="13"/>
        <v>0</v>
      </c>
      <c r="O73" s="26">
        <f t="shared" si="13"/>
        <v>0</v>
      </c>
      <c r="P73" s="26">
        <f>P55-P64</f>
        <v>0</v>
      </c>
    </row>
    <row r="74" spans="2:37" x14ac:dyDescent="0.2">
      <c r="B74" s="22" t="s">
        <v>11</v>
      </c>
      <c r="C74" s="56"/>
      <c r="L74" s="26">
        <f t="shared" si="13"/>
        <v>3.6457501426126665E-2</v>
      </c>
      <c r="M74" s="26">
        <f t="shared" si="13"/>
        <v>3.266403785488961E-2</v>
      </c>
      <c r="N74" s="26">
        <f t="shared" si="13"/>
        <v>4.2223757748196325E-2</v>
      </c>
      <c r="O74" s="26">
        <f t="shared" si="13"/>
        <v>3.9086282269568881E-2</v>
      </c>
      <c r="P74" s="26">
        <f>P56-P65</f>
        <v>4.3910213053770727E-2</v>
      </c>
    </row>
    <row r="75" spans="2:37" x14ac:dyDescent="0.2">
      <c r="B75" s="22" t="s">
        <v>12</v>
      </c>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c r="AE75" s="119"/>
      <c r="AF75" s="119"/>
      <c r="AG75" s="119"/>
      <c r="AH75" s="119"/>
      <c r="AI75" s="119"/>
      <c r="AJ75" s="119"/>
      <c r="AK75" s="119"/>
    </row>
    <row r="76" spans="2:37" x14ac:dyDescent="0.2">
      <c r="B76" s="22" t="s">
        <v>13</v>
      </c>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c r="AE76" s="119"/>
      <c r="AF76" s="119"/>
      <c r="AG76" s="119"/>
      <c r="AH76" s="119"/>
      <c r="AI76" s="119"/>
      <c r="AJ76" s="119"/>
      <c r="AK76" s="119"/>
    </row>
    <row r="77" spans="2:37" x14ac:dyDescent="0.2">
      <c r="B77" s="22" t="s">
        <v>15</v>
      </c>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9"/>
      <c r="AD77" s="119"/>
      <c r="AE77" s="119"/>
      <c r="AF77" s="119"/>
      <c r="AG77" s="119"/>
      <c r="AH77" s="119"/>
      <c r="AI77" s="119"/>
      <c r="AJ77" s="119"/>
      <c r="AK77" s="119"/>
    </row>
    <row r="78" spans="2:37" x14ac:dyDescent="0.2">
      <c r="B78" s="22" t="s">
        <v>14</v>
      </c>
      <c r="D78" s="119"/>
      <c r="E78" s="119"/>
      <c r="F78" s="26">
        <f t="shared" ref="F78:O78" si="14">F60-F69</f>
        <v>4.0553435114503822E-2</v>
      </c>
      <c r="G78" s="26">
        <f t="shared" si="14"/>
        <v>4.6345811051693414E-2</v>
      </c>
      <c r="H78" s="26">
        <f t="shared" si="14"/>
        <v>3.0927835051546393E-2</v>
      </c>
      <c r="I78" s="26">
        <f t="shared" si="14"/>
        <v>3.0957822563889459E-2</v>
      </c>
      <c r="J78" s="26">
        <f t="shared" si="14"/>
        <v>4.7712418300653578E-2</v>
      </c>
      <c r="K78" s="26">
        <f t="shared" si="14"/>
        <v>4.3464052287581684E-2</v>
      </c>
      <c r="L78" s="26">
        <f t="shared" si="14"/>
        <v>5.3150765606595998E-2</v>
      </c>
      <c r="M78" s="26">
        <f t="shared" si="14"/>
        <v>4.3123938879456702E-2</v>
      </c>
      <c r="N78" s="26">
        <f t="shared" si="14"/>
        <v>3.9538183694530438E-2</v>
      </c>
      <c r="O78" s="26">
        <f t="shared" si="14"/>
        <v>3.3545883005267507E-2</v>
      </c>
      <c r="P78" s="26">
        <f>P60-P69</f>
        <v>3.2277834525025542E-2</v>
      </c>
    </row>
    <row r="79" spans="2:37" x14ac:dyDescent="0.2">
      <c r="B79" s="22" t="s">
        <v>16</v>
      </c>
      <c r="D79" s="119"/>
      <c r="E79" s="119"/>
      <c r="F79" s="119"/>
      <c r="G79" s="119"/>
      <c r="H79" s="119"/>
      <c r="I79" s="119"/>
      <c r="J79" s="26">
        <f t="shared" ref="J79:O79" si="15">J61-J70</f>
        <v>2.4893746205221612E-2</v>
      </c>
      <c r="K79" s="26">
        <f t="shared" si="15"/>
        <v>2.5000000000000008E-2</v>
      </c>
      <c r="L79" s="26">
        <f t="shared" si="15"/>
        <v>2.9867674858223073E-2</v>
      </c>
      <c r="M79" s="26">
        <f t="shared" si="15"/>
        <v>3.2336297493936933E-2</v>
      </c>
      <c r="N79" s="26">
        <f t="shared" si="15"/>
        <v>3.1529917592260828E-2</v>
      </c>
      <c r="O79" s="26">
        <f t="shared" si="15"/>
        <v>3.1910650179497443E-2</v>
      </c>
      <c r="P79" s="26">
        <f>P61-P70</f>
        <v>-4.686976899899567E-3</v>
      </c>
    </row>
    <row r="80" spans="2:37" x14ac:dyDescent="0.2">
      <c r="B80" s="22"/>
    </row>
    <row r="81" spans="2:37" x14ac:dyDescent="0.2">
      <c r="B81" s="21" t="s">
        <v>127</v>
      </c>
    </row>
    <row r="82" spans="2:37" x14ac:dyDescent="0.2">
      <c r="B82" s="22" t="s">
        <v>10</v>
      </c>
      <c r="C82" s="56"/>
      <c r="L82" s="26"/>
      <c r="M82" s="26"/>
      <c r="N82" s="26"/>
      <c r="O82" s="26"/>
    </row>
    <row r="83" spans="2:37" x14ac:dyDescent="0.2">
      <c r="B83" s="22" t="s">
        <v>11</v>
      </c>
      <c r="C83" s="56"/>
      <c r="L83" s="26"/>
      <c r="M83" s="26"/>
      <c r="N83" s="26"/>
      <c r="O83" s="26"/>
    </row>
    <row r="84" spans="2:37" x14ac:dyDescent="0.2">
      <c r="B84" s="22" t="s">
        <v>12</v>
      </c>
      <c r="D84" s="26">
        <f t="shared" ref="D84:O84" si="16">(D36-D46)/D36</f>
        <v>0.2747747747747748</v>
      </c>
      <c r="E84" s="26">
        <f t="shared" si="16"/>
        <v>0.40096618357487923</v>
      </c>
      <c r="F84" s="49">
        <f t="shared" si="16"/>
        <v>0.19387755102040821</v>
      </c>
      <c r="G84" s="26">
        <f t="shared" si="16"/>
        <v>0.44585987261146498</v>
      </c>
      <c r="H84" s="26">
        <f t="shared" si="16"/>
        <v>0.43324250681198906</v>
      </c>
      <c r="I84" s="26">
        <f t="shared" si="16"/>
        <v>0.45977011494252878</v>
      </c>
      <c r="J84" s="26">
        <f t="shared" si="16"/>
        <v>0.5</v>
      </c>
      <c r="K84" s="26">
        <f t="shared" si="16"/>
        <v>0.47008547008547014</v>
      </c>
      <c r="L84" s="26">
        <f t="shared" si="16"/>
        <v>0.5091678420310296</v>
      </c>
      <c r="M84" s="26">
        <f t="shared" si="16"/>
        <v>0.47385620915032678</v>
      </c>
      <c r="N84" s="26">
        <f t="shared" si="16"/>
        <v>0.52995391705069128</v>
      </c>
      <c r="O84" s="26">
        <f t="shared" si="16"/>
        <v>0.52745424292845267</v>
      </c>
      <c r="P84" s="119"/>
    </row>
    <row r="85" spans="2:37" x14ac:dyDescent="0.2">
      <c r="B85" s="22" t="s">
        <v>13</v>
      </c>
      <c r="D85" s="119"/>
      <c r="E85" s="119"/>
      <c r="F85" s="119"/>
      <c r="G85" s="119"/>
      <c r="H85" s="119"/>
      <c r="I85" s="119"/>
      <c r="J85" s="119"/>
      <c r="K85" s="119"/>
      <c r="L85" s="119"/>
      <c r="M85" s="119"/>
      <c r="N85" s="119"/>
      <c r="O85" s="119"/>
      <c r="P85" s="119"/>
      <c r="Q85" s="119"/>
      <c r="R85" s="119"/>
      <c r="S85" s="119"/>
      <c r="T85" s="119"/>
      <c r="U85" s="119"/>
      <c r="V85" s="119"/>
      <c r="W85" s="119"/>
      <c r="X85" s="119"/>
      <c r="Y85" s="119"/>
      <c r="Z85" s="119"/>
      <c r="AA85" s="119"/>
      <c r="AB85" s="119"/>
      <c r="AC85" s="119"/>
      <c r="AD85" s="119"/>
      <c r="AE85" s="119"/>
      <c r="AF85" s="119"/>
      <c r="AG85" s="119"/>
      <c r="AH85" s="119"/>
      <c r="AI85" s="119"/>
      <c r="AJ85" s="119"/>
      <c r="AK85" s="119"/>
    </row>
    <row r="86" spans="2:37" x14ac:dyDescent="0.2">
      <c r="B86" s="22" t="s">
        <v>15</v>
      </c>
      <c r="D86" s="119"/>
      <c r="E86" s="119"/>
      <c r="F86" s="119"/>
      <c r="G86" s="119"/>
      <c r="H86" s="119"/>
      <c r="I86" s="119"/>
      <c r="J86" s="119"/>
      <c r="K86" s="119"/>
      <c r="L86" s="119"/>
      <c r="M86" s="119"/>
      <c r="N86" s="119"/>
      <c r="O86" s="119"/>
      <c r="P86" s="119"/>
      <c r="Q86" s="119"/>
      <c r="R86" s="119"/>
      <c r="S86" s="119"/>
      <c r="T86" s="119"/>
      <c r="U86" s="119"/>
      <c r="V86" s="119"/>
      <c r="W86" s="119"/>
      <c r="X86" s="119"/>
      <c r="Y86" s="119"/>
      <c r="Z86" s="119"/>
      <c r="AA86" s="119"/>
      <c r="AB86" s="119"/>
      <c r="AC86" s="119"/>
      <c r="AD86" s="119"/>
      <c r="AE86" s="119"/>
      <c r="AF86" s="119"/>
      <c r="AG86" s="119"/>
      <c r="AH86" s="119"/>
      <c r="AI86" s="119"/>
      <c r="AJ86" s="119"/>
      <c r="AK86" s="119"/>
    </row>
    <row r="87" spans="2:37" x14ac:dyDescent="0.2">
      <c r="B87" s="22" t="s">
        <v>14</v>
      </c>
      <c r="D87" s="119"/>
      <c r="E87" s="119"/>
      <c r="F87" s="26"/>
      <c r="G87" s="26"/>
      <c r="H87" s="26"/>
      <c r="I87" s="26"/>
      <c r="J87" s="26"/>
      <c r="K87" s="26"/>
      <c r="L87" s="26"/>
      <c r="M87" s="26"/>
      <c r="N87" s="26"/>
      <c r="O87" s="26"/>
      <c r="P87" s="26"/>
    </row>
    <row r="88" spans="2:37" x14ac:dyDescent="0.2">
      <c r="B88" s="22" t="s">
        <v>16</v>
      </c>
      <c r="D88" s="119"/>
      <c r="E88" s="119"/>
      <c r="F88" s="119"/>
      <c r="G88" s="119"/>
      <c r="H88" s="119"/>
      <c r="I88" s="119"/>
    </row>
    <row r="89" spans="2:37" x14ac:dyDescent="0.2">
      <c r="B89" s="22"/>
    </row>
    <row r="90" spans="2:37" x14ac:dyDescent="0.2">
      <c r="B90" s="20" t="s">
        <v>22</v>
      </c>
    </row>
    <row r="91" spans="2:37" x14ac:dyDescent="0.2">
      <c r="B91" s="21" t="s">
        <v>23</v>
      </c>
    </row>
    <row r="92" spans="2:37" x14ac:dyDescent="0.2">
      <c r="B92" s="22" t="s">
        <v>10</v>
      </c>
      <c r="C92" s="56"/>
    </row>
    <row r="93" spans="2:37" x14ac:dyDescent="0.2">
      <c r="B93" s="22" t="s">
        <v>11</v>
      </c>
      <c r="C93" s="56"/>
    </row>
    <row r="94" spans="2:37" x14ac:dyDescent="0.2">
      <c r="B94" s="22" t="s">
        <v>12</v>
      </c>
      <c r="D94" s="25">
        <f>-_xlfn.XLOOKUP(D$7,SBET!$18:$18,SBET!$100:$100)</f>
        <v>71.028548012566617</v>
      </c>
      <c r="E94" s="25">
        <f>-_xlfn.XLOOKUP(E$7,SBET!$18:$18,SBET!$100:$100)</f>
        <v>60.635742438023264</v>
      </c>
      <c r="F94" s="25">
        <f>-_xlfn.XLOOKUP(F$7,SBET!$18:$18,SBET!$100:$100)</f>
        <v>85.796854661110629</v>
      </c>
      <c r="G94" s="25">
        <f>-_xlfn.XLOOKUP(G$7,SBET!$18:$18,SBET!$100:$100)</f>
        <v>102.56847126975336</v>
      </c>
      <c r="H94" s="25">
        <f>-_xlfn.XLOOKUP(H$7,SBET!$18:$18,SBET!$100:$100)</f>
        <v>125.08640103458275</v>
      </c>
      <c r="I94" s="25">
        <f>-_xlfn.XLOOKUP(I$7,SBET!$18:$18,SBET!$100:$100)</f>
        <v>113.03848024405698</v>
      </c>
      <c r="J94" s="25">
        <f>-_xlfn.XLOOKUP(J$7,SBET!$18:$18,SBET!$100:$100)</f>
        <v>126.45287372366761</v>
      </c>
      <c r="K94" s="25">
        <f>-_xlfn.XLOOKUP(K$7,SBET!$18:$18,SBET!$100:$100)</f>
        <v>106.2192182678633</v>
      </c>
      <c r="L94" s="25">
        <f>-_xlfn.XLOOKUP(L$7,SBET!$18:$18,SBET!$100:$100)</f>
        <v>111.76069664167572</v>
      </c>
      <c r="M94" s="25">
        <f>-_xlfn.XLOOKUP(M$7,SBET!$18:$18,SBET!$100:$100)</f>
        <v>97.364205865333801</v>
      </c>
      <c r="N94" s="25">
        <f>-_xlfn.XLOOKUP(N$7,SBET!$18:$18,SBET!$100:$100)</f>
        <v>140.25038977028657</v>
      </c>
      <c r="O94" s="25">
        <f>-_xlfn.XLOOKUP(O$7,SBET!$18:$18,SBET!$100:$100)</f>
        <v>116.79323946825382</v>
      </c>
      <c r="P94" s="119"/>
    </row>
    <row r="95" spans="2:37" x14ac:dyDescent="0.2">
      <c r="B95" s="22" t="s">
        <v>13</v>
      </c>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row>
    <row r="96" spans="2:37" x14ac:dyDescent="0.2">
      <c r="B96" s="22" t="s">
        <v>15</v>
      </c>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row>
    <row r="97" spans="2:37" x14ac:dyDescent="0.2">
      <c r="B97" s="22" t="s">
        <v>14</v>
      </c>
      <c r="D97" s="119"/>
      <c r="E97" s="119"/>
      <c r="F97" s="119"/>
      <c r="G97" s="119"/>
      <c r="H97" s="119"/>
      <c r="I97" s="119"/>
      <c r="J97" s="25">
        <f>SUMIF(PBH!$9:$9,HY!J$7,PBH!$34:$34)</f>
        <v>21</v>
      </c>
      <c r="K97" s="25">
        <f>SUMIF(PBH!$9:$9,HY!K$7,PBH!$34:$34)</f>
        <v>30.4</v>
      </c>
      <c r="L97" s="25">
        <f>SUMIF(PBH!$9:$9,HY!L$7,PBH!$34:$34)</f>
        <v>44.7</v>
      </c>
      <c r="M97" s="25">
        <f>SUMIF(PBH!$9:$9,HY!M$7,PBH!$34:$34)</f>
        <v>16.7</v>
      </c>
      <c r="N97" s="25">
        <f>SUMIF(PBH!$9:$9,HY!N$7,PBH!$34:$34)</f>
        <v>45.4</v>
      </c>
      <c r="O97" s="25">
        <f>SUMIF(PBH!$9:$9,HY!O$7,PBH!$34:$34)</f>
        <v>15.700000000000001</v>
      </c>
      <c r="P97" s="25">
        <f>SUMIF(PBH!$9:$9,HY!P$7,PBH!$34:$34)</f>
        <v>28.4</v>
      </c>
    </row>
    <row r="98" spans="2:37" x14ac:dyDescent="0.2">
      <c r="B98" s="22" t="s">
        <v>16</v>
      </c>
      <c r="D98" s="119"/>
      <c r="E98" s="119"/>
      <c r="F98" s="119"/>
      <c r="G98" s="119"/>
      <c r="H98" s="119"/>
      <c r="I98" s="119"/>
    </row>
    <row r="99" spans="2:37" x14ac:dyDescent="0.2">
      <c r="B99" s="18"/>
    </row>
    <row r="100" spans="2:37" x14ac:dyDescent="0.2">
      <c r="B100" s="21" t="s">
        <v>102</v>
      </c>
    </row>
    <row r="101" spans="2:37" x14ac:dyDescent="0.2">
      <c r="B101" s="22" t="s">
        <v>10</v>
      </c>
      <c r="C101" s="56"/>
    </row>
    <row r="102" spans="2:37" x14ac:dyDescent="0.2">
      <c r="B102" s="22" t="s">
        <v>11</v>
      </c>
      <c r="C102" s="56"/>
    </row>
    <row r="103" spans="2:37" x14ac:dyDescent="0.2">
      <c r="B103" s="22" t="s">
        <v>12</v>
      </c>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row>
    <row r="104" spans="2:37" x14ac:dyDescent="0.2">
      <c r="B104" s="22" t="s">
        <v>13</v>
      </c>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row>
    <row r="105" spans="2:37" x14ac:dyDescent="0.2">
      <c r="B105" s="22" t="s">
        <v>15</v>
      </c>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row>
    <row r="106" spans="2:37" x14ac:dyDescent="0.2">
      <c r="B106" s="22" t="s">
        <v>14</v>
      </c>
      <c r="D106" s="119"/>
      <c r="E106" s="119"/>
      <c r="F106" s="25">
        <f>_xlfn.XLOOKUP(F$3,PBH!$11:$11,PBH!$22:$22)</f>
        <v>45828</v>
      </c>
      <c r="G106" s="25">
        <f>_xlfn.XLOOKUP(G$3,PBH!$11:$11,PBH!$22:$22)</f>
        <v>68464</v>
      </c>
      <c r="H106" s="25">
        <f>_xlfn.XLOOKUP(H$3,PBH!$11:$11,PBH!$22:$22)</f>
        <v>81014</v>
      </c>
      <c r="I106" s="25">
        <f>_xlfn.XLOOKUP(I$3,PBH!$11:$11,PBH!$22:$22)</f>
        <v>90422</v>
      </c>
      <c r="J106" s="25">
        <f>_xlfn.XLOOKUP(J$3,PBH!$11:$11,PBH!$22:$22)</f>
        <v>142992</v>
      </c>
      <c r="K106" s="25">
        <f>_xlfn.XLOOKUP(K$3,PBH!$11:$11,PBH!$22:$22)</f>
        <v>196585</v>
      </c>
      <c r="L106" s="25">
        <f>_xlfn.XLOOKUP(L$3,PBH!$11:$11,PBH!$22:$22)</f>
        <v>232875</v>
      </c>
      <c r="M106" s="25">
        <f>_xlfn.XLOOKUP(M$3,PBH!$11:$11,PBH!$22:$22)</f>
        <v>239121</v>
      </c>
      <c r="N106" s="25">
        <f>_xlfn.XLOOKUP(N$3,PBH!$11:$11,PBH!$22:$22)</f>
        <v>234989</v>
      </c>
      <c r="O106" s="25">
        <f>_xlfn.XLOOKUP(O$3,PBH!$11:$11,PBH!$22:$22)</f>
        <v>238624</v>
      </c>
      <c r="P106" s="25">
        <f>_xlfn.XLOOKUP(P$3,PBH!$11:$11,PBH!$22:$22)</f>
        <v>218288</v>
      </c>
    </row>
    <row r="107" spans="2:37" x14ac:dyDescent="0.2">
      <c r="B107" s="22" t="s">
        <v>16</v>
      </c>
      <c r="D107" s="119"/>
      <c r="E107" s="119"/>
      <c r="F107" s="119"/>
      <c r="G107" s="119"/>
      <c r="H107" s="119"/>
      <c r="I107" s="119"/>
      <c r="J107" s="25">
        <f>_xlfn.XLOOKUP(J$3,'BBET + BetR'!$11:$11,'BBET + BetR'!$20:$20)</f>
        <v>25540</v>
      </c>
      <c r="K107" s="25">
        <f>_xlfn.XLOOKUP(K$3,'BBET + BetR'!$11:$11,'BBET + BetR'!$20:$20)</f>
        <v>32472</v>
      </c>
      <c r="L107" s="25">
        <f>_xlfn.XLOOKUP(L$3,'BBET + BetR'!$11:$11,'BBET + BetR'!$20:$20)</f>
        <v>45087</v>
      </c>
      <c r="M107" s="25">
        <f>_xlfn.XLOOKUP(M$3,'BBET + BetR'!$11:$11,'BBET + BetR'!$20:$20)</f>
        <v>53328</v>
      </c>
      <c r="N107" s="25">
        <f>_xlfn.XLOOKUP(N$3,'BBET + BetR'!$11:$11,'BBET + BetR'!$20:$20)</f>
        <v>59632</v>
      </c>
      <c r="O107" s="25">
        <f>_xlfn.XLOOKUP(O$3,'BBET + BetR'!$11:$11,'BBET + BetR'!$20:$20)</f>
        <v>65415</v>
      </c>
      <c r="P107" s="25">
        <f>_xlfn.XLOOKUP(P$3,'BBET + BetR'!$11:$11,'BBET + BetR'!$20:$20)</f>
        <v>67391</v>
      </c>
    </row>
    <row r="108" spans="2:37" x14ac:dyDescent="0.2">
      <c r="B108" s="18"/>
    </row>
    <row r="109" spans="2:37" x14ac:dyDescent="0.2">
      <c r="B109" s="18"/>
    </row>
    <row r="110" spans="2:37" x14ac:dyDescent="0.2">
      <c r="B110" s="18"/>
    </row>
    <row r="112" spans="2:37" x14ac:dyDescent="0.2">
      <c r="B112" s="27" t="s">
        <v>25</v>
      </c>
    </row>
    <row r="113" spans="2:2" x14ac:dyDescent="0.2">
      <c r="B113" s="18" t="s">
        <v>26</v>
      </c>
    </row>
    <row r="114" spans="2:2" x14ac:dyDescent="0.2">
      <c r="B114" s="18" t="s">
        <v>27</v>
      </c>
    </row>
    <row r="115" spans="2:2" x14ac:dyDescent="0.2">
      <c r="B115" s="18" t="s">
        <v>28</v>
      </c>
    </row>
    <row r="116" spans="2:2" x14ac:dyDescent="0.2">
      <c r="B116" s="18" t="s">
        <v>29</v>
      </c>
    </row>
    <row r="117" spans="2:2" x14ac:dyDescent="0.2">
      <c r="B117" s="18" t="s">
        <v>30</v>
      </c>
    </row>
    <row r="118" spans="2:2" x14ac:dyDescent="0.2">
      <c r="B118" s="18" t="s">
        <v>31</v>
      </c>
    </row>
    <row r="120" spans="2:2" x14ac:dyDescent="0.2">
      <c r="B120" s="27" t="s">
        <v>32</v>
      </c>
    </row>
    <row r="121" spans="2:2" x14ac:dyDescent="0.2">
      <c r="B121" s="18" t="s">
        <v>33</v>
      </c>
    </row>
    <row r="122" spans="2:2" x14ac:dyDescent="0.2">
      <c r="B122" s="18" t="s">
        <v>34</v>
      </c>
    </row>
    <row r="123" spans="2:2" x14ac:dyDescent="0.2">
      <c r="B123" s="18" t="s">
        <v>35</v>
      </c>
    </row>
    <row r="124" spans="2:2" x14ac:dyDescent="0.2">
      <c r="B124" s="18" t="s">
        <v>144</v>
      </c>
    </row>
    <row r="125" spans="2:2" x14ac:dyDescent="0.2">
      <c r="B125" s="18" t="s">
        <v>145</v>
      </c>
    </row>
    <row r="127" spans="2:2" x14ac:dyDescent="0.2">
      <c r="B127" s="27" t="s">
        <v>36</v>
      </c>
    </row>
    <row r="128" spans="2:2" x14ac:dyDescent="0.2">
      <c r="B128" s="18" t="s">
        <v>24</v>
      </c>
    </row>
    <row r="129" spans="2:2" x14ac:dyDescent="0.2">
      <c r="B129" s="18" t="s">
        <v>37</v>
      </c>
    </row>
    <row r="130" spans="2:2" x14ac:dyDescent="0.2">
      <c r="B130" s="18" t="s">
        <v>23</v>
      </c>
    </row>
    <row r="131" spans="2:2" x14ac:dyDescent="0.2">
      <c r="B131" s="18" t="s">
        <v>38</v>
      </c>
    </row>
    <row r="132" spans="2:2" x14ac:dyDescent="0.2">
      <c r="B132" s="18" t="s">
        <v>39</v>
      </c>
    </row>
    <row r="133" spans="2:2" x14ac:dyDescent="0.2">
      <c r="B133" s="18" t="s">
        <v>40</v>
      </c>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5E2C-0844-41D3-9388-181F34AB409E}">
  <sheetPr>
    <tabColor theme="3" tint="0.39997558519241921"/>
  </sheetPr>
  <dimension ref="B2:O39"/>
  <sheetViews>
    <sheetView workbookViewId="0">
      <selection activeCell="D20" activeCellId="1" sqref="D4:N4 D20:N20"/>
    </sheetView>
  </sheetViews>
  <sheetFormatPr defaultRowHeight="15" x14ac:dyDescent="0.25"/>
  <cols>
    <col min="2" max="2" width="43.7109375" bestFit="1" customWidth="1"/>
  </cols>
  <sheetData>
    <row r="2" spans="2:15" x14ac:dyDescent="0.25">
      <c r="B2" s="113" t="s">
        <v>143</v>
      </c>
      <c r="C2" s="113"/>
      <c r="D2" s="113"/>
      <c r="E2" s="113"/>
      <c r="F2" s="113"/>
      <c r="G2" s="113"/>
      <c r="H2" s="113"/>
      <c r="I2" s="113"/>
      <c r="J2" s="113"/>
      <c r="K2" s="113"/>
      <c r="L2" s="113"/>
      <c r="M2" s="113"/>
      <c r="N2" s="113"/>
      <c r="O2" s="113"/>
    </row>
    <row r="4" spans="2:15" x14ac:dyDescent="0.25">
      <c r="B4" s="186"/>
      <c r="C4" s="186" t="s">
        <v>167</v>
      </c>
      <c r="D4" s="186" t="s">
        <v>168</v>
      </c>
      <c r="E4" s="186" t="s">
        <v>169</v>
      </c>
      <c r="F4" s="186" t="s">
        <v>170</v>
      </c>
      <c r="G4" s="186" t="s">
        <v>171</v>
      </c>
      <c r="H4" s="186" t="s">
        <v>172</v>
      </c>
      <c r="I4" s="186" t="s">
        <v>173</v>
      </c>
      <c r="J4" s="186" t="s">
        <v>174</v>
      </c>
      <c r="K4" s="186" t="s">
        <v>200</v>
      </c>
      <c r="L4" s="186" t="s">
        <v>201</v>
      </c>
      <c r="M4" s="186" t="s">
        <v>202</v>
      </c>
      <c r="N4" s="186" t="s">
        <v>203</v>
      </c>
      <c r="O4" s="186" t="s">
        <v>204</v>
      </c>
    </row>
    <row r="5" spans="2:15" x14ac:dyDescent="0.25">
      <c r="B5" s="36"/>
    </row>
    <row r="6" spans="2:15" x14ac:dyDescent="0.25">
      <c r="B6" s="188" t="s">
        <v>582</v>
      </c>
    </row>
    <row r="7" spans="2:15" x14ac:dyDescent="0.25">
      <c r="B7" s="176" t="s">
        <v>526</v>
      </c>
      <c r="C7" s="70"/>
      <c r="D7" s="70"/>
      <c r="E7" s="70"/>
      <c r="F7" s="70"/>
      <c r="G7" s="23">
        <v>5229.3172690763049</v>
      </c>
      <c r="H7" s="23">
        <v>4661.6326530612241</v>
      </c>
      <c r="I7" s="70"/>
      <c r="J7" s="70"/>
      <c r="K7" s="70"/>
      <c r="L7" s="70"/>
      <c r="M7" s="70"/>
      <c r="N7" s="70"/>
      <c r="O7" s="70"/>
    </row>
    <row r="8" spans="2:15" x14ac:dyDescent="0.25">
      <c r="B8" s="179"/>
      <c r="C8" s="70"/>
      <c r="D8" s="70"/>
      <c r="E8" s="70"/>
      <c r="F8" s="70"/>
      <c r="I8" s="70"/>
      <c r="J8" s="70"/>
      <c r="K8" s="70"/>
      <c r="L8" s="70"/>
      <c r="M8" s="70"/>
      <c r="N8" s="70"/>
      <c r="O8" s="70"/>
    </row>
    <row r="9" spans="2:15" x14ac:dyDescent="0.25">
      <c r="B9" s="188" t="s">
        <v>580</v>
      </c>
      <c r="C9" s="70"/>
      <c r="D9" s="70"/>
      <c r="E9" s="70"/>
      <c r="F9" s="70"/>
      <c r="G9" s="70"/>
      <c r="H9" s="70"/>
      <c r="I9" s="70"/>
      <c r="J9" s="70"/>
      <c r="K9" s="70"/>
      <c r="L9" s="70"/>
      <c r="M9" s="70"/>
      <c r="N9" s="70"/>
      <c r="O9" s="70"/>
    </row>
    <row r="10" spans="2:15" x14ac:dyDescent="0.25">
      <c r="B10" s="176" t="s">
        <v>527</v>
      </c>
      <c r="C10" s="70"/>
      <c r="D10" s="70"/>
      <c r="E10" s="70"/>
      <c r="F10" s="70"/>
      <c r="G10" s="23">
        <v>5955.0595238095229</v>
      </c>
      <c r="H10" s="23">
        <v>5850</v>
      </c>
      <c r="I10" s="70"/>
      <c r="J10" s="70"/>
      <c r="K10" s="70"/>
      <c r="L10" s="70"/>
      <c r="M10" s="70"/>
      <c r="N10" s="70"/>
      <c r="O10" s="70"/>
    </row>
    <row r="11" spans="2:15" x14ac:dyDescent="0.25">
      <c r="B11" s="176" t="s">
        <v>586</v>
      </c>
      <c r="C11" s="23">
        <v>4946.7389999999996</v>
      </c>
      <c r="D11" s="23">
        <v>5030.1239999999998</v>
      </c>
      <c r="E11" s="23">
        <v>4567.098</v>
      </c>
      <c r="F11" s="23">
        <v>5815.0919999999996</v>
      </c>
    </row>
    <row r="12" spans="2:15" x14ac:dyDescent="0.25">
      <c r="B12" s="179"/>
      <c r="C12" s="70"/>
      <c r="D12" s="70"/>
      <c r="E12" s="70"/>
      <c r="F12" s="70"/>
    </row>
    <row r="13" spans="2:15" x14ac:dyDescent="0.25">
      <c r="B13" s="186"/>
      <c r="C13" s="186" t="s">
        <v>512</v>
      </c>
      <c r="D13" s="186" t="s">
        <v>513</v>
      </c>
      <c r="E13" s="186" t="s">
        <v>514</v>
      </c>
      <c r="F13" s="186" t="s">
        <v>515</v>
      </c>
      <c r="G13" s="186" t="s">
        <v>516</v>
      </c>
      <c r="H13" s="186" t="s">
        <v>517</v>
      </c>
      <c r="I13" s="186" t="s">
        <v>518</v>
      </c>
      <c r="J13" s="186" t="s">
        <v>519</v>
      </c>
      <c r="K13" s="186" t="s">
        <v>982</v>
      </c>
      <c r="L13" s="186" t="s">
        <v>986</v>
      </c>
      <c r="M13" s="186" t="s">
        <v>987</v>
      </c>
      <c r="N13" s="186" t="s">
        <v>988</v>
      </c>
      <c r="O13" s="186" t="s">
        <v>989</v>
      </c>
    </row>
    <row r="14" spans="2:15" x14ac:dyDescent="0.25">
      <c r="C14" s="70"/>
      <c r="D14" s="70"/>
      <c r="E14" s="70"/>
      <c r="F14" s="70"/>
      <c r="G14" s="70"/>
      <c r="H14" s="70"/>
      <c r="I14" s="70"/>
      <c r="J14" s="70"/>
      <c r="K14" s="70"/>
      <c r="L14" s="70"/>
      <c r="M14" s="70"/>
      <c r="N14" s="70"/>
      <c r="O14" s="70"/>
    </row>
    <row r="15" spans="2:15" x14ac:dyDescent="0.25">
      <c r="B15" s="188" t="s">
        <v>582</v>
      </c>
      <c r="C15" s="70"/>
      <c r="D15" s="70"/>
      <c r="E15" s="70"/>
      <c r="F15" s="70"/>
      <c r="G15" s="70"/>
      <c r="H15" s="70"/>
      <c r="I15" s="70"/>
      <c r="J15" s="70"/>
      <c r="K15" s="70"/>
      <c r="L15" s="70"/>
      <c r="M15" s="70"/>
      <c r="N15" s="70"/>
      <c r="O15" s="70"/>
    </row>
    <row r="16" spans="2:15" x14ac:dyDescent="0.25">
      <c r="B16" s="176" t="s">
        <v>577</v>
      </c>
      <c r="C16" s="23">
        <v>2588.1360565793843</v>
      </c>
      <c r="D16" s="23">
        <v>4126.121239127041</v>
      </c>
      <c r="E16" s="23">
        <v>4936.8731098103344</v>
      </c>
      <c r="F16" s="70"/>
      <c r="G16" s="70"/>
      <c r="H16" s="70"/>
      <c r="I16" s="70"/>
      <c r="J16" s="70"/>
      <c r="K16" s="70"/>
      <c r="L16" s="70"/>
      <c r="M16" s="70"/>
      <c r="N16" s="70"/>
      <c r="O16" s="70"/>
    </row>
    <row r="17" spans="2:15" x14ac:dyDescent="0.25">
      <c r="B17" s="176" t="s">
        <v>578</v>
      </c>
      <c r="C17" s="70"/>
      <c r="D17" s="23">
        <v>2907.4761289662638</v>
      </c>
      <c r="E17" s="23">
        <v>4325.1301375077501</v>
      </c>
      <c r="F17" s="23">
        <v>4747.6589053219996</v>
      </c>
      <c r="G17" s="23">
        <v>4676.5594720058825</v>
      </c>
      <c r="H17" s="23">
        <v>4839.9146949275901</v>
      </c>
      <c r="I17" s="70"/>
      <c r="J17" s="70"/>
      <c r="K17" s="70"/>
      <c r="L17" s="70"/>
      <c r="M17" s="70"/>
      <c r="N17" s="70"/>
      <c r="O17" s="70"/>
    </row>
    <row r="18" spans="2:15" x14ac:dyDescent="0.25">
      <c r="B18" s="176" t="s">
        <v>585</v>
      </c>
      <c r="C18" s="23">
        <v>3417</v>
      </c>
      <c r="D18" s="23">
        <v>3834</v>
      </c>
      <c r="E18" s="23">
        <v>5934</v>
      </c>
      <c r="F18" s="23">
        <v>6873</v>
      </c>
      <c r="G18" s="23">
        <v>6972</v>
      </c>
      <c r="H18" s="70"/>
      <c r="I18" s="70"/>
      <c r="J18" s="70"/>
      <c r="K18" s="70"/>
      <c r="L18" s="70"/>
      <c r="M18" s="70"/>
      <c r="N18" s="70"/>
      <c r="O18" s="70"/>
    </row>
    <row r="19" spans="2:15" x14ac:dyDescent="0.25">
      <c r="B19" s="176" t="s">
        <v>990</v>
      </c>
      <c r="C19" s="23">
        <v>3348</v>
      </c>
      <c r="D19" s="23">
        <v>3608</v>
      </c>
      <c r="E19" s="23">
        <v>4584</v>
      </c>
      <c r="F19" s="23">
        <v>6033</v>
      </c>
      <c r="G19" s="23">
        <v>6585</v>
      </c>
      <c r="H19" s="23"/>
      <c r="I19" s="343"/>
      <c r="J19" s="343"/>
      <c r="K19" s="343"/>
      <c r="L19" s="343"/>
      <c r="M19" s="343"/>
      <c r="N19" s="343"/>
      <c r="O19" s="343"/>
    </row>
    <row r="20" spans="2:15" x14ac:dyDescent="0.25">
      <c r="B20" s="176" t="s">
        <v>985</v>
      </c>
      <c r="C20" s="23"/>
      <c r="D20" s="23">
        <v>3818</v>
      </c>
      <c r="E20" s="23">
        <v>5161</v>
      </c>
      <c r="F20" s="23">
        <v>6970</v>
      </c>
      <c r="G20" s="23">
        <v>7430</v>
      </c>
      <c r="H20" s="23">
        <v>7066</v>
      </c>
      <c r="I20" s="23">
        <v>7037</v>
      </c>
      <c r="J20" s="23">
        <v>6982</v>
      </c>
      <c r="K20" s="23">
        <v>7204</v>
      </c>
      <c r="L20" s="23">
        <v>7375</v>
      </c>
      <c r="M20" s="23">
        <v>7544</v>
      </c>
      <c r="N20" s="23">
        <v>7714</v>
      </c>
      <c r="O20" s="23"/>
    </row>
    <row r="21" spans="2:15" x14ac:dyDescent="0.25">
      <c r="B21" s="176"/>
      <c r="C21" s="70"/>
      <c r="D21" s="70"/>
      <c r="E21" s="70"/>
      <c r="F21" s="70"/>
      <c r="G21" s="70"/>
      <c r="H21" s="70"/>
    </row>
    <row r="22" spans="2:15" x14ac:dyDescent="0.25">
      <c r="B22" s="176" t="s">
        <v>991</v>
      </c>
      <c r="C22" s="70"/>
      <c r="D22" s="23">
        <v>1465</v>
      </c>
      <c r="E22" s="23">
        <v>2082</v>
      </c>
      <c r="F22" s="23">
        <v>2413</v>
      </c>
      <c r="G22" s="23">
        <v>2682</v>
      </c>
      <c r="H22" s="23">
        <v>4052</v>
      </c>
      <c r="I22" s="23">
        <v>3893</v>
      </c>
      <c r="J22" s="23">
        <v>3929</v>
      </c>
      <c r="K22" s="23">
        <v>4209</v>
      </c>
      <c r="L22" s="23">
        <v>4467</v>
      </c>
      <c r="M22" s="23">
        <v>4729</v>
      </c>
      <c r="N22" s="23">
        <v>4997</v>
      </c>
      <c r="O22" s="23"/>
    </row>
    <row r="23" spans="2:15" x14ac:dyDescent="0.25">
      <c r="B23" s="176" t="s">
        <v>992</v>
      </c>
      <c r="C23" s="70"/>
      <c r="D23" s="23">
        <v>693</v>
      </c>
      <c r="E23" s="23">
        <v>911</v>
      </c>
      <c r="F23" s="23">
        <v>1090</v>
      </c>
      <c r="G23" s="23">
        <v>1086</v>
      </c>
      <c r="H23" s="23">
        <v>1359</v>
      </c>
      <c r="I23" s="23">
        <v>1237</v>
      </c>
      <c r="J23" s="23">
        <v>1228</v>
      </c>
      <c r="K23" s="23">
        <v>1294</v>
      </c>
      <c r="L23" s="23">
        <v>1351</v>
      </c>
      <c r="M23" s="23">
        <v>1407</v>
      </c>
      <c r="N23" s="23">
        <v>1463</v>
      </c>
    </row>
    <row r="24" spans="2:15" x14ac:dyDescent="0.25">
      <c r="B24" s="179"/>
      <c r="C24" s="70"/>
      <c r="D24" s="70"/>
      <c r="E24" s="70"/>
      <c r="F24" s="70"/>
      <c r="G24" s="70"/>
      <c r="H24" s="70"/>
      <c r="I24" s="70"/>
      <c r="J24" s="70"/>
      <c r="K24" s="70"/>
      <c r="L24" s="70"/>
      <c r="M24" s="70"/>
      <c r="N24" s="70"/>
      <c r="O24" s="70"/>
    </row>
    <row r="25" spans="2:15" x14ac:dyDescent="0.25">
      <c r="B25" s="188" t="s">
        <v>580</v>
      </c>
      <c r="C25" s="70"/>
      <c r="D25" s="70"/>
      <c r="E25" s="70"/>
      <c r="F25" s="70"/>
      <c r="G25" s="70"/>
      <c r="H25" s="70"/>
      <c r="I25" s="70"/>
      <c r="J25" s="70"/>
      <c r="K25" s="70"/>
      <c r="L25" s="70"/>
      <c r="M25" s="70"/>
      <c r="N25" s="70"/>
      <c r="O25" s="70"/>
    </row>
    <row r="26" spans="2:15" x14ac:dyDescent="0.25">
      <c r="B26" s="176" t="s">
        <v>587</v>
      </c>
      <c r="C26" s="23">
        <v>5100</v>
      </c>
      <c r="D26" s="23">
        <v>5400</v>
      </c>
      <c r="E26" s="23">
        <v>6900</v>
      </c>
      <c r="F26" s="23">
        <v>7900</v>
      </c>
      <c r="G26" s="23">
        <v>8400</v>
      </c>
      <c r="H26" s="70"/>
      <c r="I26" s="70"/>
      <c r="J26" s="70"/>
      <c r="K26" s="70"/>
      <c r="L26" s="70"/>
      <c r="M26" s="70"/>
      <c r="N26" s="70"/>
      <c r="O26" s="70"/>
    </row>
    <row r="27" spans="2:15" x14ac:dyDescent="0.25">
      <c r="B27" s="176" t="s">
        <v>584</v>
      </c>
      <c r="C27" s="23">
        <v>5682</v>
      </c>
      <c r="D27" s="23">
        <v>5635</v>
      </c>
      <c r="E27" s="23">
        <v>6234</v>
      </c>
      <c r="F27" s="23">
        <v>7487</v>
      </c>
      <c r="G27" s="23">
        <v>7792</v>
      </c>
      <c r="H27" s="70"/>
      <c r="I27" s="70"/>
      <c r="J27" s="70"/>
      <c r="K27" s="70"/>
      <c r="L27" s="70"/>
      <c r="M27" s="70"/>
      <c r="N27" s="70"/>
      <c r="O27" s="70"/>
    </row>
    <row r="28" spans="2:15" x14ac:dyDescent="0.25">
      <c r="C28" s="70"/>
      <c r="D28" s="70"/>
      <c r="E28" s="70"/>
      <c r="F28" s="70"/>
      <c r="G28" s="70"/>
      <c r="H28" s="70"/>
      <c r="I28" s="70"/>
      <c r="J28" s="70"/>
      <c r="K28" s="70"/>
      <c r="L28" s="70"/>
      <c r="M28" s="70"/>
      <c r="N28" s="70"/>
      <c r="O28" s="70"/>
    </row>
    <row r="29" spans="2:15" x14ac:dyDescent="0.25">
      <c r="B29" s="187" t="s">
        <v>583</v>
      </c>
      <c r="C29" s="187"/>
      <c r="D29" s="187"/>
      <c r="E29" s="187"/>
      <c r="F29" s="187"/>
      <c r="G29" s="187"/>
      <c r="H29" s="187"/>
      <c r="I29" s="187"/>
      <c r="J29" s="187"/>
      <c r="K29" s="187"/>
      <c r="L29" s="187"/>
      <c r="M29" s="187"/>
      <c r="N29" s="187"/>
      <c r="O29" s="187"/>
    </row>
    <row r="31" spans="2:15" x14ac:dyDescent="0.25">
      <c r="B31" s="186"/>
      <c r="C31" s="186" t="s">
        <v>167</v>
      </c>
      <c r="D31" s="186" t="s">
        <v>168</v>
      </c>
      <c r="E31" s="186" t="s">
        <v>169</v>
      </c>
      <c r="F31" s="186" t="s">
        <v>170</v>
      </c>
      <c r="G31" s="186" t="s">
        <v>171</v>
      </c>
      <c r="H31" s="186" t="s">
        <v>172</v>
      </c>
      <c r="I31" s="186" t="s">
        <v>173</v>
      </c>
      <c r="J31" s="186" t="s">
        <v>174</v>
      </c>
      <c r="K31" s="186" t="s">
        <v>200</v>
      </c>
      <c r="L31" s="186" t="s">
        <v>201</v>
      </c>
      <c r="M31" s="186" t="s">
        <v>202</v>
      </c>
      <c r="N31" s="186" t="s">
        <v>203</v>
      </c>
      <c r="O31" s="186" t="s">
        <v>204</v>
      </c>
    </row>
    <row r="32" spans="2:15" x14ac:dyDescent="0.25">
      <c r="B32" s="36"/>
    </row>
    <row r="33" spans="2:15" x14ac:dyDescent="0.25">
      <c r="B33" s="185" t="s">
        <v>582</v>
      </c>
    </row>
    <row r="34" spans="2:15" x14ac:dyDescent="0.25">
      <c r="B34" s="176" t="s">
        <v>520</v>
      </c>
      <c r="C34" s="70"/>
      <c r="D34" s="70"/>
      <c r="E34" s="70"/>
      <c r="F34" s="70"/>
      <c r="G34" s="23">
        <v>49223.350253807104</v>
      </c>
      <c r="H34" s="23">
        <v>46102.985074626864</v>
      </c>
      <c r="I34" s="70"/>
      <c r="J34" s="70"/>
      <c r="K34" s="70"/>
      <c r="L34" s="70"/>
      <c r="M34" s="70"/>
      <c r="N34" s="70"/>
      <c r="O34" s="70"/>
    </row>
    <row r="35" spans="2:15" x14ac:dyDescent="0.25">
      <c r="B35" s="176" t="s">
        <v>581</v>
      </c>
      <c r="C35" s="23">
        <v>24800</v>
      </c>
      <c r="D35" s="23">
        <v>27900</v>
      </c>
      <c r="E35" s="23">
        <v>29100</v>
      </c>
      <c r="F35" s="23">
        <v>42400</v>
      </c>
      <c r="G35" s="23">
        <v>50000</v>
      </c>
      <c r="I35" s="70"/>
      <c r="J35" s="70"/>
      <c r="K35" s="70"/>
      <c r="L35" s="70"/>
      <c r="M35" s="70"/>
      <c r="N35" s="70"/>
      <c r="O35" s="70"/>
    </row>
    <row r="36" spans="2:15" x14ac:dyDescent="0.25">
      <c r="B36" s="176"/>
      <c r="C36" s="70"/>
      <c r="D36" s="70"/>
      <c r="E36" s="70"/>
      <c r="F36" s="70"/>
      <c r="I36" s="70"/>
      <c r="J36" s="70"/>
      <c r="K36" s="70"/>
      <c r="L36" s="70"/>
      <c r="M36" s="70"/>
      <c r="N36" s="70"/>
      <c r="O36" s="70"/>
    </row>
    <row r="37" spans="2:15" x14ac:dyDescent="0.25">
      <c r="B37" s="185" t="s">
        <v>580</v>
      </c>
      <c r="C37" s="70"/>
      <c r="D37" s="70"/>
      <c r="E37" s="70"/>
      <c r="F37" s="70"/>
      <c r="G37" s="70"/>
      <c r="H37" s="70"/>
      <c r="I37" s="70"/>
      <c r="J37" s="70"/>
      <c r="K37" s="70"/>
      <c r="L37" s="70"/>
      <c r="M37" s="70"/>
      <c r="N37" s="70"/>
      <c r="O37" s="70"/>
    </row>
    <row r="38" spans="2:15" x14ac:dyDescent="0.25">
      <c r="B38" s="176" t="s">
        <v>579</v>
      </c>
      <c r="C38" s="23">
        <v>39318.910000000003</v>
      </c>
      <c r="D38" s="23">
        <v>42282.33</v>
      </c>
      <c r="E38" s="23">
        <v>41693.57</v>
      </c>
      <c r="F38" s="23">
        <v>59905.07</v>
      </c>
      <c r="G38" s="70"/>
      <c r="H38" s="70"/>
      <c r="I38" s="70"/>
      <c r="J38" s="70"/>
      <c r="K38" s="70"/>
      <c r="L38" s="70"/>
      <c r="M38" s="70"/>
      <c r="N38" s="70"/>
      <c r="O38" s="70"/>
    </row>
    <row r="39" spans="2:15" x14ac:dyDescent="0.25">
      <c r="B39" s="179"/>
      <c r="C39" s="70"/>
      <c r="D39" s="70"/>
      <c r="E39" s="70"/>
      <c r="F39" s="70"/>
    </row>
  </sheetData>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EC69-AE3C-4ACF-9B7F-A7805370F961}">
  <sheetPr>
    <tabColor theme="3" tint="0.39997558519241921"/>
  </sheetPr>
  <dimension ref="B2:W138"/>
  <sheetViews>
    <sheetView showGridLines="0" zoomScale="85" zoomScaleNormal="85" workbookViewId="0">
      <pane ySplit="2" topLeftCell="A18" activePane="bottomLeft" state="frozen"/>
      <selection pane="bottomLeft" activeCell="S26" sqref="S26"/>
    </sheetView>
  </sheetViews>
  <sheetFormatPr defaultRowHeight="15" outlineLevelCol="1" x14ac:dyDescent="0.25"/>
  <cols>
    <col min="2" max="2" width="22.7109375" customWidth="1"/>
    <col min="3" max="8" width="9.28515625" customWidth="1"/>
    <col min="9" max="10" width="9.28515625" customWidth="1" outlineLevel="1"/>
    <col min="11" max="11" width="2.7109375" customWidth="1"/>
    <col min="12" max="12" width="22.7109375" customWidth="1"/>
  </cols>
  <sheetData>
    <row r="2" spans="2:20" x14ac:dyDescent="0.25">
      <c r="B2" s="63"/>
      <c r="C2" s="63" t="s">
        <v>167</v>
      </c>
      <c r="D2" s="63" t="s">
        <v>168</v>
      </c>
      <c r="E2" s="63" t="s">
        <v>169</v>
      </c>
      <c r="F2" s="63" t="s">
        <v>170</v>
      </c>
      <c r="G2" s="63" t="s">
        <v>171</v>
      </c>
      <c r="H2" s="63" t="s">
        <v>172</v>
      </c>
      <c r="I2" s="63" t="s">
        <v>173</v>
      </c>
      <c r="J2" s="63" t="s">
        <v>174</v>
      </c>
      <c r="L2" s="63"/>
      <c r="M2" s="63" t="s">
        <v>512</v>
      </c>
      <c r="N2" s="63" t="s">
        <v>513</v>
      </c>
      <c r="O2" s="63" t="s">
        <v>514</v>
      </c>
      <c r="P2" s="63" t="s">
        <v>515</v>
      </c>
      <c r="Q2" s="63" t="s">
        <v>516</v>
      </c>
      <c r="R2" s="63" t="s">
        <v>517</v>
      </c>
      <c r="S2" s="63" t="s">
        <v>518</v>
      </c>
      <c r="T2" s="63" t="s">
        <v>519</v>
      </c>
    </row>
    <row r="3" spans="2:20" x14ac:dyDescent="0.25">
      <c r="C3" s="9">
        <v>43281</v>
      </c>
      <c r="D3" s="9">
        <f>EOMONTH(C3,12)</f>
        <v>43646</v>
      </c>
      <c r="E3" s="9">
        <f t="shared" ref="E3:J3" si="0">EOMONTH(D3,12)</f>
        <v>44012</v>
      </c>
      <c r="F3" s="9">
        <f t="shared" si="0"/>
        <v>44377</v>
      </c>
      <c r="G3" s="9">
        <f t="shared" si="0"/>
        <v>44742</v>
      </c>
      <c r="H3" s="9">
        <f t="shared" si="0"/>
        <v>45107</v>
      </c>
      <c r="I3" s="9">
        <f t="shared" si="0"/>
        <v>45473</v>
      </c>
      <c r="J3" s="9">
        <f t="shared" si="0"/>
        <v>45838</v>
      </c>
      <c r="M3" s="9">
        <v>43465</v>
      </c>
      <c r="N3" s="9">
        <f>EOMONTH(M3,12)</f>
        <v>43830</v>
      </c>
      <c r="O3" s="9">
        <f t="shared" ref="O3:T3" si="1">EOMONTH(N3,12)</f>
        <v>44196</v>
      </c>
      <c r="P3" s="9">
        <f t="shared" si="1"/>
        <v>44561</v>
      </c>
      <c r="Q3" s="9">
        <f t="shared" si="1"/>
        <v>44926</v>
      </c>
      <c r="R3" s="9">
        <f t="shared" si="1"/>
        <v>45291</v>
      </c>
      <c r="S3" s="9">
        <f t="shared" si="1"/>
        <v>45657</v>
      </c>
      <c r="T3" s="9">
        <f t="shared" si="1"/>
        <v>46022</v>
      </c>
    </row>
    <row r="5" spans="2:20" x14ac:dyDescent="0.25">
      <c r="B5" s="178" t="s">
        <v>535</v>
      </c>
    </row>
    <row r="7" spans="2:20" x14ac:dyDescent="0.25">
      <c r="B7" s="152" t="s">
        <v>534</v>
      </c>
      <c r="L7" s="21" t="s">
        <v>534</v>
      </c>
    </row>
    <row r="8" spans="2:20" x14ac:dyDescent="0.25">
      <c r="B8" s="73" t="s">
        <v>524</v>
      </c>
      <c r="C8" s="24"/>
      <c r="D8" s="24"/>
      <c r="E8" s="24"/>
      <c r="F8" s="24"/>
      <c r="G8" s="24">
        <v>698.8</v>
      </c>
      <c r="H8" s="24">
        <v>882</v>
      </c>
      <c r="I8" s="24"/>
      <c r="J8" s="24"/>
      <c r="L8" s="22" t="s">
        <v>524</v>
      </c>
      <c r="Q8" s="32">
        <v>882.59999999999991</v>
      </c>
      <c r="R8" s="32">
        <v>868.2</v>
      </c>
      <c r="S8" s="32">
        <v>918.8</v>
      </c>
      <c r="T8" s="32">
        <v>916.19999999999993</v>
      </c>
    </row>
    <row r="9" spans="2:20" x14ac:dyDescent="0.25">
      <c r="B9" s="73" t="s">
        <v>525</v>
      </c>
      <c r="C9" s="24"/>
      <c r="D9" s="24"/>
      <c r="E9" s="24"/>
      <c r="F9" s="24"/>
      <c r="G9" s="24">
        <v>1302.0999999999999</v>
      </c>
      <c r="H9" s="24">
        <v>1142.0999999999999</v>
      </c>
      <c r="I9" s="24"/>
      <c r="J9" s="24"/>
      <c r="L9" s="22" t="s">
        <v>525</v>
      </c>
      <c r="Q9" s="32">
        <v>1199</v>
      </c>
      <c r="R9" s="32">
        <v>1115.7999999999997</v>
      </c>
      <c r="S9" s="32">
        <v>1101.4000000000001</v>
      </c>
      <c r="T9" s="32">
        <v>1056.2</v>
      </c>
    </row>
    <row r="10" spans="2:20" x14ac:dyDescent="0.25">
      <c r="B10" s="73" t="s">
        <v>10</v>
      </c>
      <c r="C10" s="24"/>
      <c r="D10" s="24"/>
      <c r="E10" s="24"/>
      <c r="F10" s="24"/>
      <c r="G10" s="24">
        <v>654</v>
      </c>
      <c r="H10" s="24">
        <v>818.4</v>
      </c>
      <c r="I10" s="24"/>
      <c r="J10" s="24"/>
      <c r="L10" s="22" t="s">
        <v>10</v>
      </c>
      <c r="Q10" s="32">
        <v>814.8</v>
      </c>
      <c r="R10" s="32">
        <v>801.6</v>
      </c>
      <c r="S10" s="32"/>
      <c r="T10" s="32"/>
    </row>
    <row r="11" spans="2:20" x14ac:dyDescent="0.25">
      <c r="B11" s="73" t="s">
        <v>11</v>
      </c>
      <c r="C11" s="24"/>
      <c r="D11" s="24"/>
      <c r="E11" s="24"/>
      <c r="F11" s="24"/>
      <c r="G11" s="24">
        <v>1073.5</v>
      </c>
      <c r="H11" s="24">
        <v>942.7</v>
      </c>
      <c r="I11" s="24"/>
      <c r="J11" s="24"/>
      <c r="L11" s="22" t="s">
        <v>11</v>
      </c>
      <c r="Q11" s="32">
        <v>986.6</v>
      </c>
      <c r="R11" s="32">
        <v>923.1</v>
      </c>
      <c r="S11" s="32"/>
      <c r="T11" s="32"/>
    </row>
    <row r="12" spans="2:20" x14ac:dyDescent="0.25">
      <c r="B12" s="73"/>
      <c r="C12" s="24"/>
      <c r="D12" s="24"/>
      <c r="E12" s="24"/>
      <c r="F12" s="24"/>
      <c r="I12" s="24"/>
      <c r="J12" s="24"/>
    </row>
    <row r="13" spans="2:20" x14ac:dyDescent="0.25">
      <c r="B13" s="152" t="s">
        <v>522</v>
      </c>
      <c r="L13" s="21" t="s">
        <v>522</v>
      </c>
    </row>
    <row r="14" spans="2:20" x14ac:dyDescent="0.25">
      <c r="B14" s="179" t="s">
        <v>520</v>
      </c>
      <c r="G14" s="55">
        <v>0.249</v>
      </c>
      <c r="H14" s="55">
        <v>0.245</v>
      </c>
      <c r="L14" s="176" t="s">
        <v>532</v>
      </c>
      <c r="M14" s="55">
        <v>0.27800000000000002</v>
      </c>
      <c r="N14" s="55">
        <v>0.30299999999999999</v>
      </c>
      <c r="O14" s="55">
        <v>0.40300000000000002</v>
      </c>
      <c r="P14" s="55"/>
      <c r="Q14" s="55"/>
    </row>
    <row r="15" spans="2:20" x14ac:dyDescent="0.25">
      <c r="B15" s="179" t="s">
        <v>521</v>
      </c>
      <c r="G15" s="55">
        <v>0.33600000000000002</v>
      </c>
      <c r="H15" s="55">
        <v>0.34599999999999997</v>
      </c>
      <c r="L15" s="176" t="s">
        <v>533</v>
      </c>
      <c r="M15" s="55"/>
      <c r="N15" s="55">
        <v>0.43</v>
      </c>
      <c r="O15" s="55">
        <v>0.46</v>
      </c>
      <c r="P15" s="55">
        <v>0.5</v>
      </c>
      <c r="Q15" s="55">
        <v>0.48</v>
      </c>
      <c r="R15" s="55">
        <v>0.45</v>
      </c>
    </row>
    <row r="17" spans="2:23" x14ac:dyDescent="0.25">
      <c r="B17" s="21" t="s">
        <v>523</v>
      </c>
      <c r="L17" s="21" t="s">
        <v>523</v>
      </c>
    </row>
    <row r="18" spans="2:23" x14ac:dyDescent="0.25">
      <c r="B18" s="176" t="s">
        <v>526</v>
      </c>
      <c r="G18" s="70">
        <f>G9/G14</f>
        <v>5229.3172690763049</v>
      </c>
      <c r="H18" s="70">
        <f>H9/H14</f>
        <v>4661.6326530612241</v>
      </c>
      <c r="I18" s="24"/>
      <c r="J18" s="24"/>
      <c r="L18" s="176" t="s">
        <v>577</v>
      </c>
      <c r="M18" s="70">
        <f>M25/M14</f>
        <v>2579.406474820144</v>
      </c>
      <c r="N18" s="70">
        <f>N25/N14</f>
        <v>2707.947194719472</v>
      </c>
      <c r="O18" s="70">
        <f>O25/O14</f>
        <v>4101.8263027295288</v>
      </c>
      <c r="P18" s="70"/>
      <c r="Q18" s="70"/>
      <c r="R18" s="70"/>
    </row>
    <row r="19" spans="2:23" x14ac:dyDescent="0.25">
      <c r="B19" s="176" t="s">
        <v>527</v>
      </c>
      <c r="G19" s="70">
        <f>SUM(G8:G9)/G15</f>
        <v>5955.0595238095229</v>
      </c>
      <c r="H19" s="70">
        <f>SUM(H8:H9)/H15</f>
        <v>5850</v>
      </c>
      <c r="I19" s="24"/>
      <c r="J19" s="24"/>
      <c r="L19" s="176" t="s">
        <v>578</v>
      </c>
      <c r="M19" s="70"/>
      <c r="N19" s="70">
        <f>N25/N15</f>
        <v>1908.1581395348837</v>
      </c>
      <c r="O19" s="70">
        <f>O25/O15</f>
        <v>3593.5565217391304</v>
      </c>
      <c r="P19" s="70">
        <f>P25/P15</f>
        <v>4764.4759999999997</v>
      </c>
      <c r="Q19" s="70">
        <f>Q25/Q15</f>
        <v>4677.7354166666673</v>
      </c>
      <c r="R19" s="70">
        <f>R25/R15</f>
        <v>4864.1311111111108</v>
      </c>
    </row>
    <row r="20" spans="2:23" x14ac:dyDescent="0.25">
      <c r="B20" s="176" t="s">
        <v>520</v>
      </c>
      <c r="G20" s="70">
        <f>G11/G14</f>
        <v>4311.2449799196784</v>
      </c>
      <c r="H20" s="70">
        <f>H11/H14</f>
        <v>3847.7551020408164</v>
      </c>
    </row>
    <row r="21" spans="2:23" x14ac:dyDescent="0.25">
      <c r="B21" s="176" t="s">
        <v>521</v>
      </c>
      <c r="G21" s="70">
        <f>SUM(G10:G11)/G15</f>
        <v>5141.3690476190477</v>
      </c>
      <c r="H21" s="70">
        <f>SUM(H10:H11)/H15</f>
        <v>5089.884393063584</v>
      </c>
      <c r="L21" s="36" t="s">
        <v>1035</v>
      </c>
      <c r="T21" s="23">
        <v>300</v>
      </c>
    </row>
    <row r="22" spans="2:23" x14ac:dyDescent="0.25">
      <c r="B22" s="178"/>
      <c r="F22" s="177"/>
      <c r="G22" s="177"/>
      <c r="H22" s="177"/>
      <c r="I22" s="177"/>
      <c r="L22" s="178"/>
      <c r="P22" s="177"/>
      <c r="Q22" s="177"/>
      <c r="R22" s="177"/>
    </row>
    <row r="23" spans="2:23" x14ac:dyDescent="0.25">
      <c r="B23" s="21" t="s">
        <v>539</v>
      </c>
      <c r="F23" s="177"/>
      <c r="G23" s="177"/>
      <c r="H23" s="177"/>
      <c r="I23" s="177"/>
      <c r="L23" s="21" t="s">
        <v>994</v>
      </c>
      <c r="P23" s="177"/>
      <c r="Q23" s="177"/>
      <c r="R23" s="177"/>
    </row>
    <row r="24" spans="2:23" x14ac:dyDescent="0.25">
      <c r="B24" s="176" t="s">
        <v>11</v>
      </c>
      <c r="F24" s="177"/>
      <c r="G24" s="25">
        <f>G9</f>
        <v>1302.0999999999999</v>
      </c>
      <c r="H24" s="25">
        <f>H9</f>
        <v>1142.0999999999999</v>
      </c>
      <c r="I24" s="177"/>
      <c r="L24" s="176" t="s">
        <v>11</v>
      </c>
      <c r="P24" s="177"/>
      <c r="Q24" s="25">
        <f>Q9</f>
        <v>1199</v>
      </c>
      <c r="R24" s="25">
        <f>R9</f>
        <v>1115.7999999999997</v>
      </c>
      <c r="S24" s="25">
        <f>S9</f>
        <v>1101.4000000000001</v>
      </c>
      <c r="T24" s="25">
        <f>T9</f>
        <v>1056.2</v>
      </c>
      <c r="V24" s="26">
        <f t="shared" ref="V24:W26" si="2">S24/R24-1</f>
        <v>-1.2905538626993729E-2</v>
      </c>
      <c r="W24" s="26">
        <f t="shared" si="2"/>
        <v>-4.1038678046123156E-2</v>
      </c>
    </row>
    <row r="25" spans="2:23" x14ac:dyDescent="0.25">
      <c r="B25" s="22" t="s">
        <v>12</v>
      </c>
      <c r="C25" s="25">
        <f>SUMIF(SBET!$5:$5,C$2,SBET!$96:$96)</f>
        <v>744.6012781197669</v>
      </c>
      <c r="D25" s="25">
        <f>SUMIF(SBET!$5:$5,D$2,SBET!$96:$96)</f>
        <v>925.45322758112843</v>
      </c>
      <c r="E25" s="25">
        <f>SUMIF(SBET!$5:$5,E$2,SBET!$96:$96)</f>
        <v>1508.5179679015519</v>
      </c>
      <c r="F25" s="25">
        <f>SUMIF(SBET!$5:$5,F$2,SBET!$96:$96)</f>
        <v>2209.3311137711116</v>
      </c>
      <c r="G25" s="25">
        <f>SUMIF(SBET!$5:$5,G$2,SBET!$96:$96)</f>
        <v>2424.0998984562511</v>
      </c>
      <c r="H25" s="25">
        <f>SUMIF(SBET!$5:$5,H$2,SBET!$96:$96)</f>
        <v>2238.0490611372779</v>
      </c>
      <c r="I25" s="25">
        <f>SUMIF(SBET!$5:$5,I$2,SBET!$96:$96)</f>
        <v>969.78113702198289</v>
      </c>
      <c r="L25" s="22" t="s">
        <v>12</v>
      </c>
      <c r="M25" s="25">
        <f>'SportsBet ASIC'!D5/1000</f>
        <v>717.07500000000005</v>
      </c>
      <c r="N25" s="25">
        <f>'SportsBet ASIC'!E5/1000</f>
        <v>820.50800000000004</v>
      </c>
      <c r="O25" s="25">
        <f>'SportsBet ASIC'!F5/1000</f>
        <v>1653.0360000000001</v>
      </c>
      <c r="P25" s="25">
        <f>'SportsBet ASIC'!G5/1000</f>
        <v>2382.2379999999998</v>
      </c>
      <c r="Q25" s="25">
        <f>'SportsBet ASIC'!H5/1000</f>
        <v>2245.3130000000001</v>
      </c>
      <c r="R25" s="25">
        <f>'SportsBet ASIC'!I5/1000</f>
        <v>2188.8589999999999</v>
      </c>
      <c r="S25" s="25">
        <f>'SportsBet ASIC'!J5/1000</f>
        <v>2114.3110000000001</v>
      </c>
      <c r="T25" s="25">
        <f>'SportsBet ASIC'!K5/1000</f>
        <v>2038.3779999999999</v>
      </c>
      <c r="V25" s="26">
        <f t="shared" si="2"/>
        <v>-3.4057926983875997E-2</v>
      </c>
      <c r="W25" s="26">
        <f t="shared" si="2"/>
        <v>-3.5913827246795815E-2</v>
      </c>
    </row>
    <row r="26" spans="2:23" x14ac:dyDescent="0.25">
      <c r="B26" s="22" t="s">
        <v>13</v>
      </c>
      <c r="C26" s="25">
        <f>SUMIF(ENT!$5:$5,C$2,ENT!$28:$28)</f>
        <v>157.12085277195303</v>
      </c>
      <c r="D26" s="25">
        <f>SUMIF(ENT!$5:$5,D$2,ENT!$28:$28)</f>
        <v>411.37911790335181</v>
      </c>
      <c r="E26" s="25">
        <f>SUMIF(ENT!$5:$5,E$2,ENT!$28:$28)</f>
        <v>556.41220903784676</v>
      </c>
      <c r="F26" s="25">
        <f>SUMIF(ENT!$5:$5,F$2,ENT!$28:$28)</f>
        <v>723.3645432916137</v>
      </c>
      <c r="G26" s="25">
        <f>SUMIF(ENT!$5:$5,G$2,ENT!$28:$28)</f>
        <v>828.0684560365836</v>
      </c>
      <c r="H26" s="25">
        <f>SUMIF(ENT!$5:$5,H$2,ENT!$28:$28)</f>
        <v>818.64068919684109</v>
      </c>
      <c r="L26" s="22" t="s">
        <v>13</v>
      </c>
      <c r="M26" s="25">
        <f>'Entain ASIC'!D15/1000</f>
        <v>323.279</v>
      </c>
      <c r="N26" s="25">
        <f>'Entain ASIC'!E15/1000</f>
        <v>461.97140000000002</v>
      </c>
      <c r="O26" s="25">
        <f>'Entain ASIC'!F15/1000</f>
        <v>715.13530000000003</v>
      </c>
      <c r="P26" s="25">
        <f>'Entain ASIC'!G15/1000</f>
        <v>841.83660000000009</v>
      </c>
      <c r="Q26" s="25">
        <f>'Entain ASIC'!H15/1000</f>
        <v>915.18680000000006</v>
      </c>
      <c r="R26" s="25">
        <f>'Entain ASIC'!I15/1000</f>
        <v>839.68830000000003</v>
      </c>
      <c r="S26" s="25">
        <f>'Entain ASIC'!J15/1000</f>
        <v>848.94370000000004</v>
      </c>
      <c r="T26" s="25">
        <f>'Entain ASIC'!K15/1000</f>
        <v>797.4901000000001</v>
      </c>
      <c r="V26" s="26">
        <f t="shared" si="2"/>
        <v>1.1022423439745355E-2</v>
      </c>
      <c r="W26" s="26">
        <f t="shared" si="2"/>
        <v>-6.0608966177615686E-2</v>
      </c>
    </row>
    <row r="27" spans="2:23" x14ac:dyDescent="0.25">
      <c r="B27" s="22" t="s">
        <v>15</v>
      </c>
      <c r="C27" s="25">
        <f>SUMIF('B365'!$5:$5,C$2,'B365'!$15:$15)</f>
        <v>114.999</v>
      </c>
      <c r="D27" s="25">
        <f>SUMIF('B365'!$5:$5,D$2,'B365'!$15:$15)</f>
        <v>120.914</v>
      </c>
      <c r="E27" s="25">
        <f>SUMIF('B365'!$5:$5,E$2,'B365'!$15:$15)</f>
        <v>147.173</v>
      </c>
      <c r="F27" s="25">
        <f>SUMIF('B365'!$5:$5,F$2,'B365'!$15:$15)</f>
        <v>190.321</v>
      </c>
      <c r="G27" s="25">
        <f>SUMIF('B365'!$5:$5,G$2,'B365'!$15:$15)</f>
        <v>200.429</v>
      </c>
      <c r="H27" s="25">
        <f>SUMIF('B365'!$5:$5,H$2,'B365'!$15:$15)</f>
        <v>201.286</v>
      </c>
      <c r="I27" s="25"/>
      <c r="L27" s="22" t="s">
        <v>15</v>
      </c>
      <c r="M27" s="25">
        <f>'Bet365 ASIC'!E8/1000</f>
        <v>120.914</v>
      </c>
      <c r="N27" s="25">
        <f>'Bet365 ASIC'!F8/1000</f>
        <v>147.173</v>
      </c>
      <c r="O27" s="25">
        <f>'Bet365 ASIC'!G8/1000</f>
        <v>190.321</v>
      </c>
      <c r="P27" s="25">
        <f>'Bet365 ASIC'!H8/1000</f>
        <v>200.429</v>
      </c>
      <c r="Q27" s="25">
        <f>'Bet365 ASIC'!I8/1000</f>
        <v>201.286</v>
      </c>
      <c r="R27" s="25">
        <f>'Bet365 ASIC'!J8/1000</f>
        <v>261.00200000000001</v>
      </c>
      <c r="S27" s="25">
        <f>'Bet365 ASIC'!K8/1000</f>
        <v>292.64499999999998</v>
      </c>
      <c r="T27" s="671">
        <v>285</v>
      </c>
      <c r="V27" s="26"/>
      <c r="W27" s="26"/>
    </row>
    <row r="28" spans="2:23" x14ac:dyDescent="0.25">
      <c r="B28" s="22" t="s">
        <v>14</v>
      </c>
      <c r="D28" s="25"/>
      <c r="E28" s="25">
        <f>SUMIF(PBH!$5:$5,E$2,PBH!$19:$19)</f>
        <v>75.099999999999994</v>
      </c>
      <c r="F28" s="25">
        <f>SUMIF(PBH!$5:$5,F$2,PBH!$19:$19)</f>
        <v>166.20000000000002</v>
      </c>
      <c r="G28" s="25">
        <f>SUMIF(PBH!$5:$5,G$2,PBH!$19:$19)</f>
        <v>215.39999999999998</v>
      </c>
      <c r="H28" s="25">
        <f>SUMIF(PBH!$5:$5,H$2,PBH!$19:$19)</f>
        <v>211.5</v>
      </c>
      <c r="I28" s="25"/>
      <c r="J28" s="25"/>
      <c r="L28" s="22" t="s">
        <v>14</v>
      </c>
      <c r="N28" s="25">
        <f>PBH!BG19</f>
        <v>42.9</v>
      </c>
      <c r="O28" s="25">
        <f>PBH!BH19</f>
        <v>132.80000000000001</v>
      </c>
      <c r="P28" s="25">
        <f>PBH!BI19</f>
        <v>189.20000000000002</v>
      </c>
      <c r="Q28" s="25">
        <f>PBH!BJ19</f>
        <v>212.7</v>
      </c>
      <c r="R28" s="25">
        <f>PBH!BK19</f>
        <v>218.60000000000002</v>
      </c>
      <c r="S28" s="25">
        <f>PBH!BL19</f>
        <v>238</v>
      </c>
      <c r="T28" s="25">
        <f>PBH!BM19</f>
        <v>238.6</v>
      </c>
      <c r="V28" s="26"/>
      <c r="W28" s="26"/>
    </row>
    <row r="29" spans="2:23" x14ac:dyDescent="0.25">
      <c r="B29" s="22" t="s">
        <v>16</v>
      </c>
      <c r="C29" s="25"/>
      <c r="D29" s="25"/>
      <c r="E29" s="25"/>
      <c r="F29" s="25">
        <f>SUMIF('BBET + BetR'!$5:$5,F$2,'BBET + BetR'!$17:$17)</f>
        <v>35.6</v>
      </c>
      <c r="G29" s="25">
        <f>SUMIF('BBET + BetR'!$5:$5,G$2,'BBET + BetR'!$17:$17)</f>
        <v>54.599999999999994</v>
      </c>
      <c r="H29" s="25">
        <f>SUMIF('BBET + BetR'!$5:$5,H$2,'BBET + BetR'!$17:$17)</f>
        <v>54.1</v>
      </c>
      <c r="I29" s="25"/>
      <c r="J29" s="25"/>
      <c r="L29" s="22" t="s">
        <v>16</v>
      </c>
      <c r="M29" s="25"/>
      <c r="N29" s="25"/>
      <c r="O29" s="25"/>
      <c r="P29" s="25">
        <f>SUMIF('BBET + BetR'!$6:$6,P$2,'BBET + BetR'!$17:$17)</f>
        <v>47.2</v>
      </c>
      <c r="Q29" s="25">
        <f>SUMIF('BBET + BetR'!$6:$6,Q$2,'BBET + BetR'!$17:$17)</f>
        <v>53.2</v>
      </c>
      <c r="R29" s="25">
        <f>SUMIF('BBET + BetR'!$6:$6,R$2,'BBET + BetR'!$17:$17)</f>
        <v>57.599999999999994</v>
      </c>
      <c r="S29" s="25">
        <f>SUMIF('BBET + BetR'!$6:$6,S$2,'BBET + BetR'!$17:$17)</f>
        <v>33.200000000000003</v>
      </c>
      <c r="T29" s="23">
        <v>0</v>
      </c>
      <c r="V29" s="26"/>
      <c r="W29" s="26"/>
    </row>
    <row r="30" spans="2:23" x14ac:dyDescent="0.25">
      <c r="B30" s="22"/>
      <c r="C30" s="25"/>
      <c r="D30" s="25"/>
      <c r="E30" s="25"/>
      <c r="F30" s="25"/>
      <c r="G30" s="25"/>
      <c r="H30" s="25"/>
      <c r="I30" s="25"/>
      <c r="J30" s="25"/>
      <c r="L30" s="22" t="s">
        <v>596</v>
      </c>
      <c r="M30" s="25"/>
      <c r="N30" s="25"/>
      <c r="O30" s="25"/>
      <c r="P30" s="25"/>
      <c r="Q30" s="671">
        <v>85</v>
      </c>
      <c r="R30" s="23">
        <v>85</v>
      </c>
      <c r="S30" s="23">
        <v>118</v>
      </c>
      <c r="T30" s="25">
        <f>SUMIF('BBET + BetR'!$6:$6,T$2,'BBET + BetR'!$30:$30)</f>
        <v>153.9</v>
      </c>
    </row>
    <row r="31" spans="2:23" x14ac:dyDescent="0.25">
      <c r="B31" s="22"/>
      <c r="C31" s="25"/>
      <c r="D31" s="25"/>
      <c r="E31" s="25"/>
      <c r="F31" s="25"/>
      <c r="G31" s="25"/>
      <c r="H31" s="25"/>
      <c r="I31" s="25"/>
      <c r="J31" s="25"/>
      <c r="L31" s="22" t="s">
        <v>609</v>
      </c>
      <c r="M31" s="25"/>
      <c r="N31" s="25"/>
      <c r="O31" s="25"/>
      <c r="P31" s="25"/>
      <c r="Q31" s="23">
        <v>0</v>
      </c>
      <c r="R31" s="25">
        <f>'Dabble ASIC'!I14/1000000</f>
        <v>0</v>
      </c>
      <c r="S31" s="25">
        <f>'Dabble ASIC'!J14/1000000</f>
        <v>81.884417999999997</v>
      </c>
      <c r="T31" s="25">
        <f>'Dabble ASIC'!K14/1000000</f>
        <v>146.931825</v>
      </c>
    </row>
    <row r="32" spans="2:23" x14ac:dyDescent="0.25">
      <c r="B32" s="22" t="s">
        <v>530</v>
      </c>
      <c r="C32" s="25"/>
      <c r="D32" s="25"/>
      <c r="E32" s="25"/>
      <c r="F32" s="25"/>
      <c r="G32" s="25">
        <f>G33-SUM(G24:G29)</f>
        <v>204.61991458346984</v>
      </c>
      <c r="H32" s="25">
        <f>H33-SUM(H24:H29)</f>
        <v>-4.0430972728954657</v>
      </c>
      <c r="I32" s="25"/>
      <c r="J32" s="25"/>
      <c r="L32" s="22" t="s">
        <v>530</v>
      </c>
      <c r="M32" s="25"/>
      <c r="N32" s="25"/>
      <c r="O32" s="25"/>
      <c r="P32" s="25"/>
      <c r="Q32" s="671">
        <v>150</v>
      </c>
      <c r="R32" s="671">
        <v>150</v>
      </c>
      <c r="S32" s="671">
        <v>150</v>
      </c>
      <c r="T32" s="671">
        <v>150</v>
      </c>
    </row>
    <row r="33" spans="2:20" x14ac:dyDescent="0.25">
      <c r="B33" s="68" t="s">
        <v>529</v>
      </c>
      <c r="C33" s="166"/>
      <c r="D33" s="166"/>
      <c r="E33" s="166"/>
      <c r="F33" s="166"/>
      <c r="G33" s="166">
        <f>G18</f>
        <v>5229.3172690763049</v>
      </c>
      <c r="H33" s="166">
        <f>H18</f>
        <v>4661.6326530612241</v>
      </c>
      <c r="I33" s="25"/>
      <c r="J33" s="25"/>
      <c r="L33" s="68" t="s">
        <v>529</v>
      </c>
      <c r="M33" s="166"/>
      <c r="N33" s="403"/>
      <c r="O33" s="403">
        <f>O19</f>
        <v>3593.5565217391304</v>
      </c>
      <c r="P33" s="403">
        <f>P19</f>
        <v>4764.4759999999997</v>
      </c>
      <c r="Q33" s="71">
        <f>SUM(Q24:Q32)</f>
        <v>5061.6858000000002</v>
      </c>
      <c r="R33" s="71">
        <f>SUM(R24:R32)</f>
        <v>4916.5493000000006</v>
      </c>
      <c r="S33" s="71">
        <f>SUM(S24:S32)</f>
        <v>4978.384117999999</v>
      </c>
      <c r="T33" s="71">
        <f>SUM(T24:T32)</f>
        <v>4866.4999250000001</v>
      </c>
    </row>
    <row r="34" spans="2:20" x14ac:dyDescent="0.25">
      <c r="B34" s="22"/>
      <c r="C34" s="25"/>
      <c r="D34" s="25"/>
      <c r="E34" s="25"/>
      <c r="F34" s="25"/>
      <c r="G34" s="25"/>
      <c r="H34" s="25"/>
      <c r="I34" s="25"/>
      <c r="J34" s="25"/>
      <c r="L34" s="22"/>
      <c r="M34" s="25"/>
      <c r="N34" s="25"/>
      <c r="O34" s="25"/>
      <c r="P34" s="25"/>
      <c r="Q34" s="25"/>
      <c r="R34" s="25"/>
    </row>
    <row r="35" spans="2:20" x14ac:dyDescent="0.25">
      <c r="B35" s="152" t="s">
        <v>531</v>
      </c>
      <c r="C35" s="25"/>
      <c r="D35" s="25"/>
      <c r="E35" s="25"/>
      <c r="F35" s="25"/>
      <c r="G35" s="25"/>
      <c r="I35" s="25"/>
      <c r="J35" s="25"/>
      <c r="L35" s="21" t="s">
        <v>531</v>
      </c>
      <c r="M35" s="25"/>
      <c r="N35" s="25"/>
      <c r="O35" s="25"/>
      <c r="P35" s="25"/>
      <c r="Q35" s="25"/>
    </row>
    <row r="36" spans="2:20" x14ac:dyDescent="0.25">
      <c r="B36" s="179" t="s">
        <v>11</v>
      </c>
      <c r="C36" s="26"/>
      <c r="D36" s="26"/>
      <c r="E36" s="26"/>
      <c r="F36" s="26"/>
      <c r="G36" s="26">
        <f t="shared" ref="G36:H41" si="3">G24/G$33</f>
        <v>0.249</v>
      </c>
      <c r="H36" s="26">
        <f t="shared" si="3"/>
        <v>0.245</v>
      </c>
      <c r="I36" s="25"/>
      <c r="J36" s="25"/>
      <c r="L36" s="176" t="s">
        <v>608</v>
      </c>
      <c r="M36" s="26"/>
      <c r="N36" s="26"/>
      <c r="O36" s="26"/>
      <c r="P36" s="26"/>
      <c r="Q36" s="26">
        <f t="shared" ref="Q36:T37" si="4">Q24/Q$33</f>
        <v>0.23687760311001524</v>
      </c>
      <c r="R36" s="26">
        <f t="shared" si="4"/>
        <v>0.22694779039437266</v>
      </c>
      <c r="S36" s="26">
        <f t="shared" si="4"/>
        <v>0.22123644417427421</v>
      </c>
      <c r="T36" s="26">
        <f t="shared" si="4"/>
        <v>0.21703483330475959</v>
      </c>
    </row>
    <row r="37" spans="2:20" x14ac:dyDescent="0.25">
      <c r="B37" s="73" t="s">
        <v>12</v>
      </c>
      <c r="C37" s="26"/>
      <c r="D37" s="26"/>
      <c r="E37" s="26"/>
      <c r="F37" s="26"/>
      <c r="G37" s="26">
        <f t="shared" si="3"/>
        <v>0.46355953821949664</v>
      </c>
      <c r="H37" s="26">
        <f t="shared" si="3"/>
        <v>0.48009983362107794</v>
      </c>
      <c r="I37" s="25"/>
      <c r="J37" s="25"/>
      <c r="L37" s="22" t="s">
        <v>12</v>
      </c>
      <c r="M37" s="26"/>
      <c r="N37" s="26"/>
      <c r="O37" s="26">
        <f>O25/O$33</f>
        <v>0.46</v>
      </c>
      <c r="P37" s="26">
        <f>P25/P$33</f>
        <v>0.5</v>
      </c>
      <c r="Q37" s="26">
        <f t="shared" si="4"/>
        <v>0.44358995969287546</v>
      </c>
      <c r="R37" s="26">
        <f t="shared" si="4"/>
        <v>0.44520228852378224</v>
      </c>
      <c r="S37" s="26">
        <f t="shared" si="4"/>
        <v>0.42469824543177215</v>
      </c>
      <c r="T37" s="26">
        <f t="shared" si="4"/>
        <v>0.4188591454668521</v>
      </c>
    </row>
    <row r="38" spans="2:20" x14ac:dyDescent="0.25">
      <c r="B38" s="73" t="s">
        <v>13</v>
      </c>
      <c r="C38" s="26"/>
      <c r="D38" s="26"/>
      <c r="E38" s="26"/>
      <c r="F38" s="26"/>
      <c r="G38" s="26">
        <f t="shared" si="3"/>
        <v>0.15835116008993882</v>
      </c>
      <c r="H38" s="26">
        <f t="shared" si="3"/>
        <v>0.17561244098872786</v>
      </c>
      <c r="I38" s="25"/>
      <c r="J38" s="25"/>
      <c r="L38" s="22" t="s">
        <v>13</v>
      </c>
      <c r="M38" s="26"/>
      <c r="N38" s="26"/>
      <c r="O38" s="26">
        <f>O26/O$33</f>
        <v>0.19900488434613645</v>
      </c>
      <c r="P38" s="26">
        <f>P26/P$33</f>
        <v>0.17669028031624048</v>
      </c>
      <c r="Q38" s="26">
        <f>Q26/Q$33</f>
        <v>0.18080671858375721</v>
      </c>
      <c r="R38" s="26">
        <f>R26/R$33</f>
        <v>0.17078813793243158</v>
      </c>
      <c r="S38" s="26">
        <f t="shared" ref="O38:T39" si="5">S26/S$33</f>
        <v>0.17052595377896476</v>
      </c>
      <c r="T38" s="26">
        <f t="shared" si="5"/>
        <v>0.16387344339679613</v>
      </c>
    </row>
    <row r="39" spans="2:20" x14ac:dyDescent="0.25">
      <c r="B39" s="73" t="s">
        <v>15</v>
      </c>
      <c r="C39" s="26"/>
      <c r="D39" s="26"/>
      <c r="E39" s="26"/>
      <c r="F39" s="26"/>
      <c r="G39" s="26">
        <f t="shared" si="3"/>
        <v>3.8327947930266497E-2</v>
      </c>
      <c r="H39" s="26">
        <f t="shared" si="3"/>
        <v>4.317929253130199E-2</v>
      </c>
      <c r="I39" s="25"/>
      <c r="J39" s="25"/>
      <c r="L39" s="22" t="s">
        <v>15</v>
      </c>
      <c r="M39" s="26"/>
      <c r="N39" s="26"/>
      <c r="O39" s="26">
        <f t="shared" si="5"/>
        <v>5.2961738280352028E-2</v>
      </c>
      <c r="P39" s="26">
        <f t="shared" si="5"/>
        <v>4.2067375300032996E-2</v>
      </c>
      <c r="Q39" s="26">
        <f t="shared" si="5"/>
        <v>3.9766593177316539E-2</v>
      </c>
      <c r="R39" s="26">
        <f t="shared" si="5"/>
        <v>5.3086419778196871E-2</v>
      </c>
      <c r="S39" s="26">
        <f t="shared" si="5"/>
        <v>5.8783129839640881E-2</v>
      </c>
      <c r="T39" s="26">
        <f t="shared" si="5"/>
        <v>5.8563650342602233E-2</v>
      </c>
    </row>
    <row r="40" spans="2:20" x14ac:dyDescent="0.25">
      <c r="B40" s="73" t="s">
        <v>14</v>
      </c>
      <c r="C40" s="26"/>
      <c r="D40" s="26"/>
      <c r="E40" s="26"/>
      <c r="F40" s="26"/>
      <c r="G40" s="26">
        <f t="shared" si="3"/>
        <v>4.1190845557176864E-2</v>
      </c>
      <c r="H40" s="26">
        <f t="shared" si="3"/>
        <v>4.5370370370370373E-2</v>
      </c>
      <c r="I40" s="25"/>
      <c r="J40" s="25"/>
      <c r="L40" s="22" t="s">
        <v>14</v>
      </c>
      <c r="M40" s="26"/>
      <c r="N40" s="26"/>
      <c r="O40" s="26">
        <f t="shared" ref="O40:T40" si="6">O28/O$33</f>
        <v>3.6955033042232598E-2</v>
      </c>
      <c r="P40" s="26">
        <f t="shared" si="6"/>
        <v>3.9710557887163253E-2</v>
      </c>
      <c r="Q40" s="26">
        <f t="shared" si="6"/>
        <v>4.2021573128857577E-2</v>
      </c>
      <c r="R40" s="26">
        <f t="shared" si="6"/>
        <v>4.4462078311713463E-2</v>
      </c>
      <c r="S40" s="26">
        <f t="shared" si="6"/>
        <v>4.7806676696456558E-2</v>
      </c>
      <c r="T40" s="26">
        <f t="shared" si="6"/>
        <v>4.902907709384173E-2</v>
      </c>
    </row>
    <row r="41" spans="2:20" x14ac:dyDescent="0.25">
      <c r="B41" s="73" t="s">
        <v>16</v>
      </c>
      <c r="C41" s="26"/>
      <c r="D41" s="26"/>
      <c r="E41" s="26"/>
      <c r="F41" s="26"/>
      <c r="G41" s="26">
        <f t="shared" si="3"/>
        <v>1.0441133553490516E-2</v>
      </c>
      <c r="H41" s="26">
        <f t="shared" si="3"/>
        <v>1.1605376061640839E-2</v>
      </c>
      <c r="I41" s="25"/>
      <c r="J41" s="25"/>
      <c r="L41" s="22" t="s">
        <v>16</v>
      </c>
      <c r="M41" s="26"/>
      <c r="N41" s="26"/>
      <c r="O41" s="26"/>
      <c r="P41" s="26">
        <f t="shared" ref="P41:T42" si="7">P29/P$33</f>
        <v>9.9066508048314249E-3</v>
      </c>
      <c r="Q41" s="26">
        <f t="shared" si="7"/>
        <v>1.0510332348167482E-2</v>
      </c>
      <c r="R41" s="26">
        <f t="shared" si="7"/>
        <v>1.1715533900982136E-2</v>
      </c>
      <c r="S41" s="26">
        <f t="shared" si="7"/>
        <v>6.6688305307662102E-3</v>
      </c>
      <c r="T41" s="26">
        <f t="shared" si="7"/>
        <v>0</v>
      </c>
    </row>
    <row r="42" spans="2:20" x14ac:dyDescent="0.25">
      <c r="B42" s="73" t="s">
        <v>530</v>
      </c>
      <c r="C42" s="26"/>
      <c r="D42" s="26"/>
      <c r="E42" s="26"/>
      <c r="F42" s="26"/>
      <c r="G42" s="26">
        <f>G32/G$33</f>
        <v>3.9129374649630594E-2</v>
      </c>
      <c r="H42" s="26">
        <f>H32/H$33</f>
        <v>-8.6731357311915693E-4</v>
      </c>
      <c r="L42" s="22" t="s">
        <v>596</v>
      </c>
      <c r="M42" s="26"/>
      <c r="N42" s="26"/>
      <c r="O42" s="26"/>
      <c r="P42" s="26">
        <f t="shared" si="7"/>
        <v>0</v>
      </c>
      <c r="Q42" s="26">
        <f t="shared" si="7"/>
        <v>1.6792824240493158E-2</v>
      </c>
      <c r="R42" s="26">
        <f t="shared" si="7"/>
        <v>1.728854829137989E-2</v>
      </c>
      <c r="S42" s="26">
        <f t="shared" si="7"/>
        <v>2.370246995874737E-2</v>
      </c>
      <c r="T42" s="26">
        <f t="shared" si="7"/>
        <v>3.1624371185005211E-2</v>
      </c>
    </row>
    <row r="43" spans="2:20" x14ac:dyDescent="0.25">
      <c r="B43" s="22"/>
      <c r="C43" s="25"/>
      <c r="D43" s="25"/>
      <c r="E43" s="25"/>
      <c r="F43" s="25"/>
      <c r="G43" s="25"/>
      <c r="H43" s="25"/>
      <c r="L43" s="22" t="s">
        <v>609</v>
      </c>
      <c r="M43" s="26"/>
      <c r="N43" s="26"/>
      <c r="O43" s="26"/>
      <c r="P43" s="26">
        <f>P31/P$33</f>
        <v>0</v>
      </c>
      <c r="Q43" s="26">
        <f t="shared" ref="Q43:T44" si="8">Q31/Q$33</f>
        <v>0</v>
      </c>
      <c r="R43" s="26">
        <f t="shared" si="8"/>
        <v>0</v>
      </c>
      <c r="S43" s="26">
        <f t="shared" si="8"/>
        <v>1.6447991167241629E-2</v>
      </c>
      <c r="T43" s="26">
        <f t="shared" si="8"/>
        <v>3.0192505345615513E-2</v>
      </c>
    </row>
    <row r="44" spans="2:20" x14ac:dyDescent="0.25">
      <c r="B44" s="21" t="s">
        <v>568</v>
      </c>
      <c r="F44" s="177"/>
      <c r="G44" s="177"/>
      <c r="H44" s="177"/>
      <c r="I44" s="177"/>
      <c r="L44" s="22" t="s">
        <v>297</v>
      </c>
      <c r="M44" s="26"/>
      <c r="N44" s="26"/>
      <c r="O44" s="26"/>
      <c r="P44" s="26"/>
      <c r="Q44" s="26"/>
      <c r="R44" s="26"/>
      <c r="S44" s="26"/>
      <c r="T44" s="26">
        <f t="shared" si="8"/>
        <v>3.0822973864527491E-2</v>
      </c>
    </row>
    <row r="45" spans="2:20" x14ac:dyDescent="0.25">
      <c r="B45" s="176" t="s">
        <v>542</v>
      </c>
      <c r="F45" s="177"/>
      <c r="G45" s="25">
        <f>G8+G9</f>
        <v>2000.8999999999999</v>
      </c>
      <c r="H45" s="25">
        <f>H8+H9</f>
        <v>2024.1</v>
      </c>
      <c r="I45" s="177"/>
      <c r="P45" s="177"/>
      <c r="Q45" s="177"/>
      <c r="R45" s="177"/>
    </row>
    <row r="46" spans="2:20" x14ac:dyDescent="0.25">
      <c r="B46" s="22" t="s">
        <v>12</v>
      </c>
      <c r="C46" s="25">
        <f>SUMIF(SBET!$5:$5,C$2,SBET!$96:$96)</f>
        <v>744.6012781197669</v>
      </c>
      <c r="D46" s="25">
        <f>SUMIF(SBET!$5:$5,D$2,SBET!$96:$96)</f>
        <v>925.45322758112843</v>
      </c>
      <c r="E46" s="25">
        <f>SUMIF(SBET!$5:$5,E$2,SBET!$96:$96)</f>
        <v>1508.5179679015519</v>
      </c>
      <c r="F46" s="25">
        <f>SUMIF(SBET!$5:$5,F$2,SBET!$96:$96)</f>
        <v>2209.3311137711116</v>
      </c>
      <c r="G46" s="25">
        <f>SUMIF(SBET!$5:$5,G$2,SBET!$96:$96)</f>
        <v>2424.0998984562511</v>
      </c>
      <c r="H46" s="25">
        <f>SUMIF(SBET!$5:$5,H$2,SBET!$96:$96)</f>
        <v>2238.0490611372779</v>
      </c>
      <c r="P46" s="177"/>
      <c r="Q46" s="177"/>
      <c r="R46" s="177"/>
    </row>
    <row r="47" spans="2:20" x14ac:dyDescent="0.25">
      <c r="B47" s="22" t="s">
        <v>13</v>
      </c>
      <c r="C47" s="25">
        <f>SUMIF(ENT!$5:$5,C$2,ENT!$28:$28)</f>
        <v>157.12085277195303</v>
      </c>
      <c r="D47" s="25">
        <f>SUMIF(ENT!$5:$5,D$2,ENT!$28:$28)</f>
        <v>411.37911790335181</v>
      </c>
      <c r="E47" s="25">
        <f>SUMIF(ENT!$5:$5,E$2,ENT!$28:$28)</f>
        <v>556.41220903784676</v>
      </c>
      <c r="F47" s="25">
        <f>SUMIF(ENT!$5:$5,F$2,ENT!$28:$28)</f>
        <v>723.3645432916137</v>
      </c>
      <c r="G47" s="25">
        <f>SUMIF(ENT!$5:$5,G$2,ENT!$28:$28)</f>
        <v>828.0684560365836</v>
      </c>
      <c r="H47" s="25">
        <f>SUMIF(ENT!$5:$5,H$2,ENT!$28:$28)</f>
        <v>818.64068919684109</v>
      </c>
      <c r="P47" s="177"/>
      <c r="Q47" s="177"/>
      <c r="R47" s="177"/>
    </row>
    <row r="48" spans="2:20" x14ac:dyDescent="0.25">
      <c r="B48" s="22" t="s">
        <v>15</v>
      </c>
      <c r="C48" s="25">
        <f>SUMIF('B365'!$5:$5,C$2,'B365'!$15:$15)</f>
        <v>114.999</v>
      </c>
      <c r="D48" s="25">
        <f>SUMIF('B365'!$5:$5,D$2,'B365'!$15:$15)</f>
        <v>120.914</v>
      </c>
      <c r="E48" s="25">
        <f>SUMIF('B365'!$5:$5,E$2,'B365'!$15:$15)</f>
        <v>147.173</v>
      </c>
      <c r="F48" s="25">
        <f>SUMIF('B365'!$5:$5,F$2,'B365'!$15:$15)</f>
        <v>190.321</v>
      </c>
      <c r="G48" s="25">
        <f>SUMIF('B365'!$5:$5,G$2,'B365'!$15:$15)</f>
        <v>200.429</v>
      </c>
      <c r="H48" s="25">
        <f>SUMIF('B365'!$5:$5,H$2,'B365'!$15:$15)</f>
        <v>201.286</v>
      </c>
      <c r="I48" s="25"/>
      <c r="P48" s="177"/>
      <c r="Q48" s="177"/>
      <c r="R48" s="177"/>
    </row>
    <row r="49" spans="2:18" x14ac:dyDescent="0.25">
      <c r="B49" s="22" t="s">
        <v>14</v>
      </c>
      <c r="D49" s="25"/>
      <c r="E49" s="25">
        <f>SUMIF(PBH!$5:$5,E$2,PBH!$19:$19)</f>
        <v>75.099999999999994</v>
      </c>
      <c r="F49" s="25">
        <f>SUMIF(PBH!$5:$5,F$2,PBH!$19:$19)</f>
        <v>166.20000000000002</v>
      </c>
      <c r="G49" s="25">
        <f>SUMIF(PBH!$5:$5,G$2,PBH!$19:$19)</f>
        <v>215.39999999999998</v>
      </c>
      <c r="H49" s="25">
        <f>SUMIF(PBH!$5:$5,H$2,PBH!$19:$19)</f>
        <v>211.5</v>
      </c>
      <c r="I49" s="25"/>
      <c r="J49" s="25"/>
      <c r="P49" s="177"/>
      <c r="Q49" s="177"/>
      <c r="R49" s="177"/>
    </row>
    <row r="50" spans="2:18" x14ac:dyDescent="0.25">
      <c r="B50" s="22" t="s">
        <v>16</v>
      </c>
      <c r="C50" s="25"/>
      <c r="D50" s="25"/>
      <c r="E50" s="25"/>
      <c r="F50" s="25">
        <f>SUMIF('BBET + BetR'!$5:$5,F$2,'BBET + BetR'!$17:$17)</f>
        <v>35.6</v>
      </c>
      <c r="G50" s="25">
        <f>SUMIF('BBET + BetR'!$5:$5,G$2,'BBET + BetR'!$17:$17)</f>
        <v>54.599999999999994</v>
      </c>
      <c r="H50" s="25">
        <f>SUMIF('BBET + BetR'!$5:$5,H$2,'BBET + BetR'!$17:$17)</f>
        <v>54.1</v>
      </c>
      <c r="I50" s="25"/>
      <c r="J50" s="25"/>
      <c r="P50" s="177"/>
      <c r="Q50" s="177"/>
      <c r="R50" s="177"/>
    </row>
    <row r="51" spans="2:18" x14ac:dyDescent="0.25">
      <c r="B51" s="22" t="s">
        <v>530</v>
      </c>
      <c r="C51" s="25"/>
      <c r="D51" s="25"/>
      <c r="E51" s="25"/>
      <c r="F51" s="25"/>
      <c r="G51" s="25">
        <f>G52-SUM(G45:G50)</f>
        <v>231.5621693166886</v>
      </c>
      <c r="H51" s="25">
        <f>H52-SUM(H45:H50)</f>
        <v>302.32424966588133</v>
      </c>
      <c r="I51" s="25"/>
      <c r="J51" s="25"/>
      <c r="P51" s="177"/>
      <c r="Q51" s="177"/>
      <c r="R51" s="177"/>
    </row>
    <row r="52" spans="2:18" x14ac:dyDescent="0.25">
      <c r="B52" s="68" t="s">
        <v>541</v>
      </c>
      <c r="C52" s="166"/>
      <c r="D52" s="166"/>
      <c r="E52" s="166"/>
      <c r="F52" s="166"/>
      <c r="G52" s="166">
        <f>G19</f>
        <v>5955.0595238095229</v>
      </c>
      <c r="H52" s="166">
        <f>H19</f>
        <v>5850</v>
      </c>
      <c r="I52" s="25"/>
      <c r="J52" s="25"/>
      <c r="P52" s="177"/>
      <c r="Q52" s="177"/>
      <c r="R52" s="177"/>
    </row>
    <row r="53" spans="2:18" x14ac:dyDescent="0.25">
      <c r="B53" s="22"/>
      <c r="C53" s="25"/>
      <c r="D53" s="25"/>
      <c r="E53" s="25"/>
      <c r="F53" s="25"/>
      <c r="G53" s="25"/>
      <c r="H53" s="25"/>
      <c r="I53" s="25"/>
      <c r="J53" s="25"/>
      <c r="P53" s="177"/>
      <c r="Q53" s="177"/>
      <c r="R53" s="177"/>
    </row>
    <row r="54" spans="2:18" x14ac:dyDescent="0.25">
      <c r="B54" s="152" t="s">
        <v>531</v>
      </c>
      <c r="C54" s="25"/>
      <c r="D54" s="25"/>
      <c r="E54" s="25"/>
      <c r="F54" s="25"/>
      <c r="G54" s="25"/>
      <c r="I54" s="25"/>
      <c r="J54" s="25"/>
      <c r="P54" s="177"/>
      <c r="Q54" s="177"/>
      <c r="R54" s="177"/>
    </row>
    <row r="55" spans="2:18" x14ac:dyDescent="0.25">
      <c r="B55" s="179" t="s">
        <v>542</v>
      </c>
      <c r="C55" s="26"/>
      <c r="D55" s="26"/>
      <c r="E55" s="26"/>
      <c r="F55" s="26"/>
      <c r="G55" s="26">
        <f t="shared" ref="G55:G61" si="9">G45/G$52</f>
        <v>0.33600000000000002</v>
      </c>
      <c r="H55" s="26">
        <f t="shared" ref="H55:H61" si="10">H45/H$52</f>
        <v>0.34599999999999997</v>
      </c>
      <c r="I55" s="25"/>
      <c r="J55" s="25"/>
      <c r="P55" s="177"/>
      <c r="Q55" s="177"/>
      <c r="R55" s="177"/>
    </row>
    <row r="56" spans="2:18" x14ac:dyDescent="0.25">
      <c r="B56" s="73" t="s">
        <v>12</v>
      </c>
      <c r="C56" s="26"/>
      <c r="D56" s="26"/>
      <c r="E56" s="26"/>
      <c r="F56" s="26"/>
      <c r="G56" s="26">
        <f t="shared" si="9"/>
        <v>0.40706560341911163</v>
      </c>
      <c r="H56" s="26">
        <f t="shared" si="10"/>
        <v>0.38257248908329539</v>
      </c>
      <c r="I56" s="25"/>
      <c r="J56" s="25"/>
      <c r="P56" s="177"/>
      <c r="Q56" s="177"/>
      <c r="R56" s="177"/>
    </row>
    <row r="57" spans="2:18" x14ac:dyDescent="0.25">
      <c r="B57" s="73" t="s">
        <v>13</v>
      </c>
      <c r="C57" s="26"/>
      <c r="D57" s="26"/>
      <c r="E57" s="26"/>
      <c r="F57" s="26"/>
      <c r="G57" s="26">
        <f t="shared" si="9"/>
        <v>0.13905292679708736</v>
      </c>
      <c r="H57" s="26">
        <f t="shared" si="10"/>
        <v>0.13993857934988738</v>
      </c>
      <c r="I57" s="25"/>
      <c r="J57" s="25"/>
      <c r="P57" s="177"/>
      <c r="Q57" s="177"/>
      <c r="R57" s="177"/>
    </row>
    <row r="58" spans="2:18" x14ac:dyDescent="0.25">
      <c r="B58" s="73" t="s">
        <v>15</v>
      </c>
      <c r="C58" s="26"/>
      <c r="D58" s="26"/>
      <c r="E58" s="26"/>
      <c r="F58" s="26"/>
      <c r="G58" s="26">
        <f t="shared" si="9"/>
        <v>3.3656926383127596E-2</v>
      </c>
      <c r="H58" s="26">
        <f t="shared" si="10"/>
        <v>3.4407863247863248E-2</v>
      </c>
      <c r="I58" s="25"/>
      <c r="J58" s="25"/>
      <c r="P58" s="177"/>
      <c r="Q58" s="177"/>
      <c r="R58" s="177"/>
    </row>
    <row r="59" spans="2:18" x14ac:dyDescent="0.25">
      <c r="B59" s="73" t="s">
        <v>14</v>
      </c>
      <c r="C59" s="26"/>
      <c r="D59" s="26"/>
      <c r="E59" s="26"/>
      <c r="F59" s="26"/>
      <c r="G59" s="26">
        <f t="shared" si="9"/>
        <v>3.6170923084611929E-2</v>
      </c>
      <c r="H59" s="26">
        <f t="shared" si="10"/>
        <v>3.6153846153846154E-2</v>
      </c>
      <c r="I59" s="25"/>
      <c r="J59" s="25"/>
      <c r="P59" s="177"/>
      <c r="Q59" s="177"/>
      <c r="R59" s="177"/>
    </row>
    <row r="60" spans="2:18" x14ac:dyDescent="0.25">
      <c r="B60" s="73" t="s">
        <v>16</v>
      </c>
      <c r="C60" s="26"/>
      <c r="D60" s="26"/>
      <c r="E60" s="26"/>
      <c r="F60" s="26"/>
      <c r="G60" s="26">
        <f t="shared" si="9"/>
        <v>9.1686740966565056E-3</v>
      </c>
      <c r="H60" s="26">
        <f t="shared" si="10"/>
        <v>9.2478632478632476E-3</v>
      </c>
      <c r="I60" s="25"/>
      <c r="J60" s="25"/>
      <c r="P60" s="177"/>
      <c r="Q60" s="177"/>
      <c r="R60" s="177"/>
    </row>
    <row r="61" spans="2:18" x14ac:dyDescent="0.25">
      <c r="B61" s="73" t="s">
        <v>530</v>
      </c>
      <c r="C61" s="26"/>
      <c r="D61" s="26"/>
      <c r="E61" s="26"/>
      <c r="F61" s="26"/>
      <c r="G61" s="26">
        <f t="shared" si="9"/>
        <v>3.8884946219404956E-2</v>
      </c>
      <c r="H61" s="26">
        <f t="shared" si="10"/>
        <v>5.1679358917244671E-2</v>
      </c>
      <c r="P61" s="177"/>
      <c r="Q61" s="177"/>
      <c r="R61" s="177"/>
    </row>
    <row r="62" spans="2:18" x14ac:dyDescent="0.25">
      <c r="B62" s="22"/>
      <c r="C62" s="25"/>
      <c r="D62" s="25"/>
      <c r="E62" s="25"/>
      <c r="F62" s="25"/>
      <c r="G62" s="25"/>
      <c r="H62" s="25"/>
      <c r="P62" s="177"/>
      <c r="Q62" s="177"/>
      <c r="R62" s="177"/>
    </row>
    <row r="63" spans="2:18" x14ac:dyDescent="0.25">
      <c r="B63" s="21" t="s">
        <v>569</v>
      </c>
      <c r="G63" s="25"/>
      <c r="H63" s="25"/>
      <c r="L63" s="21" t="s">
        <v>570</v>
      </c>
    </row>
    <row r="64" spans="2:18" x14ac:dyDescent="0.25">
      <c r="B64" s="73" t="s">
        <v>563</v>
      </c>
      <c r="C64" s="24">
        <v>4946.7389999999996</v>
      </c>
      <c r="D64" s="24">
        <v>5030.1239999999998</v>
      </c>
      <c r="E64" s="24">
        <v>4567.098</v>
      </c>
      <c r="F64" s="24">
        <v>5815.0919999999996</v>
      </c>
      <c r="G64" s="25"/>
      <c r="H64" s="25"/>
      <c r="L64" s="73" t="s">
        <v>571</v>
      </c>
      <c r="M64" s="55">
        <v>0.33</v>
      </c>
      <c r="N64" s="55">
        <v>0.28999999999999998</v>
      </c>
      <c r="O64" s="55">
        <v>0.14000000000000001</v>
      </c>
      <c r="P64" s="55">
        <v>0.13</v>
      </c>
      <c r="Q64" s="55">
        <v>0.17</v>
      </c>
    </row>
    <row r="65" spans="2:17" x14ac:dyDescent="0.25">
      <c r="B65" s="22"/>
      <c r="C65" s="25"/>
      <c r="D65" s="25"/>
      <c r="E65" s="25"/>
      <c r="F65" s="25"/>
      <c r="G65" s="25"/>
      <c r="H65" s="25"/>
      <c r="L65" s="73" t="s">
        <v>572</v>
      </c>
      <c r="M65" s="55">
        <v>0.67</v>
      </c>
      <c r="N65" s="55">
        <v>0.71</v>
      </c>
      <c r="O65" s="55">
        <v>0.86</v>
      </c>
      <c r="P65" s="55">
        <v>0.87</v>
      </c>
      <c r="Q65" s="55">
        <v>0.83</v>
      </c>
    </row>
    <row r="66" spans="2:17" x14ac:dyDescent="0.25">
      <c r="B66" s="22"/>
      <c r="C66" s="25"/>
      <c r="D66" s="25"/>
      <c r="E66" s="25"/>
      <c r="F66" s="25"/>
      <c r="G66" s="25"/>
      <c r="H66" s="25"/>
      <c r="L66" s="22" t="s">
        <v>573</v>
      </c>
      <c r="M66" s="24">
        <v>5100</v>
      </c>
      <c r="N66" s="24">
        <v>5400</v>
      </c>
      <c r="O66" s="24">
        <v>6900</v>
      </c>
      <c r="P66" s="24">
        <v>7900</v>
      </c>
      <c r="Q66" s="24">
        <v>8400</v>
      </c>
    </row>
    <row r="67" spans="2:17" x14ac:dyDescent="0.25">
      <c r="B67" s="22"/>
      <c r="C67" s="25"/>
      <c r="D67" s="25"/>
      <c r="E67" s="25"/>
      <c r="F67" s="25"/>
      <c r="G67" s="25"/>
      <c r="H67" s="25"/>
    </row>
    <row r="68" spans="2:17" x14ac:dyDescent="0.25">
      <c r="B68" s="22"/>
      <c r="C68" s="25"/>
      <c r="D68" s="25"/>
      <c r="E68" s="25"/>
      <c r="F68" s="25"/>
      <c r="G68" s="25"/>
      <c r="H68" s="25"/>
      <c r="L68" s="73" t="s">
        <v>574</v>
      </c>
      <c r="M68" s="70">
        <f>M64*M66</f>
        <v>1683</v>
      </c>
      <c r="N68" s="70">
        <f>N64*N66</f>
        <v>1566</v>
      </c>
      <c r="O68" s="70">
        <f>O64*O66</f>
        <v>966.00000000000011</v>
      </c>
      <c r="P68" s="70">
        <f>P64*P66</f>
        <v>1027</v>
      </c>
      <c r="Q68" s="70">
        <f>Q64*Q66</f>
        <v>1428</v>
      </c>
    </row>
    <row r="69" spans="2:17" x14ac:dyDescent="0.25">
      <c r="B69" s="22"/>
      <c r="C69" s="25"/>
      <c r="D69" s="25"/>
      <c r="E69" s="25"/>
      <c r="F69" s="25"/>
      <c r="G69" s="25"/>
      <c r="H69" s="25"/>
      <c r="L69" s="73" t="s">
        <v>575</v>
      </c>
      <c r="M69" s="70">
        <f>M65*M66</f>
        <v>3417</v>
      </c>
      <c r="N69" s="70">
        <f>N65*N66</f>
        <v>3834</v>
      </c>
      <c r="O69" s="70">
        <f>O65*O66</f>
        <v>5934</v>
      </c>
      <c r="P69" s="70">
        <f>P65*P66</f>
        <v>6873</v>
      </c>
      <c r="Q69" s="70">
        <f>Q65*Q66</f>
        <v>6972</v>
      </c>
    </row>
    <row r="70" spans="2:17" x14ac:dyDescent="0.25">
      <c r="B70" s="22"/>
      <c r="C70" s="25"/>
      <c r="D70" s="25"/>
      <c r="E70" s="25"/>
      <c r="F70" s="25"/>
      <c r="G70" s="25"/>
      <c r="H70" s="25"/>
    </row>
    <row r="71" spans="2:17" x14ac:dyDescent="0.25">
      <c r="B71" s="22"/>
      <c r="C71" s="25"/>
      <c r="D71" s="25"/>
      <c r="E71" s="25"/>
      <c r="F71" s="25"/>
      <c r="G71" s="25"/>
      <c r="H71" s="25"/>
      <c r="L71" s="21" t="s">
        <v>559</v>
      </c>
    </row>
    <row r="72" spans="2:17" x14ac:dyDescent="0.25">
      <c r="B72" s="22"/>
      <c r="C72" s="25"/>
      <c r="D72" s="25"/>
      <c r="E72" s="25"/>
      <c r="F72" s="25"/>
      <c r="G72" s="25"/>
      <c r="H72" s="25"/>
      <c r="L72" s="73" t="s">
        <v>552</v>
      </c>
      <c r="M72" s="24">
        <v>1848</v>
      </c>
      <c r="N72" s="24">
        <v>1696</v>
      </c>
      <c r="O72" s="24">
        <v>1321</v>
      </c>
      <c r="P72" s="24">
        <v>1050</v>
      </c>
      <c r="Q72" s="24">
        <v>870</v>
      </c>
    </row>
    <row r="73" spans="2:17" x14ac:dyDescent="0.25">
      <c r="B73" s="22"/>
      <c r="C73" s="25"/>
      <c r="D73" s="25"/>
      <c r="E73" s="25"/>
      <c r="F73" s="25"/>
      <c r="G73" s="25"/>
      <c r="H73" s="25"/>
      <c r="L73" s="73" t="s">
        <v>553</v>
      </c>
      <c r="M73" s="24">
        <v>486</v>
      </c>
      <c r="N73" s="24">
        <v>331</v>
      </c>
      <c r="O73" s="24">
        <v>329</v>
      </c>
      <c r="P73" s="24">
        <v>404</v>
      </c>
      <c r="Q73" s="24">
        <v>337</v>
      </c>
    </row>
    <row r="74" spans="2:17" x14ac:dyDescent="0.25">
      <c r="B74" s="22"/>
      <c r="C74" s="25"/>
      <c r="D74" s="25"/>
      <c r="E74" s="25"/>
      <c r="F74" s="25"/>
      <c r="G74" s="25"/>
      <c r="H74" s="25"/>
      <c r="L74" s="22" t="s">
        <v>557</v>
      </c>
      <c r="M74" s="70">
        <f>SUM(M72:M73)</f>
        <v>2334</v>
      </c>
      <c r="N74" s="70">
        <f>SUM(N72:N73)</f>
        <v>2027</v>
      </c>
      <c r="O74" s="70">
        <f>SUM(O72:O73)</f>
        <v>1650</v>
      </c>
      <c r="P74" s="70">
        <f>SUM(P72:P73)</f>
        <v>1454</v>
      </c>
      <c r="Q74" s="70">
        <f>SUM(Q72:Q73)</f>
        <v>1207</v>
      </c>
    </row>
    <row r="75" spans="2:17" x14ac:dyDescent="0.25">
      <c r="B75" s="22"/>
      <c r="C75" s="25"/>
      <c r="D75" s="25"/>
      <c r="E75" s="25"/>
      <c r="F75" s="25"/>
      <c r="G75" s="25"/>
      <c r="H75" s="25"/>
      <c r="L75" s="73"/>
    </row>
    <row r="76" spans="2:17" x14ac:dyDescent="0.25">
      <c r="B76" s="22"/>
      <c r="C76" s="25"/>
      <c r="D76" s="25"/>
      <c r="E76" s="25"/>
      <c r="F76" s="25"/>
      <c r="G76" s="25"/>
      <c r="H76" s="25"/>
      <c r="L76" s="73" t="s">
        <v>554</v>
      </c>
      <c r="M76" s="24">
        <v>2389</v>
      </c>
      <c r="N76" s="24">
        <v>2544</v>
      </c>
      <c r="O76" s="24">
        <v>3793</v>
      </c>
      <c r="P76" s="24">
        <v>4915</v>
      </c>
      <c r="Q76" s="24">
        <v>5322</v>
      </c>
    </row>
    <row r="77" spans="2:17" x14ac:dyDescent="0.25">
      <c r="B77" s="22"/>
      <c r="C77" s="25"/>
      <c r="D77" s="25"/>
      <c r="E77" s="25"/>
      <c r="F77" s="25"/>
      <c r="G77" s="25"/>
      <c r="H77" s="25"/>
      <c r="L77" s="73" t="s">
        <v>555</v>
      </c>
      <c r="M77" s="24">
        <v>959</v>
      </c>
      <c r="N77" s="24">
        <v>1064</v>
      </c>
      <c r="O77" s="24">
        <v>791</v>
      </c>
      <c r="P77" s="24">
        <v>1118</v>
      </c>
      <c r="Q77" s="24">
        <v>1263</v>
      </c>
    </row>
    <row r="78" spans="2:17" x14ac:dyDescent="0.25">
      <c r="B78" s="22"/>
      <c r="C78" s="25"/>
      <c r="D78" s="25"/>
      <c r="E78" s="25"/>
      <c r="F78" s="25"/>
      <c r="G78" s="25"/>
      <c r="H78" s="25"/>
      <c r="L78" s="22" t="s">
        <v>558</v>
      </c>
      <c r="M78" s="70">
        <f>SUM(M76:M77)</f>
        <v>3348</v>
      </c>
      <c r="N78" s="70">
        <f>SUM(N76:N77)</f>
        <v>3608</v>
      </c>
      <c r="O78" s="70">
        <f>SUM(O76:O77)</f>
        <v>4584</v>
      </c>
      <c r="P78" s="70">
        <f>SUM(P76:P77)</f>
        <v>6033</v>
      </c>
      <c r="Q78" s="70">
        <f>SUM(Q76:Q77)</f>
        <v>6585</v>
      </c>
    </row>
    <row r="79" spans="2:17" x14ac:dyDescent="0.25">
      <c r="B79" s="22"/>
      <c r="C79" s="25"/>
      <c r="D79" s="25"/>
      <c r="E79" s="25"/>
      <c r="F79" s="25"/>
      <c r="G79" s="25"/>
      <c r="H79" s="25"/>
      <c r="L79" s="22"/>
    </row>
    <row r="80" spans="2:17" x14ac:dyDescent="0.25">
      <c r="B80" s="22"/>
      <c r="C80" s="25"/>
      <c r="D80" s="25"/>
      <c r="E80" s="25"/>
      <c r="F80" s="25"/>
      <c r="G80" s="25"/>
      <c r="H80" s="25"/>
      <c r="L80" s="22" t="s">
        <v>194</v>
      </c>
      <c r="M80" s="70">
        <f t="shared" ref="M80:Q81" si="11">SUM(M72,M76)</f>
        <v>4237</v>
      </c>
      <c r="N80" s="70">
        <f t="shared" si="11"/>
        <v>4240</v>
      </c>
      <c r="O80" s="70">
        <f t="shared" si="11"/>
        <v>5114</v>
      </c>
      <c r="P80" s="70">
        <f t="shared" si="11"/>
        <v>5965</v>
      </c>
      <c r="Q80" s="70">
        <f t="shared" si="11"/>
        <v>6192</v>
      </c>
    </row>
    <row r="81" spans="2:17" x14ac:dyDescent="0.25">
      <c r="B81" s="22"/>
      <c r="C81" s="25"/>
      <c r="D81" s="25"/>
      <c r="E81" s="25"/>
      <c r="F81" s="25"/>
      <c r="G81" s="25"/>
      <c r="H81" s="25"/>
      <c r="L81" s="22" t="s">
        <v>556</v>
      </c>
      <c r="M81" s="70">
        <f t="shared" si="11"/>
        <v>1445</v>
      </c>
      <c r="N81" s="70">
        <f t="shared" si="11"/>
        <v>1395</v>
      </c>
      <c r="O81" s="70">
        <f t="shared" si="11"/>
        <v>1120</v>
      </c>
      <c r="P81" s="70">
        <f t="shared" si="11"/>
        <v>1522</v>
      </c>
      <c r="Q81" s="70">
        <f t="shared" si="11"/>
        <v>1600</v>
      </c>
    </row>
    <row r="82" spans="2:17" x14ac:dyDescent="0.25">
      <c r="B82" s="22"/>
      <c r="C82" s="25"/>
      <c r="D82" s="25"/>
      <c r="E82" s="25"/>
      <c r="F82" s="25"/>
      <c r="G82" s="25"/>
      <c r="H82" s="25"/>
      <c r="L82" s="18" t="s">
        <v>541</v>
      </c>
      <c r="M82" s="70">
        <f>SUM(M80:M81)</f>
        <v>5682</v>
      </c>
      <c r="N82" s="70">
        <f>SUM(N80:N81)</f>
        <v>5635</v>
      </c>
      <c r="O82" s="70">
        <f>SUM(O80:O81)</f>
        <v>6234</v>
      </c>
      <c r="P82" s="70">
        <f>SUM(P80:P81)</f>
        <v>7487</v>
      </c>
      <c r="Q82" s="70">
        <f>SUM(Q80:Q81)</f>
        <v>7792</v>
      </c>
    </row>
    <row r="83" spans="2:17" x14ac:dyDescent="0.25">
      <c r="B83" s="22"/>
      <c r="C83" s="25"/>
      <c r="D83" s="25"/>
      <c r="E83" s="25"/>
      <c r="F83" s="25"/>
      <c r="G83" s="25"/>
      <c r="H83" s="25"/>
    </row>
    <row r="84" spans="2:17" x14ac:dyDescent="0.25">
      <c r="B84" s="22"/>
      <c r="C84" s="25"/>
      <c r="D84" s="25"/>
      <c r="E84" s="25"/>
      <c r="F84" s="25"/>
      <c r="G84" s="25"/>
      <c r="H84" s="25"/>
      <c r="L84" s="22" t="s">
        <v>560</v>
      </c>
      <c r="M84" s="24">
        <v>193</v>
      </c>
      <c r="N84" s="24">
        <v>186</v>
      </c>
      <c r="O84" s="24">
        <v>170</v>
      </c>
      <c r="P84" s="24">
        <v>209</v>
      </c>
      <c r="Q84" s="24">
        <v>207</v>
      </c>
    </row>
    <row r="85" spans="2:17" x14ac:dyDescent="0.25">
      <c r="B85" s="22"/>
      <c r="C85" s="25"/>
      <c r="D85" s="25"/>
      <c r="E85" s="25"/>
      <c r="F85" s="25"/>
      <c r="G85" s="25"/>
      <c r="H85" s="25"/>
      <c r="L85" s="22" t="s">
        <v>561</v>
      </c>
      <c r="M85" s="24">
        <v>327</v>
      </c>
      <c r="N85" s="24">
        <v>316</v>
      </c>
      <c r="O85" s="24">
        <v>288</v>
      </c>
      <c r="P85" s="24">
        <v>355</v>
      </c>
      <c r="Q85" s="24">
        <v>352</v>
      </c>
    </row>
    <row r="86" spans="2:17" x14ac:dyDescent="0.25">
      <c r="B86" s="22"/>
      <c r="C86" s="25"/>
      <c r="D86" s="25"/>
      <c r="E86" s="25"/>
      <c r="F86" s="25"/>
      <c r="G86" s="25"/>
      <c r="H86" s="25"/>
      <c r="L86" s="18" t="s">
        <v>562</v>
      </c>
      <c r="M86" s="70">
        <f>SUM(M84:M85)</f>
        <v>520</v>
      </c>
      <c r="N86" s="70">
        <f>SUM(N84:N85)</f>
        <v>502</v>
      </c>
      <c r="O86" s="70">
        <f>SUM(O84:O85)</f>
        <v>458</v>
      </c>
      <c r="P86" s="70">
        <f>SUM(P84:P85)</f>
        <v>564</v>
      </c>
      <c r="Q86" s="70">
        <f>SUM(Q84:Q85)</f>
        <v>559</v>
      </c>
    </row>
    <row r="87" spans="2:17" x14ac:dyDescent="0.25">
      <c r="B87" s="22"/>
      <c r="C87" s="25"/>
      <c r="D87" s="25"/>
      <c r="E87" s="25"/>
      <c r="F87" s="25"/>
      <c r="G87" s="25"/>
      <c r="H87" s="25"/>
      <c r="L87" s="18"/>
      <c r="M87" s="70"/>
      <c r="N87" s="70"/>
      <c r="O87" s="70"/>
      <c r="P87" s="70"/>
      <c r="Q87" s="70"/>
    </row>
    <row r="88" spans="2:17" x14ac:dyDescent="0.25">
      <c r="B88" s="22"/>
      <c r="C88" s="25"/>
      <c r="D88" s="25"/>
      <c r="E88" s="25"/>
      <c r="F88" s="25"/>
      <c r="G88" s="25"/>
      <c r="H88" s="25"/>
      <c r="L88" s="18"/>
      <c r="M88" s="70"/>
      <c r="N88" s="70"/>
      <c r="O88" s="70"/>
      <c r="P88" s="70"/>
      <c r="Q88" s="70"/>
    </row>
    <row r="89" spans="2:17" x14ac:dyDescent="0.25">
      <c r="B89" s="22"/>
      <c r="C89" s="25"/>
      <c r="D89" s="25"/>
      <c r="E89" s="25"/>
      <c r="F89" s="25"/>
      <c r="G89" s="25"/>
      <c r="H89" s="25"/>
      <c r="L89" s="18"/>
      <c r="M89" s="70"/>
      <c r="N89" s="70"/>
      <c r="O89" s="70"/>
      <c r="P89" s="70"/>
      <c r="Q89" s="70"/>
    </row>
    <row r="90" spans="2:17" x14ac:dyDescent="0.25">
      <c r="B90" s="22"/>
      <c r="C90" s="25"/>
      <c r="D90" s="25"/>
      <c r="E90" s="25"/>
      <c r="F90" s="25"/>
      <c r="G90" s="25"/>
      <c r="H90" s="25"/>
      <c r="L90" s="18"/>
      <c r="M90" s="70"/>
      <c r="N90" s="70"/>
      <c r="O90" s="70"/>
      <c r="P90" s="70"/>
      <c r="Q90" s="70"/>
    </row>
    <row r="91" spans="2:17" x14ac:dyDescent="0.25">
      <c r="B91" s="22"/>
      <c r="C91" s="25"/>
      <c r="D91" s="25"/>
      <c r="E91" s="25"/>
      <c r="F91" s="25"/>
      <c r="G91" s="25"/>
      <c r="H91" s="25"/>
      <c r="L91" s="18"/>
      <c r="M91" s="70"/>
      <c r="N91" s="70"/>
      <c r="O91" s="70"/>
      <c r="P91" s="70"/>
      <c r="Q91" s="70"/>
    </row>
    <row r="92" spans="2:17" x14ac:dyDescent="0.25">
      <c r="B92" s="22"/>
      <c r="C92" s="25"/>
      <c r="D92" s="25"/>
      <c r="E92" s="25"/>
      <c r="F92" s="25"/>
      <c r="G92" s="25"/>
      <c r="H92" s="25"/>
      <c r="L92" s="18"/>
      <c r="M92" s="70"/>
      <c r="N92" s="70"/>
      <c r="O92" s="70"/>
      <c r="P92" s="70"/>
      <c r="Q92" s="70"/>
    </row>
    <row r="93" spans="2:17" x14ac:dyDescent="0.25">
      <c r="B93" s="22"/>
      <c r="C93" s="25"/>
      <c r="D93" s="25"/>
      <c r="E93" s="25"/>
      <c r="F93" s="25"/>
      <c r="G93" s="25"/>
      <c r="H93" s="25"/>
      <c r="L93" s="18"/>
      <c r="M93" s="70"/>
      <c r="N93" s="70"/>
      <c r="O93" s="70"/>
      <c r="P93" s="70"/>
      <c r="Q93" s="70"/>
    </row>
    <row r="94" spans="2:17" x14ac:dyDescent="0.25">
      <c r="B94" s="22"/>
      <c r="C94" s="25"/>
      <c r="D94" s="25"/>
      <c r="E94" s="25"/>
      <c r="F94" s="25"/>
      <c r="G94" s="25"/>
      <c r="H94" s="25"/>
      <c r="L94" s="18"/>
      <c r="M94" s="70"/>
      <c r="N94" s="70"/>
      <c r="O94" s="70"/>
      <c r="P94" s="70"/>
      <c r="Q94" s="70"/>
    </row>
    <row r="95" spans="2:17" x14ac:dyDescent="0.25">
      <c r="B95" s="178" t="s">
        <v>536</v>
      </c>
      <c r="C95" s="25"/>
      <c r="D95" s="25"/>
      <c r="E95" s="25"/>
      <c r="F95" s="25"/>
      <c r="G95" s="25"/>
      <c r="H95" s="25"/>
    </row>
    <row r="96" spans="2:17" x14ac:dyDescent="0.25">
      <c r="B96" s="178"/>
      <c r="C96" s="25"/>
      <c r="D96" s="25"/>
      <c r="E96" s="25"/>
      <c r="F96" s="25"/>
      <c r="G96" s="25"/>
      <c r="H96" s="25"/>
    </row>
    <row r="97" spans="2:23" x14ac:dyDescent="0.25">
      <c r="B97" s="21" t="s">
        <v>537</v>
      </c>
      <c r="I97" s="177"/>
      <c r="L97" s="21" t="s">
        <v>537</v>
      </c>
    </row>
    <row r="98" spans="2:23" x14ac:dyDescent="0.25">
      <c r="B98" s="22" t="s">
        <v>10</v>
      </c>
      <c r="C98" s="24"/>
      <c r="D98" s="24"/>
      <c r="E98" s="24"/>
      <c r="F98" s="24"/>
      <c r="G98" s="24">
        <v>4196.7</v>
      </c>
      <c r="H98" s="24">
        <v>5284.1</v>
      </c>
      <c r="L98" s="22" t="s">
        <v>10</v>
      </c>
      <c r="M98" s="24"/>
      <c r="N98" s="24"/>
      <c r="O98" s="24"/>
      <c r="P98" s="24"/>
      <c r="Q98" s="24">
        <v>5315.2</v>
      </c>
      <c r="R98" s="24">
        <v>5177.5</v>
      </c>
    </row>
    <row r="99" spans="2:23" x14ac:dyDescent="0.25">
      <c r="B99" s="22" t="s">
        <v>11</v>
      </c>
      <c r="C99" s="24"/>
      <c r="D99" s="24"/>
      <c r="E99" s="24"/>
      <c r="F99" s="24"/>
      <c r="G99" s="24">
        <v>9697</v>
      </c>
      <c r="H99" s="24">
        <v>9266.7000000000007</v>
      </c>
      <c r="L99" s="22" t="s">
        <v>11</v>
      </c>
      <c r="M99" s="24"/>
      <c r="N99" s="24"/>
      <c r="O99" s="24"/>
      <c r="P99" s="24"/>
      <c r="Q99" s="24">
        <v>9358.5</v>
      </c>
      <c r="R99" s="24">
        <v>9077.4000000000015</v>
      </c>
    </row>
    <row r="100" spans="2:23" x14ac:dyDescent="0.25">
      <c r="B100" s="22"/>
      <c r="C100" s="24"/>
      <c r="D100" s="24"/>
      <c r="E100" s="24"/>
      <c r="F100" s="24"/>
      <c r="G100" s="24"/>
      <c r="H100" s="24"/>
    </row>
    <row r="101" spans="2:23" x14ac:dyDescent="0.25">
      <c r="B101" s="21" t="s">
        <v>522</v>
      </c>
      <c r="L101" s="21" t="s">
        <v>522</v>
      </c>
    </row>
    <row r="102" spans="2:23" x14ac:dyDescent="0.25">
      <c r="B102" s="176" t="s">
        <v>528</v>
      </c>
      <c r="G102" s="55">
        <v>0.19700000000000001</v>
      </c>
      <c r="H102" s="55">
        <v>0.20100000000000001</v>
      </c>
      <c r="L102" s="176" t="s">
        <v>540</v>
      </c>
      <c r="P102" s="55"/>
      <c r="Q102" s="55"/>
    </row>
    <row r="104" spans="2:23" x14ac:dyDescent="0.25">
      <c r="B104" s="21" t="s">
        <v>523</v>
      </c>
      <c r="L104" s="21" t="s">
        <v>523</v>
      </c>
    </row>
    <row r="105" spans="2:23" x14ac:dyDescent="0.25">
      <c r="B105" s="176" t="s">
        <v>528</v>
      </c>
      <c r="G105" s="70">
        <f>G99/G102</f>
        <v>49223.350253807104</v>
      </c>
      <c r="H105" s="70">
        <f>H99/H102</f>
        <v>46102.985074626864</v>
      </c>
      <c r="L105" s="176" t="s">
        <v>528</v>
      </c>
      <c r="P105" s="70"/>
      <c r="Q105" s="70"/>
      <c r="R105" s="70"/>
    </row>
    <row r="106" spans="2:23" x14ac:dyDescent="0.25">
      <c r="B106" s="176"/>
      <c r="G106" s="70"/>
      <c r="H106" s="70"/>
    </row>
    <row r="107" spans="2:23" x14ac:dyDescent="0.25">
      <c r="B107" s="21" t="s">
        <v>538</v>
      </c>
      <c r="F107" s="177"/>
      <c r="G107" s="177"/>
      <c r="H107" s="177"/>
      <c r="I107" s="177"/>
      <c r="L107" s="21" t="s">
        <v>538</v>
      </c>
      <c r="P107" s="177"/>
      <c r="Q107" s="177"/>
      <c r="R107" s="177"/>
    </row>
    <row r="108" spans="2:23" x14ac:dyDescent="0.25">
      <c r="B108" s="176" t="s">
        <v>11</v>
      </c>
      <c r="F108" s="177"/>
      <c r="G108" s="25">
        <f>G99</f>
        <v>9697</v>
      </c>
      <c r="H108" s="25">
        <f>H99</f>
        <v>9266.7000000000007</v>
      </c>
      <c r="I108" s="177"/>
      <c r="L108" s="176" t="s">
        <v>11</v>
      </c>
      <c r="P108" s="177"/>
      <c r="Q108" s="25">
        <v>9358.5</v>
      </c>
      <c r="R108" s="25">
        <v>9077.4000000000015</v>
      </c>
      <c r="T108" s="32"/>
      <c r="U108" s="32"/>
      <c r="V108" s="32"/>
      <c r="W108" s="32"/>
    </row>
    <row r="109" spans="2:23" x14ac:dyDescent="0.25">
      <c r="B109" s="22" t="s">
        <v>12</v>
      </c>
      <c r="C109" s="25">
        <f>SUMIF(SBET!$5:$5,C$2,SBET!$94:$94)</f>
        <v>6768.5358759669125</v>
      </c>
      <c r="D109" s="25">
        <f>SUMIF(SBET!$5:$5,D$2,SBET!$94:$94)</f>
        <v>9987.8236754698682</v>
      </c>
      <c r="E109" s="25">
        <f>SUMIF(SBET!$5:$5,E$2,SBET!$94:$94)</f>
        <v>13458.980475778742</v>
      </c>
      <c r="F109" s="25">
        <f>SUMIF(SBET!$5:$5,F$2,SBET!$94:$94)</f>
        <v>19822.381718264776</v>
      </c>
      <c r="G109" s="25">
        <f>SUMIF(SBET!$5:$5,G$2,SBET!$94:$94)</f>
        <v>21875.709599181173</v>
      </c>
      <c r="H109" s="25">
        <f>SUMIF(SBET!$5:$5,H$2,SBET!$94:$94)</f>
        <v>19710.003329869509</v>
      </c>
      <c r="L109" s="22" t="s">
        <v>12</v>
      </c>
      <c r="M109" s="25">
        <f>SUMIF(SBET!$6:$6,M$2,SBET!$94:$94)</f>
        <v>7691.7476880951626</v>
      </c>
      <c r="N109" s="25">
        <f>SUMIF(SBET!$6:$6,N$2,SBET!$94:$94)</f>
        <v>12392.253225402535</v>
      </c>
      <c r="O109" s="25">
        <f>SUMIF(SBET!$6:$6,O$2,SBET!$94:$94)</f>
        <v>17953.672745541175</v>
      </c>
      <c r="P109" s="25">
        <f>SUMIF(SBET!$6:$6,P$2,SBET!$94:$94)</f>
        <v>21485.298481643251</v>
      </c>
      <c r="Q109" s="25">
        <f>SUMIF(SBET!$6:$6,Q$2,SBET!$94:$94)</f>
        <v>20063.341315952675</v>
      </c>
      <c r="R109" s="25">
        <f>SUMIF(SBET!$6:$6,R$2,SBET!$94:$94)</f>
        <v>17210.08131352875</v>
      </c>
      <c r="T109" s="32"/>
      <c r="U109" s="32"/>
      <c r="V109" s="32"/>
      <c r="W109" s="32"/>
    </row>
    <row r="110" spans="2:23" x14ac:dyDescent="0.25">
      <c r="B110" s="22" t="s">
        <v>13</v>
      </c>
      <c r="C110" s="25"/>
      <c r="D110" s="25"/>
      <c r="E110" s="25"/>
      <c r="F110" s="25"/>
      <c r="G110" s="25"/>
      <c r="H110" s="25"/>
      <c r="L110" s="22" t="s">
        <v>13</v>
      </c>
      <c r="M110" s="25"/>
      <c r="N110" s="25"/>
      <c r="O110" s="25"/>
      <c r="P110" s="25"/>
      <c r="Q110" s="25"/>
      <c r="R110" s="25"/>
    </row>
    <row r="111" spans="2:23" x14ac:dyDescent="0.25">
      <c r="B111" s="22" t="s">
        <v>15</v>
      </c>
      <c r="I111" s="25"/>
      <c r="L111" s="22" t="s">
        <v>15</v>
      </c>
    </row>
    <row r="112" spans="2:23" x14ac:dyDescent="0.25">
      <c r="B112" s="22" t="s">
        <v>14</v>
      </c>
      <c r="D112" s="25"/>
      <c r="E112" s="25">
        <f>SUMIF(PBH!$5:$5,E$2,PBH!$12:$12)</f>
        <v>830.5</v>
      </c>
      <c r="F112" s="25">
        <f>SUMIF(PBH!$5:$5,F$2,PBH!$12:$12)</f>
        <v>1989</v>
      </c>
      <c r="G112" s="25">
        <f>SUMIF(PBH!$5:$5,G$2,PBH!$12:$12)</f>
        <v>2536.4</v>
      </c>
      <c r="H112" s="25">
        <f>SUMIF(PBH!$5:$5,H$2,PBH!$12:$12)</f>
        <v>2632.5</v>
      </c>
      <c r="I112" s="25"/>
      <c r="J112" s="25"/>
      <c r="L112" s="22" t="s">
        <v>14</v>
      </c>
      <c r="N112" s="25"/>
      <c r="O112" s="25">
        <f>SUMIF(PBH!$6:$6,O$2,PBH!$12:$12)</f>
        <v>1552.3</v>
      </c>
      <c r="P112" s="25">
        <f>SUMIF(PBH!$6:$6,P$2,PBH!$12:$12)</f>
        <v>2276.4</v>
      </c>
      <c r="Q112" s="25">
        <f>SUMIF(PBH!$6:$6,Q$2,PBH!$12:$12)</f>
        <v>2728.4</v>
      </c>
      <c r="R112" s="25">
        <f>SUMIF(PBH!$6:$6,R$2,PBH!$12:$12)</f>
        <v>2550.6</v>
      </c>
    </row>
    <row r="113" spans="2:18" x14ac:dyDescent="0.25">
      <c r="B113" s="22" t="s">
        <v>16</v>
      </c>
      <c r="C113" s="25"/>
      <c r="D113" s="25"/>
      <c r="E113" s="25"/>
      <c r="F113" s="25">
        <f>SUMIF('BBET + BetR'!$5:$5,F$2,'BBET + BetR'!$12:$12)</f>
        <v>344.7</v>
      </c>
      <c r="G113" s="25">
        <f>SUMIF('BBET + BetR'!$5:$5,G$2,'BBET + BetR'!$12:$12)</f>
        <v>511.9</v>
      </c>
      <c r="H113" s="25">
        <f>SUMIF('BBET + BetR'!$5:$5,H$2,'BBET + BetR'!$12:$12)</f>
        <v>529.80000000000007</v>
      </c>
      <c r="I113" s="25"/>
      <c r="J113" s="25"/>
      <c r="L113" s="22" t="s">
        <v>16</v>
      </c>
      <c r="M113" s="25"/>
      <c r="N113" s="25"/>
      <c r="O113" s="25"/>
      <c r="P113" s="25">
        <f>SUMIF('BBET + BetR'!$6:$6,P$2,'BBET + BetR'!$12:$12)</f>
        <v>444.5</v>
      </c>
      <c r="Q113" s="25">
        <f>SUMIF('BBET + BetR'!$6:$6,Q$2,'BBET + BetR'!$12:$12)</f>
        <v>526.5</v>
      </c>
      <c r="R113" s="25">
        <f>SUMIF('BBET + BetR'!$6:$6,R$2,'BBET + BetR'!$12:$12)</f>
        <v>549.40000000000009</v>
      </c>
    </row>
    <row r="114" spans="2:18" x14ac:dyDescent="0.25">
      <c r="B114" s="22" t="s">
        <v>530</v>
      </c>
      <c r="C114" s="25"/>
      <c r="D114" s="25"/>
      <c r="E114" s="25"/>
      <c r="F114" s="25"/>
      <c r="G114" s="25">
        <f>G115-SUM(G108:G113)</f>
        <v>14602.340654625928</v>
      </c>
      <c r="H114" s="25">
        <f>H115-SUM(H108:H113)</f>
        <v>13963.981744757355</v>
      </c>
      <c r="I114" s="25"/>
      <c r="J114" s="25"/>
      <c r="L114" s="22" t="s">
        <v>530</v>
      </c>
      <c r="M114" s="25"/>
      <c r="N114" s="25"/>
      <c r="O114" s="25"/>
      <c r="P114" s="25"/>
      <c r="Q114" s="25"/>
      <c r="R114" s="25"/>
    </row>
    <row r="115" spans="2:18" x14ac:dyDescent="0.25">
      <c r="B115" s="68" t="s">
        <v>529</v>
      </c>
      <c r="C115" s="166"/>
      <c r="D115" s="166"/>
      <c r="E115" s="166"/>
      <c r="F115" s="166"/>
      <c r="G115" s="166">
        <f>G105</f>
        <v>49223.350253807104</v>
      </c>
      <c r="H115" s="166">
        <f>H105</f>
        <v>46102.985074626864</v>
      </c>
      <c r="I115" s="25"/>
      <c r="J115" s="25"/>
      <c r="L115" s="68" t="s">
        <v>529</v>
      </c>
      <c r="M115" s="166"/>
      <c r="N115" s="166"/>
      <c r="O115" s="166"/>
      <c r="P115" s="166"/>
      <c r="Q115" s="166"/>
      <c r="R115" s="166"/>
    </row>
    <row r="116" spans="2:18" x14ac:dyDescent="0.25">
      <c r="B116" s="22"/>
      <c r="C116" s="25"/>
      <c r="D116" s="25"/>
      <c r="E116" s="25"/>
      <c r="F116" s="25"/>
      <c r="G116" s="25"/>
      <c r="H116" s="25"/>
      <c r="I116" s="25"/>
      <c r="J116" s="25"/>
      <c r="L116" s="22"/>
      <c r="M116" s="25"/>
      <c r="N116" s="25"/>
      <c r="O116" s="25"/>
      <c r="P116" s="25"/>
      <c r="Q116" s="25"/>
      <c r="R116" s="25"/>
    </row>
    <row r="117" spans="2:18" x14ac:dyDescent="0.25">
      <c r="B117" s="21" t="s">
        <v>531</v>
      </c>
      <c r="C117" s="25"/>
      <c r="D117" s="25"/>
      <c r="E117" s="25"/>
      <c r="F117" s="25"/>
      <c r="G117" s="25"/>
      <c r="I117" s="25"/>
      <c r="J117" s="25"/>
      <c r="L117" s="21"/>
      <c r="M117" s="25"/>
      <c r="N117" s="25"/>
      <c r="O117" s="25"/>
      <c r="P117" s="25"/>
      <c r="Q117" s="25"/>
    </row>
    <row r="118" spans="2:18" x14ac:dyDescent="0.25">
      <c r="B118" s="176" t="s">
        <v>11</v>
      </c>
      <c r="C118" s="26"/>
      <c r="D118" s="26"/>
      <c r="E118" s="26"/>
      <c r="F118" s="26"/>
      <c r="G118" s="26">
        <f>G108/G$115</f>
        <v>0.19700000000000001</v>
      </c>
      <c r="H118" s="26">
        <f>H108/H$115</f>
        <v>0.20100000000000001</v>
      </c>
      <c r="I118" s="25"/>
      <c r="J118" s="25"/>
      <c r="L118" s="176"/>
      <c r="M118" s="26"/>
      <c r="N118" s="26"/>
      <c r="O118" s="26"/>
      <c r="P118" s="26"/>
      <c r="Q118" s="26"/>
      <c r="R118" s="26"/>
    </row>
    <row r="119" spans="2:18" x14ac:dyDescent="0.25">
      <c r="B119" s="22" t="s">
        <v>12</v>
      </c>
      <c r="C119" s="26"/>
      <c r="D119" s="26"/>
      <c r="E119" s="26"/>
      <c r="F119" s="26"/>
      <c r="G119" s="26">
        <f>G109/G$115</f>
        <v>0.44441732402172746</v>
      </c>
      <c r="H119" s="26">
        <f>H109/H$115</f>
        <v>0.42752119625149959</v>
      </c>
      <c r="I119" s="25"/>
      <c r="J119" s="25"/>
      <c r="L119" s="22"/>
      <c r="M119" s="26"/>
      <c r="N119" s="26"/>
      <c r="O119" s="26"/>
      <c r="P119" s="26"/>
      <c r="Q119" s="26"/>
      <c r="R119" s="26"/>
    </row>
    <row r="120" spans="2:18" x14ac:dyDescent="0.25">
      <c r="B120" s="22" t="s">
        <v>13</v>
      </c>
      <c r="C120" s="26"/>
      <c r="D120" s="26"/>
      <c r="E120" s="26"/>
      <c r="F120" s="26"/>
      <c r="G120" s="26"/>
      <c r="H120" s="26"/>
      <c r="I120" s="25"/>
      <c r="J120" s="25"/>
      <c r="L120" s="22"/>
      <c r="M120" s="26"/>
      <c r="N120" s="26"/>
      <c r="O120" s="26"/>
      <c r="P120" s="26"/>
      <c r="Q120" s="26"/>
      <c r="R120" s="26"/>
    </row>
    <row r="121" spans="2:18" x14ac:dyDescent="0.25">
      <c r="B121" s="22" t="s">
        <v>15</v>
      </c>
      <c r="C121" s="26"/>
      <c r="D121" s="26"/>
      <c r="E121" s="26"/>
      <c r="F121" s="26"/>
      <c r="G121" s="26"/>
      <c r="H121" s="26"/>
      <c r="I121" s="25"/>
      <c r="J121" s="25"/>
      <c r="L121" s="22"/>
      <c r="M121" s="26"/>
      <c r="N121" s="26"/>
      <c r="O121" s="26"/>
      <c r="P121" s="26"/>
      <c r="Q121" s="26"/>
      <c r="R121" s="26"/>
    </row>
    <row r="122" spans="2:18" x14ac:dyDescent="0.25">
      <c r="B122" s="22" t="s">
        <v>14</v>
      </c>
      <c r="C122" s="26"/>
      <c r="D122" s="26"/>
      <c r="E122" s="26"/>
      <c r="F122" s="26"/>
      <c r="G122" s="26">
        <f t="shared" ref="G122:H124" si="12">G112/G$115</f>
        <v>5.1528390223780557E-2</v>
      </c>
      <c r="H122" s="26">
        <f t="shared" si="12"/>
        <v>5.7100424099193893E-2</v>
      </c>
      <c r="I122" s="25"/>
      <c r="J122" s="25"/>
      <c r="L122" s="22"/>
      <c r="M122" s="26"/>
      <c r="N122" s="26"/>
      <c r="O122" s="26"/>
      <c r="P122" s="26"/>
      <c r="Q122" s="26"/>
      <c r="R122" s="26"/>
    </row>
    <row r="123" spans="2:18" x14ac:dyDescent="0.25">
      <c r="B123" s="22" t="s">
        <v>16</v>
      </c>
      <c r="C123" s="26"/>
      <c r="D123" s="26"/>
      <c r="E123" s="26"/>
      <c r="F123" s="26"/>
      <c r="G123" s="26">
        <f t="shared" si="12"/>
        <v>1.0399535938950192E-2</v>
      </c>
      <c r="H123" s="26">
        <f t="shared" si="12"/>
        <v>1.1491663699051444E-2</v>
      </c>
      <c r="I123" s="25"/>
      <c r="J123" s="25"/>
      <c r="L123" s="22"/>
      <c r="M123" s="26"/>
      <c r="N123" s="26"/>
      <c r="O123" s="26"/>
      <c r="P123" s="26"/>
      <c r="Q123" s="26"/>
      <c r="R123" s="26"/>
    </row>
    <row r="124" spans="2:18" x14ac:dyDescent="0.25">
      <c r="B124" s="22" t="s">
        <v>530</v>
      </c>
      <c r="C124" s="26"/>
      <c r="D124" s="26"/>
      <c r="E124" s="26"/>
      <c r="F124" s="26"/>
      <c r="G124" s="26">
        <f t="shared" si="12"/>
        <v>0.29665474981554174</v>
      </c>
      <c r="H124" s="26">
        <f t="shared" si="12"/>
        <v>0.30288671595025507</v>
      </c>
      <c r="L124" s="22"/>
      <c r="M124" s="26"/>
      <c r="N124" s="26"/>
      <c r="O124" s="26"/>
      <c r="P124" s="26"/>
      <c r="Q124" s="26"/>
      <c r="R124" s="26"/>
    </row>
    <row r="126" spans="2:18" x14ac:dyDescent="0.25">
      <c r="B126" s="178" t="s">
        <v>551</v>
      </c>
    </row>
    <row r="127" spans="2:18" x14ac:dyDescent="0.25">
      <c r="B127" s="73" t="s">
        <v>194</v>
      </c>
      <c r="C127" s="24">
        <v>28088.42</v>
      </c>
      <c r="D127" s="24">
        <v>29923.3</v>
      </c>
      <c r="E127" s="24">
        <v>31533.18</v>
      </c>
      <c r="F127" s="24">
        <v>43302.080000000002</v>
      </c>
      <c r="G127" s="24"/>
      <c r="H127" s="73"/>
      <c r="R127" s="24"/>
    </row>
    <row r="128" spans="2:18" x14ac:dyDescent="0.25">
      <c r="B128" s="73" t="s">
        <v>195</v>
      </c>
      <c r="C128" s="24">
        <v>11230.49</v>
      </c>
      <c r="D128" s="24">
        <v>12359.03</v>
      </c>
      <c r="E128" s="24">
        <v>10160.39</v>
      </c>
      <c r="F128" s="24">
        <v>16602.990000000002</v>
      </c>
      <c r="G128" s="24"/>
      <c r="H128" s="73"/>
    </row>
    <row r="129" spans="2:8" x14ac:dyDescent="0.25">
      <c r="B129" s="72" t="s">
        <v>192</v>
      </c>
      <c r="C129" s="184">
        <v>39318.910000000003</v>
      </c>
      <c r="D129" s="184">
        <v>42282.33</v>
      </c>
      <c r="E129" s="184">
        <v>41693.57</v>
      </c>
      <c r="F129" s="184">
        <v>59905.07</v>
      </c>
      <c r="G129" s="184"/>
      <c r="H129" s="72"/>
    </row>
    <row r="132" spans="2:8" x14ac:dyDescent="0.25">
      <c r="B132" s="178" t="s">
        <v>566</v>
      </c>
      <c r="G132" s="24"/>
    </row>
    <row r="133" spans="2:8" x14ac:dyDescent="0.25">
      <c r="B133" s="73" t="s">
        <v>567</v>
      </c>
      <c r="C133" s="24">
        <v>24800</v>
      </c>
      <c r="D133" s="24">
        <v>27900</v>
      </c>
      <c r="E133" s="24">
        <v>29100</v>
      </c>
      <c r="F133" s="24">
        <v>42400</v>
      </c>
      <c r="G133" s="24">
        <v>50000</v>
      </c>
    </row>
    <row r="137" spans="2:8" x14ac:dyDescent="0.25">
      <c r="B137" t="s">
        <v>177</v>
      </c>
    </row>
    <row r="138" spans="2:8" x14ac:dyDescent="0.25">
      <c r="B138" t="s">
        <v>30</v>
      </c>
    </row>
  </sheetData>
  <phoneticPr fontId="4" type="noConversion"/>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8A09D-DE3D-4FFE-ADAF-8320267A33F0}">
  <dimension ref="C3:K38"/>
  <sheetViews>
    <sheetView showGridLines="0" topLeftCell="A13" workbookViewId="0">
      <selection activeCell="G37" sqref="G37"/>
    </sheetView>
  </sheetViews>
  <sheetFormatPr defaultRowHeight="15" x14ac:dyDescent="0.25"/>
  <cols>
    <col min="3" max="3" width="10.5703125" bestFit="1" customWidth="1"/>
  </cols>
  <sheetData>
    <row r="3" spans="3:11" x14ac:dyDescent="0.25">
      <c r="C3" s="63"/>
      <c r="D3" s="63" t="s">
        <v>512</v>
      </c>
      <c r="E3" s="63" t="s">
        <v>513</v>
      </c>
      <c r="F3" s="63" t="s">
        <v>514</v>
      </c>
      <c r="G3" s="63" t="s">
        <v>515</v>
      </c>
      <c r="H3" s="63" t="s">
        <v>516</v>
      </c>
      <c r="I3" s="63" t="s">
        <v>517</v>
      </c>
      <c r="J3" s="63" t="s">
        <v>518</v>
      </c>
      <c r="K3" s="63" t="s">
        <v>519</v>
      </c>
    </row>
    <row r="4" spans="3:11" x14ac:dyDescent="0.25">
      <c r="C4" s="176" t="s">
        <v>608</v>
      </c>
      <c r="D4" s="26"/>
      <c r="E4" s="26"/>
      <c r="F4" s="26"/>
      <c r="G4" s="26"/>
      <c r="H4" s="26">
        <v>0.25632061097940462</v>
      </c>
      <c r="I4" s="26">
        <v>0.2340896799284127</v>
      </c>
      <c r="J4" s="26">
        <v>0.22810944056708959</v>
      </c>
      <c r="K4" s="26">
        <v>0.21703483330475959</v>
      </c>
    </row>
    <row r="5" spans="3:11" x14ac:dyDescent="0.25">
      <c r="C5" s="22" t="s">
        <v>12</v>
      </c>
      <c r="D5" s="26"/>
      <c r="E5" s="26"/>
      <c r="F5" s="26">
        <v>0.46</v>
      </c>
      <c r="G5" s="26">
        <v>0.5</v>
      </c>
      <c r="H5" s="26">
        <v>0.47999999999999993</v>
      </c>
      <c r="I5" s="26">
        <v>0.45921249571466716</v>
      </c>
      <c r="J5" s="26">
        <v>0.43789204593684744</v>
      </c>
      <c r="K5" s="26">
        <v>0.4188591454668521</v>
      </c>
    </row>
    <row r="6" spans="3:11" x14ac:dyDescent="0.25">
      <c r="C6" s="22" t="s">
        <v>13</v>
      </c>
      <c r="D6" s="26"/>
      <c r="E6" s="26"/>
      <c r="F6" s="26">
        <v>0.19900488434613645</v>
      </c>
      <c r="G6" s="26">
        <v>0.17669028031624048</v>
      </c>
      <c r="H6" s="26">
        <v>0.19564740595186506</v>
      </c>
      <c r="I6" s="26">
        <v>0.17616272216045262</v>
      </c>
      <c r="J6" s="26">
        <v>0.17582356317410125</v>
      </c>
      <c r="K6" s="26">
        <v>0.16387344339679613</v>
      </c>
    </row>
    <row r="7" spans="3:11" x14ac:dyDescent="0.25">
      <c r="C7" s="22" t="s">
        <v>15</v>
      </c>
      <c r="D7" s="26"/>
      <c r="E7" s="26"/>
      <c r="F7" s="26">
        <v>5.2961738280352028E-2</v>
      </c>
      <c r="G7" s="26">
        <v>4.2067375300032996E-2</v>
      </c>
      <c r="H7" s="26">
        <v>4.3030650960467424E-2</v>
      </c>
      <c r="I7" s="26">
        <v>5.4757012583505633E-2</v>
      </c>
      <c r="J7" s="26">
        <v>6.060930382672592E-2</v>
      </c>
      <c r="K7" s="26">
        <v>5.8563650342602233E-2</v>
      </c>
    </row>
    <row r="8" spans="3:11" x14ac:dyDescent="0.25">
      <c r="C8" s="22" t="s">
        <v>14</v>
      </c>
      <c r="D8" s="26"/>
      <c r="E8" s="26"/>
      <c r="F8" s="26">
        <v>3.6955033042232598E-2</v>
      </c>
      <c r="G8" s="26">
        <v>3.9710557887163253E-2</v>
      </c>
      <c r="H8" s="26">
        <v>4.5470720563235492E-2</v>
      </c>
      <c r="I8" s="26">
        <v>4.5861269073625234E-2</v>
      </c>
      <c r="J8" s="26">
        <v>4.9291852964379261E-2</v>
      </c>
      <c r="K8" s="26">
        <v>4.902907709384173E-2</v>
      </c>
    </row>
    <row r="9" spans="3:11" x14ac:dyDescent="0.25">
      <c r="C9" s="22" t="s">
        <v>16</v>
      </c>
      <c r="D9" s="26"/>
      <c r="E9" s="26"/>
      <c r="F9" s="26"/>
      <c r="G9" s="26">
        <v>9.9066508048314249E-3</v>
      </c>
      <c r="H9" s="26">
        <v>1.1373024607259655E-2</v>
      </c>
      <c r="I9" s="26">
        <v>1.208421362598725E-2</v>
      </c>
      <c r="J9" s="26">
        <v>6.8760063799050072E-3</v>
      </c>
      <c r="K9" s="26">
        <v>0</v>
      </c>
    </row>
    <row r="10" spans="3:11" x14ac:dyDescent="0.25">
      <c r="C10" s="22" t="s">
        <v>596</v>
      </c>
      <c r="D10" s="26"/>
      <c r="E10" s="26"/>
      <c r="F10" s="26"/>
      <c r="G10" s="26">
        <v>0</v>
      </c>
      <c r="H10" s="26">
        <v>0</v>
      </c>
      <c r="I10" s="26">
        <v>1.7832606913349241E-2</v>
      </c>
      <c r="J10" s="26">
        <v>2.4438817856288878E-2</v>
      </c>
      <c r="K10" s="26">
        <v>3.1624371185005211E-2</v>
      </c>
    </row>
    <row r="11" spans="3:11" x14ac:dyDescent="0.25">
      <c r="C11" s="22" t="s">
        <v>609</v>
      </c>
      <c r="D11" s="26"/>
      <c r="E11" s="26"/>
      <c r="F11" s="26"/>
      <c r="G11" s="26">
        <v>0</v>
      </c>
      <c r="H11" s="26">
        <v>0</v>
      </c>
      <c r="I11" s="26">
        <v>0</v>
      </c>
      <c r="J11" s="26">
        <v>1.6958969294662903E-2</v>
      </c>
      <c r="K11" s="26">
        <v>3.0192505345615513E-2</v>
      </c>
    </row>
    <row r="12" spans="3:11" x14ac:dyDescent="0.25">
      <c r="C12" s="22" t="s">
        <v>297</v>
      </c>
      <c r="D12" s="26"/>
      <c r="E12" s="26"/>
      <c r="F12" s="26"/>
      <c r="G12" s="26"/>
      <c r="H12" s="26"/>
      <c r="I12" s="26"/>
      <c r="J12" s="26"/>
      <c r="K12" s="26">
        <v>3.0822973864527491E-2</v>
      </c>
    </row>
    <row r="16" spans="3:11" x14ac:dyDescent="0.25">
      <c r="C16" s="63"/>
      <c r="D16" s="63"/>
      <c r="E16" s="63"/>
      <c r="F16" s="63"/>
      <c r="G16" s="63"/>
      <c r="H16" s="63"/>
      <c r="I16" s="63"/>
      <c r="J16" s="63"/>
      <c r="K16" s="63"/>
    </row>
    <row r="17" spans="3:10" x14ac:dyDescent="0.25">
      <c r="C17" s="22" t="s">
        <v>297</v>
      </c>
      <c r="D17" s="26">
        <v>3.0192505345615513E-2</v>
      </c>
      <c r="E17" s="26"/>
      <c r="F17" s="26"/>
      <c r="G17" s="26"/>
      <c r="H17" s="26"/>
      <c r="I17" s="26"/>
      <c r="J17" s="26"/>
    </row>
    <row r="18" spans="3:10" x14ac:dyDescent="0.25">
      <c r="C18" s="22" t="s">
        <v>609</v>
      </c>
      <c r="D18" s="26">
        <v>3.0192505345615513E-2</v>
      </c>
      <c r="E18" s="26"/>
      <c r="F18" s="26"/>
      <c r="G18" s="26"/>
      <c r="H18" s="26"/>
      <c r="I18" s="26"/>
      <c r="J18" s="26"/>
    </row>
    <row r="19" spans="3:10" x14ac:dyDescent="0.25">
      <c r="C19" s="22" t="s">
        <v>1406</v>
      </c>
      <c r="D19" s="26">
        <v>3.1624371185005211E-2</v>
      </c>
      <c r="E19" s="26"/>
      <c r="F19" s="26"/>
      <c r="G19" s="26"/>
      <c r="H19" s="26"/>
      <c r="I19" s="26"/>
      <c r="J19" s="26"/>
    </row>
    <row r="20" spans="3:10" x14ac:dyDescent="0.25">
      <c r="C20" s="22" t="s">
        <v>14</v>
      </c>
      <c r="D20" s="26">
        <v>4.902907709384173E-2</v>
      </c>
      <c r="E20" s="26"/>
      <c r="F20" s="26"/>
      <c r="G20" s="26"/>
      <c r="H20" s="26"/>
      <c r="I20" s="26"/>
      <c r="J20" s="26"/>
    </row>
    <row r="21" spans="3:10" x14ac:dyDescent="0.25">
      <c r="C21" s="22" t="s">
        <v>1407</v>
      </c>
      <c r="D21" s="26">
        <v>5.8563650342602233E-2</v>
      </c>
      <c r="E21" s="26"/>
      <c r="F21" s="26"/>
      <c r="G21" s="26"/>
      <c r="H21" s="26"/>
      <c r="I21" s="26"/>
      <c r="J21" s="26"/>
    </row>
    <row r="22" spans="3:10" x14ac:dyDescent="0.25">
      <c r="C22" s="22" t="s">
        <v>711</v>
      </c>
      <c r="D22" s="26">
        <v>0.16387344339679613</v>
      </c>
      <c r="E22" s="26"/>
      <c r="F22" s="26"/>
      <c r="G22" s="26"/>
      <c r="H22" s="26"/>
      <c r="I22" s="26"/>
      <c r="J22" s="26"/>
    </row>
    <row r="23" spans="3:10" x14ac:dyDescent="0.25">
      <c r="C23" s="176" t="s">
        <v>608</v>
      </c>
      <c r="D23" s="26">
        <v>0.21703483330475959</v>
      </c>
      <c r="E23" s="26"/>
      <c r="F23" s="26"/>
      <c r="G23" s="26"/>
      <c r="H23" s="26"/>
      <c r="I23" s="26"/>
      <c r="J23" s="26"/>
    </row>
    <row r="24" spans="3:10" x14ac:dyDescent="0.25">
      <c r="C24" s="22" t="s">
        <v>1212</v>
      </c>
      <c r="D24" s="26">
        <v>0.4188591454668521</v>
      </c>
    </row>
    <row r="38" spans="8:8" x14ac:dyDescent="0.25">
      <c r="H38" s="652" t="s">
        <v>1323</v>
      </c>
    </row>
  </sheetData>
  <sortState xmlns:xlrd2="http://schemas.microsoft.com/office/spreadsheetml/2017/richdata2" ref="C18:D24">
    <sortCondition ref="D18:D24"/>
  </sortState>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45CE-6E72-47A8-B8F8-F0CB83E033CE}">
  <sheetPr>
    <tabColor theme="3" tint="0.79998168889431442"/>
  </sheetPr>
  <dimension ref="B1:AN85"/>
  <sheetViews>
    <sheetView zoomScaleNormal="100" workbookViewId="0">
      <pane xSplit="3" ySplit="13" topLeftCell="M53" activePane="bottomRight" state="frozen"/>
      <selection pane="topRight" activeCell="D1" sqref="D1"/>
      <selection pane="bottomLeft" activeCell="A14" sqref="A14"/>
      <selection pane="bottomRight" activeCell="AH68" sqref="AH68"/>
    </sheetView>
  </sheetViews>
  <sheetFormatPr defaultRowHeight="11.25" x14ac:dyDescent="0.2"/>
  <cols>
    <col min="1" max="1" width="9.140625" style="12"/>
    <col min="2" max="2" width="22.28515625" style="12" bestFit="1" customWidth="1"/>
    <col min="3" max="40" width="7.7109375" style="12" customWidth="1"/>
    <col min="41" max="16384" width="9.140625" style="12"/>
  </cols>
  <sheetData>
    <row r="1" spans="2:40" ht="11.1" customHeight="1" x14ac:dyDescent="0.2"/>
    <row r="2" spans="2:40" x14ac:dyDescent="0.2">
      <c r="C2" s="15"/>
      <c r="D2" s="15"/>
      <c r="AN2" s="12" t="s">
        <v>0</v>
      </c>
    </row>
    <row r="3" spans="2:40" x14ac:dyDescent="0.2">
      <c r="C3" s="15"/>
      <c r="D3" s="15" t="str">
        <f>IF(MONTH(D13)&gt;6,RIGHT(YEAR(D13),2)+1,RIGHT(YEAR(D13),2))</f>
        <v>17</v>
      </c>
      <c r="E3" s="15">
        <f t="shared" ref="E3:AN3" si="0">IF(MONTH(E13)&gt;6,RIGHT(YEAR(E13),2)+1,RIGHT(YEAR(E13),2))</f>
        <v>18</v>
      </c>
      <c r="F3" s="15">
        <f t="shared" si="0"/>
        <v>18</v>
      </c>
      <c r="G3" s="15" t="str">
        <f t="shared" si="0"/>
        <v>18</v>
      </c>
      <c r="H3" s="15" t="str">
        <f t="shared" si="0"/>
        <v>18</v>
      </c>
      <c r="I3" s="15">
        <f t="shared" si="0"/>
        <v>19</v>
      </c>
      <c r="J3" s="15">
        <f t="shared" si="0"/>
        <v>19</v>
      </c>
      <c r="K3" s="15" t="str">
        <f t="shared" si="0"/>
        <v>19</v>
      </c>
      <c r="L3" s="15" t="str">
        <f t="shared" si="0"/>
        <v>19</v>
      </c>
      <c r="M3" s="15">
        <f t="shared" si="0"/>
        <v>20</v>
      </c>
      <c r="N3" s="15">
        <f t="shared" si="0"/>
        <v>20</v>
      </c>
      <c r="O3" s="15" t="str">
        <f t="shared" si="0"/>
        <v>20</v>
      </c>
      <c r="P3" s="15" t="str">
        <f t="shared" si="0"/>
        <v>20</v>
      </c>
      <c r="Q3" s="15">
        <f t="shared" si="0"/>
        <v>21</v>
      </c>
      <c r="R3" s="15">
        <f t="shared" si="0"/>
        <v>21</v>
      </c>
      <c r="S3" s="15" t="str">
        <f t="shared" si="0"/>
        <v>21</v>
      </c>
      <c r="T3" s="15" t="str">
        <f t="shared" si="0"/>
        <v>21</v>
      </c>
      <c r="U3" s="15">
        <f t="shared" si="0"/>
        <v>22</v>
      </c>
      <c r="V3" s="15">
        <f t="shared" si="0"/>
        <v>22</v>
      </c>
      <c r="W3" s="15" t="str">
        <f t="shared" si="0"/>
        <v>22</v>
      </c>
      <c r="X3" s="15" t="str">
        <f t="shared" si="0"/>
        <v>22</v>
      </c>
      <c r="Y3" s="15">
        <f t="shared" si="0"/>
        <v>23</v>
      </c>
      <c r="Z3" s="15">
        <f t="shared" si="0"/>
        <v>23</v>
      </c>
      <c r="AA3" s="15" t="str">
        <f t="shared" si="0"/>
        <v>23</v>
      </c>
      <c r="AB3" s="15" t="str">
        <f t="shared" si="0"/>
        <v>23</v>
      </c>
      <c r="AC3" s="15">
        <f t="shared" si="0"/>
        <v>24</v>
      </c>
      <c r="AD3" s="15">
        <f t="shared" si="0"/>
        <v>24</v>
      </c>
      <c r="AE3" s="15" t="str">
        <f t="shared" si="0"/>
        <v>24</v>
      </c>
      <c r="AF3" s="15" t="str">
        <f t="shared" si="0"/>
        <v>24</v>
      </c>
      <c r="AG3" s="15">
        <f t="shared" si="0"/>
        <v>25</v>
      </c>
      <c r="AH3" s="15">
        <f t="shared" si="0"/>
        <v>25</v>
      </c>
      <c r="AI3" s="15" t="str">
        <f t="shared" si="0"/>
        <v>25</v>
      </c>
      <c r="AJ3" s="15" t="str">
        <f t="shared" si="0"/>
        <v>25</v>
      </c>
      <c r="AK3" s="15">
        <f t="shared" si="0"/>
        <v>26</v>
      </c>
      <c r="AL3" s="15">
        <f t="shared" si="0"/>
        <v>26</v>
      </c>
      <c r="AM3" s="15" t="str">
        <f t="shared" si="0"/>
        <v>26</v>
      </c>
      <c r="AN3" s="15" t="str">
        <f t="shared" si="0"/>
        <v>26</v>
      </c>
    </row>
    <row r="4" spans="2:40" x14ac:dyDescent="0.2">
      <c r="C4" s="15"/>
      <c r="D4" s="15" t="str">
        <f>RIGHT(YEAR(D$13),2)</f>
        <v>17</v>
      </c>
      <c r="E4" s="15" t="str">
        <f t="shared" ref="E4:AN4" si="1">RIGHT(YEAR(E$13),2)</f>
        <v>17</v>
      </c>
      <c r="F4" s="15" t="str">
        <f t="shared" si="1"/>
        <v>17</v>
      </c>
      <c r="G4" s="15" t="str">
        <f t="shared" si="1"/>
        <v>18</v>
      </c>
      <c r="H4" s="15" t="str">
        <f t="shared" si="1"/>
        <v>18</v>
      </c>
      <c r="I4" s="15" t="str">
        <f t="shared" si="1"/>
        <v>18</v>
      </c>
      <c r="J4" s="15" t="str">
        <f t="shared" si="1"/>
        <v>18</v>
      </c>
      <c r="K4" s="15" t="str">
        <f t="shared" si="1"/>
        <v>19</v>
      </c>
      <c r="L4" s="15" t="str">
        <f t="shared" si="1"/>
        <v>19</v>
      </c>
      <c r="M4" s="15" t="str">
        <f t="shared" si="1"/>
        <v>19</v>
      </c>
      <c r="N4" s="15" t="str">
        <f t="shared" si="1"/>
        <v>19</v>
      </c>
      <c r="O4" s="15" t="str">
        <f t="shared" si="1"/>
        <v>20</v>
      </c>
      <c r="P4" s="15" t="str">
        <f t="shared" si="1"/>
        <v>20</v>
      </c>
      <c r="Q4" s="15" t="str">
        <f t="shared" si="1"/>
        <v>20</v>
      </c>
      <c r="R4" s="15" t="str">
        <f t="shared" si="1"/>
        <v>20</v>
      </c>
      <c r="S4" s="15" t="str">
        <f t="shared" si="1"/>
        <v>21</v>
      </c>
      <c r="T4" s="15" t="str">
        <f t="shared" si="1"/>
        <v>21</v>
      </c>
      <c r="U4" s="15" t="str">
        <f t="shared" si="1"/>
        <v>21</v>
      </c>
      <c r="V4" s="15" t="str">
        <f t="shared" si="1"/>
        <v>21</v>
      </c>
      <c r="W4" s="15" t="str">
        <f t="shared" si="1"/>
        <v>22</v>
      </c>
      <c r="X4" s="15" t="str">
        <f t="shared" si="1"/>
        <v>22</v>
      </c>
      <c r="Y4" s="15" t="str">
        <f t="shared" si="1"/>
        <v>22</v>
      </c>
      <c r="Z4" s="15" t="str">
        <f t="shared" si="1"/>
        <v>22</v>
      </c>
      <c r="AA4" s="15" t="str">
        <f t="shared" si="1"/>
        <v>23</v>
      </c>
      <c r="AB4" s="15" t="str">
        <f t="shared" si="1"/>
        <v>23</v>
      </c>
      <c r="AC4" s="15" t="str">
        <f t="shared" si="1"/>
        <v>23</v>
      </c>
      <c r="AD4" s="15" t="str">
        <f t="shared" si="1"/>
        <v>23</v>
      </c>
      <c r="AE4" s="15" t="str">
        <f t="shared" si="1"/>
        <v>24</v>
      </c>
      <c r="AF4" s="15" t="str">
        <f t="shared" si="1"/>
        <v>24</v>
      </c>
      <c r="AG4" s="15" t="str">
        <f t="shared" si="1"/>
        <v>24</v>
      </c>
      <c r="AH4" s="15" t="str">
        <f t="shared" si="1"/>
        <v>24</v>
      </c>
      <c r="AI4" s="15" t="str">
        <f t="shared" si="1"/>
        <v>25</v>
      </c>
      <c r="AJ4" s="15" t="str">
        <f t="shared" si="1"/>
        <v>25</v>
      </c>
      <c r="AK4" s="15" t="str">
        <f t="shared" si="1"/>
        <v>25</v>
      </c>
      <c r="AL4" s="15" t="str">
        <f t="shared" si="1"/>
        <v>25</v>
      </c>
      <c r="AM4" s="15" t="str">
        <f t="shared" si="1"/>
        <v>26</v>
      </c>
      <c r="AN4" s="15" t="str">
        <f t="shared" si="1"/>
        <v>26</v>
      </c>
    </row>
    <row r="5" spans="2:40" x14ac:dyDescent="0.2">
      <c r="C5" s="15"/>
      <c r="D5" s="15" t="str">
        <f>"FY"&amp;TEXT(D$3,"00")</f>
        <v>FY17</v>
      </c>
      <c r="E5" s="15" t="str">
        <f t="shared" ref="E5:AN5" si="2">"FY"&amp;TEXT(E$3,"00")</f>
        <v>FY18</v>
      </c>
      <c r="F5" s="15" t="str">
        <f t="shared" si="2"/>
        <v>FY18</v>
      </c>
      <c r="G5" s="15" t="str">
        <f t="shared" si="2"/>
        <v>FY18</v>
      </c>
      <c r="H5" s="15" t="str">
        <f t="shared" si="2"/>
        <v>FY18</v>
      </c>
      <c r="I5" s="15" t="str">
        <f t="shared" si="2"/>
        <v>FY19</v>
      </c>
      <c r="J5" s="15" t="str">
        <f t="shared" si="2"/>
        <v>FY19</v>
      </c>
      <c r="K5" s="15" t="str">
        <f t="shared" si="2"/>
        <v>FY19</v>
      </c>
      <c r="L5" s="15" t="str">
        <f t="shared" si="2"/>
        <v>FY19</v>
      </c>
      <c r="M5" s="15" t="str">
        <f t="shared" si="2"/>
        <v>FY20</v>
      </c>
      <c r="N5" s="15" t="str">
        <f t="shared" si="2"/>
        <v>FY20</v>
      </c>
      <c r="O5" s="15" t="str">
        <f t="shared" si="2"/>
        <v>FY20</v>
      </c>
      <c r="P5" s="15" t="str">
        <f t="shared" si="2"/>
        <v>FY20</v>
      </c>
      <c r="Q5" s="15" t="str">
        <f t="shared" si="2"/>
        <v>FY21</v>
      </c>
      <c r="R5" s="15" t="str">
        <f t="shared" si="2"/>
        <v>FY21</v>
      </c>
      <c r="S5" s="15" t="str">
        <f t="shared" si="2"/>
        <v>FY21</v>
      </c>
      <c r="T5" s="15" t="str">
        <f t="shared" si="2"/>
        <v>FY21</v>
      </c>
      <c r="U5" s="15" t="str">
        <f t="shared" si="2"/>
        <v>FY22</v>
      </c>
      <c r="V5" s="15" t="str">
        <f t="shared" si="2"/>
        <v>FY22</v>
      </c>
      <c r="W5" s="15" t="str">
        <f t="shared" si="2"/>
        <v>FY22</v>
      </c>
      <c r="X5" s="15" t="str">
        <f t="shared" si="2"/>
        <v>FY22</v>
      </c>
      <c r="Y5" s="15" t="str">
        <f t="shared" si="2"/>
        <v>FY23</v>
      </c>
      <c r="Z5" s="15" t="str">
        <f t="shared" si="2"/>
        <v>FY23</v>
      </c>
      <c r="AA5" s="15" t="str">
        <f t="shared" si="2"/>
        <v>FY23</v>
      </c>
      <c r="AB5" s="15" t="str">
        <f t="shared" si="2"/>
        <v>FY23</v>
      </c>
      <c r="AC5" s="15" t="str">
        <f t="shared" si="2"/>
        <v>FY24</v>
      </c>
      <c r="AD5" s="15" t="str">
        <f t="shared" si="2"/>
        <v>FY24</v>
      </c>
      <c r="AE5" s="15" t="str">
        <f t="shared" si="2"/>
        <v>FY24</v>
      </c>
      <c r="AF5" s="15" t="str">
        <f t="shared" si="2"/>
        <v>FY24</v>
      </c>
      <c r="AG5" s="15" t="str">
        <f t="shared" si="2"/>
        <v>FY25</v>
      </c>
      <c r="AH5" s="15" t="str">
        <f t="shared" si="2"/>
        <v>FY25</v>
      </c>
      <c r="AI5" s="15" t="str">
        <f t="shared" si="2"/>
        <v>FY25</v>
      </c>
      <c r="AJ5" s="15" t="str">
        <f t="shared" si="2"/>
        <v>FY25</v>
      </c>
      <c r="AK5" s="15" t="str">
        <f t="shared" si="2"/>
        <v>FY26</v>
      </c>
      <c r="AL5" s="15" t="str">
        <f t="shared" si="2"/>
        <v>FY26</v>
      </c>
      <c r="AM5" s="15" t="str">
        <f t="shared" si="2"/>
        <v>FY26</v>
      </c>
      <c r="AN5" s="15" t="str">
        <f t="shared" si="2"/>
        <v>FY26</v>
      </c>
    </row>
    <row r="6" spans="2:40" x14ac:dyDescent="0.2">
      <c r="C6" s="15"/>
      <c r="D6" s="15" t="str">
        <f>"CY"&amp;TEXT(D$4,"00")</f>
        <v>CY17</v>
      </c>
      <c r="E6" s="15" t="str">
        <f t="shared" ref="E6:AN6" si="3">"CY"&amp;TEXT(E$4,"00")</f>
        <v>CY17</v>
      </c>
      <c r="F6" s="15" t="str">
        <f t="shared" si="3"/>
        <v>CY17</v>
      </c>
      <c r="G6" s="15" t="str">
        <f t="shared" si="3"/>
        <v>CY18</v>
      </c>
      <c r="H6" s="15" t="str">
        <f t="shared" si="3"/>
        <v>CY18</v>
      </c>
      <c r="I6" s="15" t="str">
        <f t="shared" si="3"/>
        <v>CY18</v>
      </c>
      <c r="J6" s="15" t="str">
        <f t="shared" si="3"/>
        <v>CY18</v>
      </c>
      <c r="K6" s="15" t="str">
        <f t="shared" si="3"/>
        <v>CY19</v>
      </c>
      <c r="L6" s="15" t="str">
        <f t="shared" si="3"/>
        <v>CY19</v>
      </c>
      <c r="M6" s="15" t="str">
        <f t="shared" si="3"/>
        <v>CY19</v>
      </c>
      <c r="N6" s="15" t="str">
        <f t="shared" si="3"/>
        <v>CY19</v>
      </c>
      <c r="O6" s="15" t="str">
        <f t="shared" si="3"/>
        <v>CY20</v>
      </c>
      <c r="P6" s="15" t="str">
        <f t="shared" si="3"/>
        <v>CY20</v>
      </c>
      <c r="Q6" s="15" t="str">
        <f t="shared" si="3"/>
        <v>CY20</v>
      </c>
      <c r="R6" s="15" t="str">
        <f t="shared" si="3"/>
        <v>CY20</v>
      </c>
      <c r="S6" s="15" t="str">
        <f t="shared" si="3"/>
        <v>CY21</v>
      </c>
      <c r="T6" s="15" t="str">
        <f t="shared" si="3"/>
        <v>CY21</v>
      </c>
      <c r="U6" s="15" t="str">
        <f t="shared" si="3"/>
        <v>CY21</v>
      </c>
      <c r="V6" s="15" t="str">
        <f t="shared" si="3"/>
        <v>CY21</v>
      </c>
      <c r="W6" s="15" t="str">
        <f t="shared" si="3"/>
        <v>CY22</v>
      </c>
      <c r="X6" s="15" t="str">
        <f t="shared" si="3"/>
        <v>CY22</v>
      </c>
      <c r="Y6" s="15" t="str">
        <f t="shared" si="3"/>
        <v>CY22</v>
      </c>
      <c r="Z6" s="15" t="str">
        <f t="shared" si="3"/>
        <v>CY22</v>
      </c>
      <c r="AA6" s="15" t="str">
        <f t="shared" si="3"/>
        <v>CY23</v>
      </c>
      <c r="AB6" s="15" t="str">
        <f t="shared" si="3"/>
        <v>CY23</v>
      </c>
      <c r="AC6" s="15" t="str">
        <f t="shared" si="3"/>
        <v>CY23</v>
      </c>
      <c r="AD6" s="15" t="str">
        <f t="shared" si="3"/>
        <v>CY23</v>
      </c>
      <c r="AE6" s="15" t="str">
        <f t="shared" si="3"/>
        <v>CY24</v>
      </c>
      <c r="AF6" s="15" t="str">
        <f t="shared" si="3"/>
        <v>CY24</v>
      </c>
      <c r="AG6" s="15" t="str">
        <f t="shared" si="3"/>
        <v>CY24</v>
      </c>
      <c r="AH6" s="15" t="str">
        <f t="shared" si="3"/>
        <v>CY24</v>
      </c>
      <c r="AI6" s="15" t="str">
        <f t="shared" si="3"/>
        <v>CY25</v>
      </c>
      <c r="AJ6" s="15" t="str">
        <f t="shared" si="3"/>
        <v>CY25</v>
      </c>
      <c r="AK6" s="15" t="str">
        <f t="shared" si="3"/>
        <v>CY25</v>
      </c>
      <c r="AL6" s="15" t="str">
        <f t="shared" si="3"/>
        <v>CY25</v>
      </c>
      <c r="AM6" s="15" t="str">
        <f t="shared" si="3"/>
        <v>CY26</v>
      </c>
      <c r="AN6" s="15" t="str">
        <f t="shared" si="3"/>
        <v>CY26</v>
      </c>
    </row>
    <row r="7" spans="2:40" x14ac:dyDescent="0.2">
      <c r="C7" s="175"/>
      <c r="D7" s="175">
        <f>D13-EOMONTH(D13,-3)</f>
        <v>91</v>
      </c>
      <c r="E7" s="175">
        <f t="shared" ref="E7:AN7" si="4">E13-EOMONTH(E13,-3)</f>
        <v>92</v>
      </c>
      <c r="F7" s="175">
        <f t="shared" si="4"/>
        <v>92</v>
      </c>
      <c r="G7" s="175">
        <f t="shared" si="4"/>
        <v>90</v>
      </c>
      <c r="H7" s="175">
        <f t="shared" si="4"/>
        <v>91</v>
      </c>
      <c r="I7" s="175">
        <f t="shared" si="4"/>
        <v>92</v>
      </c>
      <c r="J7" s="175">
        <f t="shared" si="4"/>
        <v>92</v>
      </c>
      <c r="K7" s="175">
        <f t="shared" si="4"/>
        <v>90</v>
      </c>
      <c r="L7" s="175">
        <f t="shared" si="4"/>
        <v>91</v>
      </c>
      <c r="M7" s="175">
        <f t="shared" si="4"/>
        <v>92</v>
      </c>
      <c r="N7" s="175">
        <f t="shared" si="4"/>
        <v>92</v>
      </c>
      <c r="O7" s="175">
        <f t="shared" si="4"/>
        <v>91</v>
      </c>
      <c r="P7" s="175">
        <f t="shared" si="4"/>
        <v>91</v>
      </c>
      <c r="Q7" s="175">
        <f t="shared" si="4"/>
        <v>92</v>
      </c>
      <c r="R7" s="175">
        <f t="shared" si="4"/>
        <v>92</v>
      </c>
      <c r="S7" s="175">
        <f t="shared" si="4"/>
        <v>90</v>
      </c>
      <c r="T7" s="175">
        <f t="shared" si="4"/>
        <v>91</v>
      </c>
      <c r="U7" s="175">
        <f t="shared" si="4"/>
        <v>92</v>
      </c>
      <c r="V7" s="175">
        <f t="shared" si="4"/>
        <v>92</v>
      </c>
      <c r="W7" s="175">
        <f t="shared" si="4"/>
        <v>90</v>
      </c>
      <c r="X7" s="175">
        <f t="shared" si="4"/>
        <v>91</v>
      </c>
      <c r="Y7" s="175">
        <f t="shared" si="4"/>
        <v>92</v>
      </c>
      <c r="Z7" s="175">
        <f t="shared" si="4"/>
        <v>92</v>
      </c>
      <c r="AA7" s="175">
        <f t="shared" si="4"/>
        <v>90</v>
      </c>
      <c r="AB7" s="175">
        <f t="shared" si="4"/>
        <v>91</v>
      </c>
      <c r="AC7" s="175">
        <f t="shared" si="4"/>
        <v>92</v>
      </c>
      <c r="AD7" s="175">
        <f t="shared" si="4"/>
        <v>92</v>
      </c>
      <c r="AE7" s="175">
        <f t="shared" si="4"/>
        <v>91</v>
      </c>
      <c r="AF7" s="175">
        <f t="shared" si="4"/>
        <v>91</v>
      </c>
      <c r="AG7" s="175">
        <f t="shared" si="4"/>
        <v>92</v>
      </c>
      <c r="AH7" s="175">
        <f t="shared" si="4"/>
        <v>92</v>
      </c>
      <c r="AI7" s="175">
        <f t="shared" si="4"/>
        <v>90</v>
      </c>
      <c r="AJ7" s="175">
        <f t="shared" si="4"/>
        <v>91</v>
      </c>
      <c r="AK7" s="175">
        <f t="shared" si="4"/>
        <v>92</v>
      </c>
      <c r="AL7" s="175">
        <f t="shared" si="4"/>
        <v>92</v>
      </c>
      <c r="AM7" s="175">
        <f t="shared" si="4"/>
        <v>90</v>
      </c>
      <c r="AN7" s="175">
        <f t="shared" si="4"/>
        <v>91</v>
      </c>
    </row>
    <row r="8" spans="2:40" x14ac:dyDescent="0.2">
      <c r="C8" s="175"/>
      <c r="D8" s="175"/>
      <c r="E8" s="175"/>
      <c r="F8" s="175"/>
      <c r="G8" s="175"/>
      <c r="H8" s="175"/>
      <c r="I8" s="175"/>
      <c r="J8" s="175"/>
      <c r="K8" s="175"/>
      <c r="L8" s="175"/>
      <c r="M8" s="175"/>
      <c r="N8" s="175"/>
      <c r="O8" s="175"/>
      <c r="P8" s="175"/>
      <c r="Q8" s="175"/>
      <c r="R8" s="175"/>
      <c r="S8" s="175"/>
      <c r="T8" s="175"/>
      <c r="U8" s="175"/>
      <c r="V8" s="175"/>
      <c r="W8" s="175"/>
      <c r="X8" s="175"/>
      <c r="Y8" s="175"/>
      <c r="Z8" s="175"/>
      <c r="AA8" s="175"/>
      <c r="AB8" s="175"/>
      <c r="AC8" s="175"/>
      <c r="AD8" s="175"/>
      <c r="AE8" s="175"/>
      <c r="AF8" s="175"/>
      <c r="AG8" s="175"/>
      <c r="AH8" s="175"/>
      <c r="AI8" s="175"/>
      <c r="AJ8" s="175"/>
      <c r="AK8" s="175"/>
      <c r="AL8" s="175"/>
      <c r="AM8" s="175"/>
      <c r="AN8" s="175"/>
    </row>
    <row r="9" spans="2:40" x14ac:dyDescent="0.2">
      <c r="B9" s="12" t="s">
        <v>778</v>
      </c>
      <c r="C9" s="175"/>
      <c r="D9" s="175" t="str">
        <f>"FY"&amp;D4</f>
        <v>FY17</v>
      </c>
      <c r="E9" s="175" t="str">
        <f t="shared" ref="E9:AN9" si="5">"FY"&amp;E4</f>
        <v>FY17</v>
      </c>
      <c r="F9" s="175" t="str">
        <f t="shared" si="5"/>
        <v>FY17</v>
      </c>
      <c r="G9" s="175" t="str">
        <f t="shared" si="5"/>
        <v>FY18</v>
      </c>
      <c r="H9" s="175" t="str">
        <f t="shared" si="5"/>
        <v>FY18</v>
      </c>
      <c r="I9" s="175" t="str">
        <f t="shared" si="5"/>
        <v>FY18</v>
      </c>
      <c r="J9" s="175" t="str">
        <f t="shared" si="5"/>
        <v>FY18</v>
      </c>
      <c r="K9" s="175" t="str">
        <f t="shared" si="5"/>
        <v>FY19</v>
      </c>
      <c r="L9" s="175" t="str">
        <f t="shared" si="5"/>
        <v>FY19</v>
      </c>
      <c r="M9" s="175" t="str">
        <f t="shared" si="5"/>
        <v>FY19</v>
      </c>
      <c r="N9" s="175" t="str">
        <f t="shared" si="5"/>
        <v>FY19</v>
      </c>
      <c r="O9" s="175" t="str">
        <f t="shared" si="5"/>
        <v>FY20</v>
      </c>
      <c r="P9" s="175" t="str">
        <f t="shared" si="5"/>
        <v>FY20</v>
      </c>
      <c r="Q9" s="175" t="str">
        <f t="shared" si="5"/>
        <v>FY20</v>
      </c>
      <c r="R9" s="175" t="str">
        <f t="shared" si="5"/>
        <v>FY20</v>
      </c>
      <c r="S9" s="175" t="str">
        <f t="shared" si="5"/>
        <v>FY21</v>
      </c>
      <c r="T9" s="175" t="str">
        <f t="shared" si="5"/>
        <v>FY21</v>
      </c>
      <c r="U9" s="175" t="str">
        <f t="shared" si="5"/>
        <v>FY21</v>
      </c>
      <c r="V9" s="175" t="str">
        <f t="shared" si="5"/>
        <v>FY21</v>
      </c>
      <c r="W9" s="175" t="str">
        <f t="shared" si="5"/>
        <v>FY22</v>
      </c>
      <c r="X9" s="175" t="str">
        <f t="shared" si="5"/>
        <v>FY22</v>
      </c>
      <c r="Y9" s="175" t="str">
        <f t="shared" si="5"/>
        <v>FY22</v>
      </c>
      <c r="Z9" s="175" t="str">
        <f t="shared" si="5"/>
        <v>FY22</v>
      </c>
      <c r="AA9" s="175" t="str">
        <f t="shared" si="5"/>
        <v>FY23</v>
      </c>
      <c r="AB9" s="175" t="str">
        <f t="shared" si="5"/>
        <v>FY23</v>
      </c>
      <c r="AC9" s="175" t="str">
        <f t="shared" si="5"/>
        <v>FY23</v>
      </c>
      <c r="AD9" s="175" t="str">
        <f t="shared" si="5"/>
        <v>FY23</v>
      </c>
      <c r="AE9" s="175" t="str">
        <f t="shared" si="5"/>
        <v>FY24</v>
      </c>
      <c r="AF9" s="175" t="str">
        <f t="shared" si="5"/>
        <v>FY24</v>
      </c>
      <c r="AG9" s="175" t="str">
        <f t="shared" si="5"/>
        <v>FY24</v>
      </c>
      <c r="AH9" s="175" t="str">
        <f t="shared" si="5"/>
        <v>FY24</v>
      </c>
      <c r="AI9" s="175" t="str">
        <f t="shared" si="5"/>
        <v>FY25</v>
      </c>
      <c r="AJ9" s="175" t="str">
        <f t="shared" si="5"/>
        <v>FY25</v>
      </c>
      <c r="AK9" s="175" t="str">
        <f t="shared" si="5"/>
        <v>FY25</v>
      </c>
      <c r="AL9" s="175" t="str">
        <f t="shared" si="5"/>
        <v>FY25</v>
      </c>
      <c r="AM9" s="175" t="str">
        <f t="shared" si="5"/>
        <v>FY26</v>
      </c>
      <c r="AN9" s="175" t="str">
        <f t="shared" si="5"/>
        <v>FY26</v>
      </c>
    </row>
    <row r="11" spans="2:40" x14ac:dyDescent="0.2">
      <c r="C11" s="7"/>
      <c r="D11" s="7"/>
      <c r="E11" s="15" t="s">
        <v>41</v>
      </c>
      <c r="F11" s="15" t="s">
        <v>41</v>
      </c>
      <c r="G11" s="15" t="s">
        <v>42</v>
      </c>
      <c r="H11" s="15" t="s">
        <v>42</v>
      </c>
      <c r="I11" s="15" t="s">
        <v>43</v>
      </c>
      <c r="J11" s="15" t="s">
        <v>43</v>
      </c>
      <c r="K11" s="15" t="s">
        <v>44</v>
      </c>
      <c r="L11" s="15" t="s">
        <v>44</v>
      </c>
      <c r="M11" s="15" t="s">
        <v>45</v>
      </c>
      <c r="N11" s="15" t="s">
        <v>45</v>
      </c>
      <c r="O11" s="15" t="s">
        <v>46</v>
      </c>
      <c r="P11" s="15" t="s">
        <v>46</v>
      </c>
      <c r="Q11" s="15" t="s">
        <v>47</v>
      </c>
      <c r="R11" s="15" t="s">
        <v>47</v>
      </c>
      <c r="S11" s="15" t="s">
        <v>48</v>
      </c>
      <c r="T11" s="15" t="s">
        <v>48</v>
      </c>
      <c r="U11" s="15" t="s">
        <v>49</v>
      </c>
      <c r="V11" s="15" t="s">
        <v>49</v>
      </c>
      <c r="W11" s="15" t="s">
        <v>50</v>
      </c>
      <c r="X11" s="15" t="s">
        <v>50</v>
      </c>
      <c r="Y11" s="15" t="s">
        <v>51</v>
      </c>
      <c r="Z11" s="15" t="s">
        <v>51</v>
      </c>
      <c r="AA11" s="15" t="s">
        <v>52</v>
      </c>
      <c r="AB11" s="15" t="s">
        <v>52</v>
      </c>
      <c r="AC11" s="15" t="s">
        <v>53</v>
      </c>
      <c r="AD11" s="15" t="s">
        <v>53</v>
      </c>
      <c r="AE11" s="15" t="s">
        <v>54</v>
      </c>
      <c r="AF11" s="15" t="s">
        <v>54</v>
      </c>
      <c r="AG11" s="15" t="s">
        <v>55</v>
      </c>
      <c r="AH11" s="15" t="s">
        <v>55</v>
      </c>
      <c r="AI11" s="15" t="s">
        <v>56</v>
      </c>
      <c r="AJ11" s="15" t="s">
        <v>56</v>
      </c>
      <c r="AK11" s="15" t="s">
        <v>57</v>
      </c>
      <c r="AL11" s="15" t="s">
        <v>57</v>
      </c>
      <c r="AM11" s="15" t="s">
        <v>58</v>
      </c>
      <c r="AN11" s="15" t="s">
        <v>58</v>
      </c>
    </row>
    <row r="12" spans="2:40" x14ac:dyDescent="0.2">
      <c r="B12" s="172"/>
      <c r="C12" s="172" t="s">
        <v>415</v>
      </c>
      <c r="D12" s="172" t="s">
        <v>59</v>
      </c>
      <c r="E12" s="172" t="s">
        <v>60</v>
      </c>
      <c r="F12" s="172" t="s">
        <v>61</v>
      </c>
      <c r="G12" s="172" t="s">
        <v>62</v>
      </c>
      <c r="H12" s="172" t="s">
        <v>63</v>
      </c>
      <c r="I12" s="172" t="s">
        <v>64</v>
      </c>
      <c r="J12" s="172" t="s">
        <v>65</v>
      </c>
      <c r="K12" s="172" t="s">
        <v>66</v>
      </c>
      <c r="L12" s="172" t="s">
        <v>67</v>
      </c>
      <c r="M12" s="172" t="s">
        <v>68</v>
      </c>
      <c r="N12" s="172" t="s">
        <v>69</v>
      </c>
      <c r="O12" s="172" t="s">
        <v>70</v>
      </c>
      <c r="P12" s="172" t="s">
        <v>71</v>
      </c>
      <c r="Q12" s="172" t="s">
        <v>72</v>
      </c>
      <c r="R12" s="172" t="s">
        <v>73</v>
      </c>
      <c r="S12" s="172" t="s">
        <v>74</v>
      </c>
      <c r="T12" s="172" t="s">
        <v>75</v>
      </c>
      <c r="U12" s="172" t="s">
        <v>76</v>
      </c>
      <c r="V12" s="172" t="s">
        <v>77</v>
      </c>
      <c r="W12" s="172" t="s">
        <v>78</v>
      </c>
      <c r="X12" s="172" t="s">
        <v>79</v>
      </c>
      <c r="Y12" s="172" t="s">
        <v>80</v>
      </c>
      <c r="Z12" s="172" t="s">
        <v>81</v>
      </c>
      <c r="AA12" s="172" t="s">
        <v>82</v>
      </c>
      <c r="AB12" s="172" t="s">
        <v>83</v>
      </c>
      <c r="AC12" s="172" t="s">
        <v>84</v>
      </c>
      <c r="AD12" s="172" t="s">
        <v>85</v>
      </c>
      <c r="AE12" s="172" t="s">
        <v>86</v>
      </c>
      <c r="AF12" s="172" t="s">
        <v>87</v>
      </c>
      <c r="AG12" s="172" t="s">
        <v>88</v>
      </c>
      <c r="AH12" s="172" t="s">
        <v>89</v>
      </c>
      <c r="AI12" s="172" t="s">
        <v>90</v>
      </c>
      <c r="AJ12" s="172" t="s">
        <v>91</v>
      </c>
      <c r="AK12" s="172" t="s">
        <v>92</v>
      </c>
      <c r="AL12" s="172" t="s">
        <v>93</v>
      </c>
      <c r="AM12" s="172" t="s">
        <v>94</v>
      </c>
      <c r="AN12" s="172" t="s">
        <v>95</v>
      </c>
    </row>
    <row r="13" spans="2:40" x14ac:dyDescent="0.2">
      <c r="B13" s="173"/>
      <c r="C13" s="173"/>
      <c r="D13" s="173">
        <v>42916</v>
      </c>
      <c r="E13" s="174">
        <f t="shared" ref="E13:AN13" si="6" xml:space="preserve"> EOMONTH( D13, 3)</f>
        <v>43008</v>
      </c>
      <c r="F13" s="174">
        <f t="shared" si="6"/>
        <v>43100</v>
      </c>
      <c r="G13" s="174">
        <f t="shared" si="6"/>
        <v>43190</v>
      </c>
      <c r="H13" s="174">
        <f t="shared" si="6"/>
        <v>43281</v>
      </c>
      <c r="I13" s="174">
        <f t="shared" si="6"/>
        <v>43373</v>
      </c>
      <c r="J13" s="174">
        <f t="shared" si="6"/>
        <v>43465</v>
      </c>
      <c r="K13" s="174">
        <f t="shared" si="6"/>
        <v>43555</v>
      </c>
      <c r="L13" s="174">
        <f t="shared" si="6"/>
        <v>43646</v>
      </c>
      <c r="M13" s="174">
        <f t="shared" si="6"/>
        <v>43738</v>
      </c>
      <c r="N13" s="174">
        <f t="shared" si="6"/>
        <v>43830</v>
      </c>
      <c r="O13" s="174">
        <f t="shared" si="6"/>
        <v>43921</v>
      </c>
      <c r="P13" s="174">
        <f t="shared" si="6"/>
        <v>44012</v>
      </c>
      <c r="Q13" s="174">
        <f t="shared" si="6"/>
        <v>44104</v>
      </c>
      <c r="R13" s="174">
        <f t="shared" si="6"/>
        <v>44196</v>
      </c>
      <c r="S13" s="174">
        <f t="shared" si="6"/>
        <v>44286</v>
      </c>
      <c r="T13" s="174">
        <f t="shared" si="6"/>
        <v>44377</v>
      </c>
      <c r="U13" s="174">
        <f t="shared" si="6"/>
        <v>44469</v>
      </c>
      <c r="V13" s="174">
        <f t="shared" si="6"/>
        <v>44561</v>
      </c>
      <c r="W13" s="174">
        <f t="shared" si="6"/>
        <v>44651</v>
      </c>
      <c r="X13" s="174">
        <f t="shared" si="6"/>
        <v>44742</v>
      </c>
      <c r="Y13" s="174">
        <f t="shared" si="6"/>
        <v>44834</v>
      </c>
      <c r="Z13" s="174">
        <f t="shared" si="6"/>
        <v>44926</v>
      </c>
      <c r="AA13" s="174">
        <f t="shared" si="6"/>
        <v>45016</v>
      </c>
      <c r="AB13" s="174">
        <f t="shared" si="6"/>
        <v>45107</v>
      </c>
      <c r="AC13" s="174">
        <f t="shared" si="6"/>
        <v>45199</v>
      </c>
      <c r="AD13" s="174">
        <f t="shared" si="6"/>
        <v>45291</v>
      </c>
      <c r="AE13" s="174">
        <f t="shared" si="6"/>
        <v>45382</v>
      </c>
      <c r="AF13" s="174">
        <f t="shared" si="6"/>
        <v>45473</v>
      </c>
      <c r="AG13" s="174">
        <f t="shared" si="6"/>
        <v>45565</v>
      </c>
      <c r="AH13" s="174">
        <f t="shared" si="6"/>
        <v>45657</v>
      </c>
      <c r="AI13" s="174">
        <f t="shared" si="6"/>
        <v>45747</v>
      </c>
      <c r="AJ13" s="174">
        <f t="shared" si="6"/>
        <v>45838</v>
      </c>
      <c r="AK13" s="174">
        <f t="shared" si="6"/>
        <v>45930</v>
      </c>
      <c r="AL13" s="174">
        <f t="shared" si="6"/>
        <v>46022</v>
      </c>
      <c r="AM13" s="174">
        <f t="shared" si="6"/>
        <v>46112</v>
      </c>
      <c r="AN13" s="174">
        <f t="shared" si="6"/>
        <v>46203</v>
      </c>
    </row>
    <row r="14" spans="2:40" x14ac:dyDescent="0.2">
      <c r="Y14" s="32"/>
      <c r="Z14" s="32"/>
      <c r="AA14" s="32"/>
      <c r="AB14" s="32"/>
      <c r="AC14" s="32"/>
      <c r="AD14" s="32"/>
      <c r="AE14" s="32"/>
    </row>
    <row r="15" spans="2:40" x14ac:dyDescent="0.2">
      <c r="B15" s="20" t="s">
        <v>545</v>
      </c>
      <c r="Y15" s="32"/>
      <c r="Z15" s="32"/>
      <c r="AA15" s="32"/>
      <c r="AB15" s="32"/>
      <c r="AC15" s="32"/>
      <c r="AD15" s="32"/>
      <c r="AE15" s="32"/>
      <c r="AM15" s="12" t="s">
        <v>1207</v>
      </c>
    </row>
    <row r="16" spans="2:40" x14ac:dyDescent="0.2">
      <c r="B16" s="18" t="s">
        <v>9</v>
      </c>
      <c r="C16" s="7" t="s">
        <v>543</v>
      </c>
      <c r="S16" s="32">
        <v>3379.2050716943049</v>
      </c>
      <c r="T16" s="32">
        <v>3561.3983946095123</v>
      </c>
      <c r="U16" s="32">
        <v>4581.0702627666824</v>
      </c>
      <c r="V16" s="32">
        <v>4562.728578864022</v>
      </c>
      <c r="W16" s="32">
        <v>3386.8934774988388</v>
      </c>
      <c r="X16" s="32">
        <v>3377.2182247146588</v>
      </c>
      <c r="Y16" s="32">
        <v>3376.7265089852449</v>
      </c>
      <c r="Z16" s="32">
        <v>3766.7404908044359</v>
      </c>
      <c r="AA16" s="32">
        <v>3142.8397266335724</v>
      </c>
      <c r="AB16" s="32">
        <v>2959.4013569028893</v>
      </c>
      <c r="AC16" s="32">
        <v>2927.6762848902326</v>
      </c>
      <c r="AD16" s="32">
        <v>3021</v>
      </c>
      <c r="AE16" s="32">
        <v>2546.2986555233579</v>
      </c>
      <c r="AF16" s="32">
        <v>2726</v>
      </c>
      <c r="AG16" s="32">
        <v>2684</v>
      </c>
      <c r="AH16" s="32">
        <v>2857</v>
      </c>
      <c r="AK16" s="193">
        <f>AG16*(1+AK17)</f>
        <v>2549.7999999999997</v>
      </c>
      <c r="AL16" s="26"/>
      <c r="AM16" s="151">
        <f>SUM(AC16:AF16)</f>
        <v>11220.974940413591</v>
      </c>
    </row>
    <row r="17" spans="2:39" x14ac:dyDescent="0.2">
      <c r="B17" s="22" t="s">
        <v>738</v>
      </c>
      <c r="C17" s="7" t="s">
        <v>118</v>
      </c>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147"/>
      <c r="AK17" s="147">
        <v>-0.05</v>
      </c>
      <c r="AL17" s="55"/>
    </row>
    <row r="18" spans="2:39" x14ac:dyDescent="0.2">
      <c r="B18" s="18"/>
      <c r="Y18" s="32"/>
      <c r="Z18" s="32"/>
      <c r="AA18" s="32"/>
      <c r="AB18" s="32"/>
      <c r="AC18" s="32"/>
      <c r="AD18" s="32"/>
      <c r="AE18" s="32"/>
    </row>
    <row r="19" spans="2:39" x14ac:dyDescent="0.2">
      <c r="B19" s="18" t="s">
        <v>18</v>
      </c>
      <c r="C19" s="7" t="s">
        <v>543</v>
      </c>
      <c r="I19" s="32"/>
      <c r="J19" s="32"/>
      <c r="K19" s="32"/>
      <c r="L19" s="32"/>
      <c r="M19" s="32"/>
      <c r="N19" s="32"/>
      <c r="O19" s="32"/>
      <c r="P19" s="32"/>
      <c r="Q19" s="32"/>
      <c r="R19" s="32"/>
      <c r="S19" s="32">
        <v>384.78953211825478</v>
      </c>
      <c r="T19" s="32">
        <v>428.97687389623076</v>
      </c>
      <c r="U19" s="32">
        <v>513.39045349104651</v>
      </c>
      <c r="V19" s="32">
        <v>454.57203254170588</v>
      </c>
      <c r="W19" s="32">
        <v>390.05293003055976</v>
      </c>
      <c r="X19" s="32">
        <v>404.45265309979453</v>
      </c>
      <c r="Y19" s="32">
        <v>373.89829571142826</v>
      </c>
      <c r="Z19" s="32">
        <v>389.23180766901595</v>
      </c>
      <c r="AA19" s="32">
        <v>350.50447552490709</v>
      </c>
      <c r="AB19" s="32">
        <v>389.47451855429995</v>
      </c>
      <c r="AC19" s="32">
        <v>331.83748503332509</v>
      </c>
      <c r="AD19" s="32">
        <v>375</v>
      </c>
      <c r="AE19" s="32">
        <v>328.83894234255899</v>
      </c>
      <c r="AF19" s="32">
        <v>349</v>
      </c>
      <c r="AG19" s="32">
        <v>371</v>
      </c>
      <c r="AH19" s="32">
        <v>346</v>
      </c>
      <c r="AI19" s="193">
        <f>AE19*(1+AI21)</f>
        <v>269.64793272089838</v>
      </c>
      <c r="AK19" s="26"/>
      <c r="AL19" s="26"/>
      <c r="AM19" s="151">
        <f>SUM(AC19:AF19)</f>
        <v>1384.676427375884</v>
      </c>
    </row>
    <row r="20" spans="2:39" x14ac:dyDescent="0.2">
      <c r="B20" s="22" t="s">
        <v>597</v>
      </c>
      <c r="C20" s="7" t="s">
        <v>118</v>
      </c>
      <c r="D20" s="55"/>
      <c r="E20" s="55"/>
      <c r="F20" s="55"/>
      <c r="G20" s="55"/>
      <c r="H20" s="55"/>
      <c r="I20" s="55"/>
      <c r="J20" s="55"/>
      <c r="K20" s="55"/>
      <c r="L20" s="55"/>
      <c r="M20" s="55"/>
      <c r="N20" s="55"/>
      <c r="O20" s="55"/>
      <c r="P20" s="55"/>
      <c r="Q20" s="55"/>
      <c r="R20" s="55"/>
      <c r="S20" s="55">
        <v>0.11386983741869343</v>
      </c>
      <c r="T20" s="55">
        <v>0.12045180751064659</v>
      </c>
      <c r="U20" s="55">
        <v>0.11206779727080425</v>
      </c>
      <c r="V20" s="55">
        <v>9.9627235038135933E-2</v>
      </c>
      <c r="W20" s="55">
        <v>0.11516539643833351</v>
      </c>
      <c r="X20" s="55">
        <v>0.11975911125315769</v>
      </c>
      <c r="Y20" s="55">
        <v>0.11072803637384009</v>
      </c>
      <c r="Z20" s="55">
        <v>0.10333385286807759</v>
      </c>
      <c r="AA20" s="55">
        <v>0.11152476932075285</v>
      </c>
      <c r="AB20" s="55">
        <v>0.13160584577209825</v>
      </c>
      <c r="AC20" s="55">
        <v>0.11334500564353435</v>
      </c>
      <c r="AD20" s="55">
        <v>0.12431416508045948</v>
      </c>
      <c r="AE20" s="55">
        <v>0.12914390133665232</v>
      </c>
      <c r="AF20" s="55">
        <v>0.128</v>
      </c>
      <c r="AG20" s="55">
        <v>0.13800000000000001</v>
      </c>
      <c r="AH20" s="55">
        <v>0.121</v>
      </c>
      <c r="AI20" s="55"/>
      <c r="AK20" s="55"/>
      <c r="AL20" s="55"/>
    </row>
    <row r="21" spans="2:39" x14ac:dyDescent="0.2">
      <c r="B21" s="22" t="s">
        <v>738</v>
      </c>
      <c r="C21" s="7" t="s">
        <v>118</v>
      </c>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147">
        <v>-0.18</v>
      </c>
      <c r="AK21" s="55"/>
      <c r="AL21" s="55"/>
    </row>
    <row r="22" spans="2:39" x14ac:dyDescent="0.2">
      <c r="B22" s="18"/>
      <c r="C22" s="7"/>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K22" s="55"/>
      <c r="AL22" s="55"/>
    </row>
    <row r="23" spans="2:39" x14ac:dyDescent="0.2">
      <c r="B23" s="18"/>
      <c r="C23" s="7"/>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K23" s="55"/>
      <c r="AL23" s="55"/>
    </row>
    <row r="24" spans="2:39" x14ac:dyDescent="0.2">
      <c r="B24" s="18" t="s">
        <v>116</v>
      </c>
      <c r="C24" s="7" t="s">
        <v>543</v>
      </c>
      <c r="I24" s="32"/>
      <c r="J24" s="32"/>
      <c r="K24" s="32"/>
      <c r="L24" s="32"/>
      <c r="M24" s="32"/>
      <c r="N24" s="32"/>
      <c r="O24" s="32"/>
      <c r="P24" s="32"/>
      <c r="Q24" s="32"/>
      <c r="R24" s="32"/>
      <c r="S24" s="32">
        <v>148.73192042950708</v>
      </c>
      <c r="T24" s="32">
        <v>131.08437484883473</v>
      </c>
      <c r="U24" s="32">
        <v>185.05652595612708</v>
      </c>
      <c r="V24" s="32">
        <v>140.223499874521</v>
      </c>
      <c r="W24" s="32">
        <v>141.00242661626407</v>
      </c>
      <c r="X24" s="32">
        <v>143.76082827602784</v>
      </c>
      <c r="Y24" s="32">
        <v>98.609699581640768</v>
      </c>
      <c r="Z24" s="32">
        <v>101.7061206227674</v>
      </c>
      <c r="AA24" s="32">
        <v>84.976507799506464</v>
      </c>
      <c r="AB24" s="32">
        <v>107.59599137021962</v>
      </c>
      <c r="AC24" s="32">
        <v>63.002566961968711</v>
      </c>
      <c r="AD24" s="32">
        <v>100</v>
      </c>
      <c r="AE24" s="32">
        <v>82.602198568761878</v>
      </c>
      <c r="AF24" s="32">
        <v>74</v>
      </c>
      <c r="AG24" s="32">
        <v>72</v>
      </c>
      <c r="AH24" s="32">
        <v>66</v>
      </c>
      <c r="AI24" s="32"/>
      <c r="AK24" s="26"/>
      <c r="AL24" s="26"/>
    </row>
    <row r="25" spans="2:39" x14ac:dyDescent="0.2">
      <c r="B25" s="22" t="s">
        <v>729</v>
      </c>
      <c r="C25" s="7" t="s">
        <v>543</v>
      </c>
      <c r="I25" s="32"/>
      <c r="J25" s="32"/>
      <c r="K25" s="32"/>
      <c r="L25" s="32"/>
      <c r="M25" s="32"/>
      <c r="N25" s="32"/>
      <c r="O25" s="32"/>
      <c r="P25" s="32"/>
      <c r="Q25" s="32"/>
      <c r="R25" s="32"/>
      <c r="S25" s="75">
        <f>S24/S19</f>
        <v>0.38652797962237262</v>
      </c>
      <c r="T25" s="75">
        <f t="shared" ref="T25:AG25" si="7">T24/T19</f>
        <v>0.30557445593336102</v>
      </c>
      <c r="U25" s="75">
        <f t="shared" si="7"/>
        <v>0.36045961645321956</v>
      </c>
      <c r="V25" s="75">
        <f t="shared" si="7"/>
        <v>0.30847366277786969</v>
      </c>
      <c r="W25" s="75">
        <f t="shared" si="7"/>
        <v>0.3614956221588102</v>
      </c>
      <c r="X25" s="75">
        <f t="shared" si="7"/>
        <v>0.3554453832215469</v>
      </c>
      <c r="Y25" s="75">
        <f t="shared" si="7"/>
        <v>0.26373401727871731</v>
      </c>
      <c r="Z25" s="75">
        <f t="shared" si="7"/>
        <v>0.26129961277279118</v>
      </c>
      <c r="AA25" s="75">
        <f t="shared" si="7"/>
        <v>0.24244057846122416</v>
      </c>
      <c r="AB25" s="75">
        <f t="shared" si="7"/>
        <v>0.2762593860302025</v>
      </c>
      <c r="AC25" s="75">
        <f t="shared" si="7"/>
        <v>0.1898597048360634</v>
      </c>
      <c r="AD25" s="75">
        <f t="shared" si="7"/>
        <v>0.26666666666666666</v>
      </c>
      <c r="AE25" s="75">
        <f t="shared" si="7"/>
        <v>0.25119348085821691</v>
      </c>
      <c r="AF25" s="75">
        <f t="shared" si="7"/>
        <v>0.21203438395415472</v>
      </c>
      <c r="AG25" s="75">
        <f t="shared" si="7"/>
        <v>0.19407008086253369</v>
      </c>
      <c r="AH25" s="75">
        <f>AH24/AH19</f>
        <v>0.19075144508670519</v>
      </c>
      <c r="AI25" s="32"/>
      <c r="AK25" s="32"/>
      <c r="AL25" s="32"/>
    </row>
    <row r="26" spans="2:39" x14ac:dyDescent="0.2">
      <c r="W26" s="162">
        <f>W24/S24-1</f>
        <v>-5.1969300140291552E-2</v>
      </c>
      <c r="X26" s="162">
        <f t="shared" ref="X26:AH26" si="8">X24/T24-1</f>
        <v>9.6704534326165659E-2</v>
      </c>
      <c r="Y26" s="162">
        <f t="shared" si="8"/>
        <v>-0.46713741073352366</v>
      </c>
      <c r="Z26" s="162">
        <f t="shared" si="8"/>
        <v>-0.27468562178394407</v>
      </c>
      <c r="AA26" s="162">
        <f t="shared" si="8"/>
        <v>-0.39734010372198258</v>
      </c>
      <c r="AB26" s="162">
        <f t="shared" si="8"/>
        <v>-0.25156252464245654</v>
      </c>
      <c r="AC26" s="162">
        <f t="shared" si="8"/>
        <v>-0.36109158399972874</v>
      </c>
      <c r="AD26" s="162">
        <f t="shared" si="8"/>
        <v>-1.6775004417831196E-2</v>
      </c>
      <c r="AE26" s="162">
        <f t="shared" si="8"/>
        <v>-2.7940772011324944E-2</v>
      </c>
      <c r="AF26" s="162">
        <f t="shared" si="8"/>
        <v>-0.31224203562214037</v>
      </c>
      <c r="AG26" s="162">
        <f t="shared" si="8"/>
        <v>0.1428105785509115</v>
      </c>
      <c r="AH26" s="162">
        <f t="shared" si="8"/>
        <v>-0.33999999999999997</v>
      </c>
    </row>
    <row r="27" spans="2:39" x14ac:dyDescent="0.2">
      <c r="B27" s="126" t="s">
        <v>297</v>
      </c>
    </row>
    <row r="28" spans="2:39" x14ac:dyDescent="0.2">
      <c r="B28" s="22" t="s">
        <v>107</v>
      </c>
      <c r="S28" s="32">
        <v>177.11937682553773</v>
      </c>
      <c r="T28" s="32">
        <v>202.11461597204448</v>
      </c>
      <c r="U28" s="32">
        <v>235.27885439738483</v>
      </c>
      <c r="V28" s="32">
        <v>240.03076849729402</v>
      </c>
      <c r="W28" s="32">
        <v>184.24373379792075</v>
      </c>
      <c r="X28" s="32">
        <v>185.26411298288787</v>
      </c>
      <c r="Y28" s="32">
        <v>189.06074685711386</v>
      </c>
      <c r="Z28" s="32">
        <v>195.34253001373924</v>
      </c>
      <c r="AA28" s="32">
        <v>186.73942322218556</v>
      </c>
      <c r="AB28" s="32">
        <v>198.03908630368534</v>
      </c>
      <c r="AC28" s="32">
        <v>181.96592910896595</v>
      </c>
      <c r="AD28" s="32">
        <v>197</v>
      </c>
      <c r="AE28" s="32">
        <v>173.72261979593873</v>
      </c>
      <c r="AF28" s="32">
        <v>192</v>
      </c>
      <c r="AG28" s="32">
        <v>207</v>
      </c>
      <c r="AH28" s="32">
        <v>190</v>
      </c>
    </row>
    <row r="29" spans="2:39" x14ac:dyDescent="0.2">
      <c r="B29" s="22" t="s">
        <v>726</v>
      </c>
      <c r="S29" s="32">
        <v>7.3864105705125205</v>
      </c>
      <c r="T29" s="32">
        <v>8.4393985252078068</v>
      </c>
      <c r="U29" s="32">
        <v>6.5744555470546144</v>
      </c>
      <c r="V29" s="32">
        <v>8.6009781763749569</v>
      </c>
      <c r="W29" s="32">
        <v>6.3170277137666266</v>
      </c>
      <c r="X29" s="32">
        <v>8.2596996581035711</v>
      </c>
      <c r="Y29" s="32">
        <v>6.7157571276468433</v>
      </c>
      <c r="Z29" s="32">
        <v>6.9343037091341539</v>
      </c>
      <c r="AA29" s="32">
        <v>9.7940144827024866</v>
      </c>
      <c r="AB29" s="32">
        <v>6.2655882400950942</v>
      </c>
      <c r="AC29" s="32">
        <v>9.9015000889707263</v>
      </c>
      <c r="AD29" s="32">
        <v>6</v>
      </c>
      <c r="AE29" s="32">
        <v>8.7680674105598744</v>
      </c>
      <c r="AF29" s="32">
        <v>9</v>
      </c>
      <c r="AG29" s="32">
        <v>8</v>
      </c>
      <c r="AH29" s="32">
        <v>8</v>
      </c>
    </row>
    <row r="30" spans="2:39" x14ac:dyDescent="0.2">
      <c r="B30" s="22" t="s">
        <v>727</v>
      </c>
      <c r="S30" s="32">
        <v>41.29445271252839</v>
      </c>
      <c r="T30" s="32">
        <v>68.559887816892569</v>
      </c>
      <c r="U30" s="32">
        <v>65.453072815183518</v>
      </c>
      <c r="V30" s="32">
        <v>56.521442594115953</v>
      </c>
      <c r="W30" s="32">
        <v>46.31213118349001</v>
      </c>
      <c r="X30" s="32">
        <v>53.674190817629771</v>
      </c>
      <c r="Y30" s="32">
        <v>62.552075075027254</v>
      </c>
      <c r="Z30" s="32">
        <v>66.334489446865305</v>
      </c>
      <c r="AA30" s="32">
        <v>52.495681197395129</v>
      </c>
      <c r="AB30" s="32">
        <v>56.614528165576885</v>
      </c>
      <c r="AC30" s="32">
        <v>58.332554244615501</v>
      </c>
      <c r="AD30" s="32">
        <v>58</v>
      </c>
      <c r="AE30" s="32">
        <v>46.908243863631505</v>
      </c>
      <c r="AF30" s="32">
        <v>56</v>
      </c>
      <c r="AG30" s="32">
        <v>60</v>
      </c>
      <c r="AH30" s="32">
        <v>60</v>
      </c>
    </row>
    <row r="31" spans="2:39" x14ac:dyDescent="0.2">
      <c r="B31" s="22" t="s">
        <v>728</v>
      </c>
      <c r="S31" s="32">
        <v>10.257371580169055</v>
      </c>
      <c r="T31" s="32">
        <v>18.778596733251145</v>
      </c>
      <c r="U31" s="32">
        <v>21.027544775296441</v>
      </c>
      <c r="V31" s="32">
        <v>9.195343399399988</v>
      </c>
      <c r="W31" s="32">
        <v>12.177610719118292</v>
      </c>
      <c r="X31" s="32">
        <v>13.4938213651455</v>
      </c>
      <c r="Y31" s="32">
        <v>16.960017069999509</v>
      </c>
      <c r="Z31" s="32">
        <v>18.914363876509842</v>
      </c>
      <c r="AA31" s="32">
        <v>16.498848823117427</v>
      </c>
      <c r="AB31" s="32">
        <v>20.959324474723015</v>
      </c>
      <c r="AC31" s="32">
        <v>18.63493462880421</v>
      </c>
      <c r="AD31" s="32">
        <v>14</v>
      </c>
      <c r="AE31" s="32">
        <v>16.837812703667012</v>
      </c>
      <c r="AF31" s="32">
        <v>18</v>
      </c>
      <c r="AG31" s="32">
        <v>24</v>
      </c>
      <c r="AH31" s="32">
        <v>21</v>
      </c>
    </row>
    <row r="33" spans="2:38" x14ac:dyDescent="0.2">
      <c r="B33" s="22" t="s">
        <v>141</v>
      </c>
      <c r="S33" s="151">
        <f>S19-SUM(S28:S31)-S24</f>
        <v>0</v>
      </c>
      <c r="T33" s="151">
        <f t="shared" ref="T33:AH33" si="9">T19-SUM(T28:T31)-T24</f>
        <v>0</v>
      </c>
      <c r="U33" s="151">
        <f t="shared" si="9"/>
        <v>0</v>
      </c>
      <c r="V33" s="151">
        <f t="shared" si="9"/>
        <v>0</v>
      </c>
      <c r="W33" s="151">
        <f t="shared" si="9"/>
        <v>0</v>
      </c>
      <c r="X33" s="151">
        <f t="shared" si="9"/>
        <v>0</v>
      </c>
      <c r="Y33" s="151">
        <f t="shared" si="9"/>
        <v>0</v>
      </c>
      <c r="Z33" s="151">
        <f t="shared" si="9"/>
        <v>0</v>
      </c>
      <c r="AA33" s="151">
        <f t="shared" si="9"/>
        <v>0</v>
      </c>
      <c r="AB33" s="151">
        <f t="shared" si="9"/>
        <v>0</v>
      </c>
      <c r="AC33" s="151">
        <f t="shared" si="9"/>
        <v>0</v>
      </c>
      <c r="AD33" s="151">
        <f t="shared" si="9"/>
        <v>0</v>
      </c>
      <c r="AE33" s="151">
        <f t="shared" si="9"/>
        <v>0</v>
      </c>
      <c r="AF33" s="151">
        <f t="shared" si="9"/>
        <v>0</v>
      </c>
      <c r="AG33" s="151">
        <f t="shared" si="9"/>
        <v>0</v>
      </c>
      <c r="AH33" s="151">
        <f t="shared" si="9"/>
        <v>1</v>
      </c>
    </row>
    <row r="35" spans="2:38" x14ac:dyDescent="0.2">
      <c r="B35" s="22" t="s">
        <v>730</v>
      </c>
      <c r="S35" s="32">
        <v>830.61599999999999</v>
      </c>
      <c r="T35" s="32">
        <v>982.08399999999995</v>
      </c>
      <c r="U35" s="32">
        <v>1086</v>
      </c>
      <c r="V35" s="32">
        <v>1133</v>
      </c>
      <c r="W35" s="32">
        <v>914.57833333333338</v>
      </c>
      <c r="X35" s="32">
        <v>1072.2426666666668</v>
      </c>
      <c r="Y35" s="32">
        <v>1100.1869999999999</v>
      </c>
      <c r="Z35" s="32">
        <v>1274.6496666666667</v>
      </c>
      <c r="AA35" s="32">
        <v>992.86633333333339</v>
      </c>
      <c r="AB35" s="32">
        <v>1139.0143333333333</v>
      </c>
      <c r="AC35" s="32">
        <v>1123.9953333333333</v>
      </c>
      <c r="AD35" s="32">
        <v>1189.3203333333333</v>
      </c>
      <c r="AE35" s="32">
        <v>990.56833333333338</v>
      </c>
      <c r="AF35" s="32">
        <v>1199</v>
      </c>
      <c r="AG35" s="32">
        <v>1197</v>
      </c>
      <c r="AH35" s="32">
        <v>1275</v>
      </c>
      <c r="AK35" s="26"/>
      <c r="AL35" s="26"/>
    </row>
    <row r="37" spans="2:38" x14ac:dyDescent="0.2">
      <c r="S37" s="26">
        <f>S28/S16</f>
        <v>5.2414509645823761E-2</v>
      </c>
      <c r="T37" s="26">
        <f t="shared" ref="T37:AG37" si="10">T28/T16</f>
        <v>5.6751476127456735E-2</v>
      </c>
      <c r="U37" s="26">
        <f t="shared" si="10"/>
        <v>5.1358927259782083E-2</v>
      </c>
      <c r="V37" s="26">
        <f t="shared" si="10"/>
        <v>5.260684793068586E-2</v>
      </c>
      <c r="W37" s="26">
        <f t="shared" si="10"/>
        <v>5.4399034106611913E-2</v>
      </c>
      <c r="X37" s="26">
        <f t="shared" si="10"/>
        <v>5.4857015642967764E-2</v>
      </c>
      <c r="Y37" s="26">
        <f t="shared" si="10"/>
        <v>5.5989357252959567E-2</v>
      </c>
      <c r="Z37" s="26">
        <f t="shared" si="10"/>
        <v>5.1859832258319798E-2</v>
      </c>
      <c r="AA37" s="26">
        <f t="shared" si="10"/>
        <v>5.9417418470209427E-2</v>
      </c>
      <c r="AB37" s="26">
        <f t="shared" si="10"/>
        <v>6.6918630635129442E-2</v>
      </c>
      <c r="AC37" s="26">
        <f t="shared" si="10"/>
        <v>6.215370532872571E-2</v>
      </c>
      <c r="AD37" s="26">
        <f t="shared" si="10"/>
        <v>6.5210195299569673E-2</v>
      </c>
      <c r="AE37" s="26">
        <f t="shared" si="10"/>
        <v>6.8225547470287751E-2</v>
      </c>
      <c r="AF37" s="26">
        <f t="shared" si="10"/>
        <v>7.0432868672046955E-2</v>
      </c>
      <c r="AG37" s="26">
        <f t="shared" si="10"/>
        <v>7.7123695976154996E-2</v>
      </c>
      <c r="AH37" s="26">
        <f>AH28/AH16</f>
        <v>6.6503325166258315E-2</v>
      </c>
    </row>
    <row r="38" spans="2:38" x14ac:dyDescent="0.2">
      <c r="S38" s="26">
        <f>S28/S19</f>
        <v>0.46030196260927603</v>
      </c>
      <c r="T38" s="26">
        <f t="shared" ref="T38:AH38" si="11">T28/T19</f>
        <v>0.47115503951603666</v>
      </c>
      <c r="U38" s="26">
        <f t="shared" si="11"/>
        <v>0.45828443594440166</v>
      </c>
      <c r="V38" s="26">
        <f t="shared" si="11"/>
        <v>0.52803681554093806</v>
      </c>
      <c r="W38" s="26">
        <f t="shared" si="11"/>
        <v>0.47235572306426638</v>
      </c>
      <c r="X38" s="26">
        <f t="shared" si="11"/>
        <v>0.4580613121535782</v>
      </c>
      <c r="Y38" s="26">
        <f t="shared" si="11"/>
        <v>0.50564752240280186</v>
      </c>
      <c r="Z38" s="26">
        <f t="shared" si="11"/>
        <v>0.5018668211716375</v>
      </c>
      <c r="AA38" s="26">
        <f t="shared" si="11"/>
        <v>0.53277329181754118</v>
      </c>
      <c r="AB38" s="26">
        <f t="shared" si="11"/>
        <v>0.50847764582594901</v>
      </c>
      <c r="AC38" s="26">
        <f t="shared" si="11"/>
        <v>0.54835857103573415</v>
      </c>
      <c r="AD38" s="26">
        <f t="shared" si="11"/>
        <v>0.52533333333333332</v>
      </c>
      <c r="AE38" s="26">
        <f t="shared" si="11"/>
        <v>0.52829089693083831</v>
      </c>
      <c r="AF38" s="26">
        <f t="shared" si="11"/>
        <v>0.55014326647564471</v>
      </c>
      <c r="AG38" s="26">
        <f t="shared" si="11"/>
        <v>0.55795148247978432</v>
      </c>
      <c r="AH38" s="26">
        <f t="shared" si="11"/>
        <v>0.54913294797687862</v>
      </c>
    </row>
    <row r="40" spans="2:38" x14ac:dyDescent="0.2">
      <c r="S40" s="26">
        <f t="shared" ref="S40:AG40" si="12">S30/S16</f>
        <v>1.2220167712941937E-2</v>
      </c>
      <c r="T40" s="26">
        <f t="shared" si="12"/>
        <v>1.9250833582860023E-2</v>
      </c>
      <c r="U40" s="26">
        <f t="shared" si="12"/>
        <v>1.4287725151732102E-2</v>
      </c>
      <c r="V40" s="26">
        <f t="shared" si="12"/>
        <v>1.2387640776166449E-2</v>
      </c>
      <c r="W40" s="26">
        <f t="shared" si="12"/>
        <v>1.3673926118777938E-2</v>
      </c>
      <c r="X40" s="26">
        <f t="shared" si="12"/>
        <v>1.5893018231643796E-2</v>
      </c>
      <c r="Y40" s="26">
        <f t="shared" si="12"/>
        <v>1.8524471824585241E-2</v>
      </c>
      <c r="Z40" s="26">
        <f t="shared" si="12"/>
        <v>1.7610581246253768E-2</v>
      </c>
      <c r="AA40" s="26">
        <f t="shared" si="12"/>
        <v>1.6703263851645868E-2</v>
      </c>
      <c r="AB40" s="26">
        <f t="shared" si="12"/>
        <v>1.9130398799582171E-2</v>
      </c>
      <c r="AC40" s="26">
        <f t="shared" si="12"/>
        <v>1.9924523262927124E-2</v>
      </c>
      <c r="AD40" s="26">
        <f t="shared" si="12"/>
        <v>1.9198940748096655E-2</v>
      </c>
      <c r="AE40" s="26">
        <f t="shared" si="12"/>
        <v>1.8422129612282317E-2</v>
      </c>
      <c r="AF40" s="26">
        <f t="shared" si="12"/>
        <v>2.0542920029347028E-2</v>
      </c>
      <c r="AG40" s="26">
        <f t="shared" si="12"/>
        <v>2.2354694485842028E-2</v>
      </c>
      <c r="AH40" s="26">
        <f>AH30/AH16</f>
        <v>2.1001050052502624E-2</v>
      </c>
    </row>
    <row r="41" spans="2:38" x14ac:dyDescent="0.2">
      <c r="S41" s="26">
        <f t="shared" ref="S41:AG41" si="13">S30/S19</f>
        <v>0.10731698569138218</v>
      </c>
      <c r="T41" s="26">
        <f t="shared" si="13"/>
        <v>0.15982187383247415</v>
      </c>
      <c r="U41" s="26">
        <f t="shared" si="13"/>
        <v>0.12749179960418763</v>
      </c>
      <c r="V41" s="26">
        <f t="shared" si="13"/>
        <v>0.12433990335498753</v>
      </c>
      <c r="W41" s="26">
        <f t="shared" si="13"/>
        <v>0.1187329401162595</v>
      </c>
      <c r="X41" s="26">
        <f t="shared" si="13"/>
        <v>0.13270821789957751</v>
      </c>
      <c r="Y41" s="26">
        <f t="shared" si="13"/>
        <v>0.16729703181986272</v>
      </c>
      <c r="Z41" s="26">
        <f t="shared" si="13"/>
        <v>0.17042412295161902</v>
      </c>
      <c r="AA41" s="26">
        <f t="shared" si="13"/>
        <v>0.149771785706242</v>
      </c>
      <c r="AB41" s="26">
        <f t="shared" si="13"/>
        <v>0.14536131497312263</v>
      </c>
      <c r="AC41" s="26">
        <f t="shared" si="13"/>
        <v>0.17578651260196659</v>
      </c>
      <c r="AD41" s="26">
        <f t="shared" si="13"/>
        <v>0.15466666666666667</v>
      </c>
      <c r="AE41" s="26">
        <f t="shared" si="13"/>
        <v>0.14264808033218318</v>
      </c>
      <c r="AF41" s="26">
        <f t="shared" si="13"/>
        <v>0.16045845272206305</v>
      </c>
      <c r="AG41" s="26">
        <f t="shared" si="13"/>
        <v>0.16172506738544473</v>
      </c>
      <c r="AH41" s="26">
        <f>AH30/AH19</f>
        <v>0.17341040462427745</v>
      </c>
    </row>
    <row r="42" spans="2:38" x14ac:dyDescent="0.2">
      <c r="S42" s="26">
        <f t="shared" ref="S42:AG42" si="14">S30/S24</f>
        <v>0.2776435118519181</v>
      </c>
      <c r="T42" s="26">
        <f t="shared" si="14"/>
        <v>0.52302105339370297</v>
      </c>
      <c r="U42" s="26">
        <f t="shared" si="14"/>
        <v>0.35369232442362519</v>
      </c>
      <c r="V42" s="26">
        <f t="shared" si="14"/>
        <v>0.40308110013438664</v>
      </c>
      <c r="W42" s="26">
        <f t="shared" si="14"/>
        <v>0.32844917846362859</v>
      </c>
      <c r="X42" s="26">
        <f t="shared" si="14"/>
        <v>0.37335755129744169</v>
      </c>
      <c r="Y42" s="26">
        <f t="shared" si="14"/>
        <v>0.6343399821762894</v>
      </c>
      <c r="Z42" s="26">
        <f t="shared" si="14"/>
        <v>0.65221728093339559</v>
      </c>
      <c r="AA42" s="26">
        <f t="shared" si="14"/>
        <v>0.61776698709781552</v>
      </c>
      <c r="AB42" s="26">
        <f t="shared" si="14"/>
        <v>0.52617692764013724</v>
      </c>
      <c r="AC42" s="26">
        <f t="shared" si="14"/>
        <v>0.9258758342311314</v>
      </c>
      <c r="AD42" s="26">
        <f t="shared" si="14"/>
        <v>0.57999999999999996</v>
      </c>
      <c r="AE42" s="26">
        <f t="shared" si="14"/>
        <v>0.56788129948602906</v>
      </c>
      <c r="AF42" s="26">
        <f t="shared" si="14"/>
        <v>0.7567567567567568</v>
      </c>
      <c r="AG42" s="26">
        <f t="shared" si="14"/>
        <v>0.83333333333333337</v>
      </c>
      <c r="AH42" s="26">
        <f>AH30/AH24</f>
        <v>0.90909090909090906</v>
      </c>
    </row>
    <row r="45" spans="2:38" x14ac:dyDescent="0.2">
      <c r="B45" s="20" t="s">
        <v>546</v>
      </c>
      <c r="AG45" s="26">
        <f>AG37/S37-1</f>
        <v>0.47141882080547126</v>
      </c>
      <c r="AH45" s="26">
        <f>AH37/T37-1</f>
        <v>0.17183427999124001</v>
      </c>
    </row>
    <row r="46" spans="2:38" x14ac:dyDescent="0.2">
      <c r="B46" s="18" t="s">
        <v>9</v>
      </c>
      <c r="C46" s="7" t="s">
        <v>103</v>
      </c>
      <c r="D46" s="189"/>
      <c r="E46" s="189"/>
      <c r="F46" s="189"/>
      <c r="G46" s="189"/>
      <c r="H46" s="189"/>
      <c r="I46" s="189"/>
      <c r="J46" s="189"/>
      <c r="K46" s="189"/>
      <c r="L46" s="189"/>
      <c r="M46" s="189"/>
      <c r="N46" s="189"/>
      <c r="O46" s="32">
        <v>1545</v>
      </c>
      <c r="P46" s="193">
        <f>3723-O46</f>
        <v>2178</v>
      </c>
      <c r="Q46" s="32">
        <v>3003</v>
      </c>
      <c r="R46" s="193">
        <f>9713-SUM(O46:Q46)</f>
        <v>2987</v>
      </c>
      <c r="S46" s="32">
        <v>2451</v>
      </c>
      <c r="T46" s="193">
        <f>5000-S46</f>
        <v>2549</v>
      </c>
      <c r="U46" s="32">
        <v>3323</v>
      </c>
      <c r="V46" s="193">
        <f>11702-SUM(S46:U46)</f>
        <v>3379</v>
      </c>
      <c r="W46" s="189">
        <f>W48/W49</f>
        <v>2530.4347826086955</v>
      </c>
      <c r="X46" s="193">
        <f>5209-W46</f>
        <v>2678.5652173913045</v>
      </c>
      <c r="Y46" s="189">
        <f>Y48/Y49</f>
        <v>2873.8738738738739</v>
      </c>
      <c r="Z46" s="193">
        <f>11296-SUM(W46:Y46)</f>
        <v>3213.1261261261261</v>
      </c>
      <c r="AA46" s="189">
        <f>AA48/AA49</f>
        <v>2580.3571428571427</v>
      </c>
      <c r="AB46" s="193">
        <f>4953-AA46</f>
        <v>2372.6428571428573</v>
      </c>
      <c r="AC46" s="189">
        <f>AC48/AC49</f>
        <v>2318.5840707964603</v>
      </c>
      <c r="AD46" s="193">
        <f>12051/(1447/1167)-SUM(AA46:AC46)</f>
        <v>2447.5016237439686</v>
      </c>
      <c r="AE46" s="189"/>
    </row>
    <row r="47" spans="2:38" x14ac:dyDescent="0.2">
      <c r="B47" s="18"/>
    </row>
    <row r="48" spans="2:38" x14ac:dyDescent="0.2">
      <c r="B48" s="18" t="s">
        <v>18</v>
      </c>
      <c r="C48" s="7" t="s">
        <v>103</v>
      </c>
      <c r="D48" s="32"/>
      <c r="E48" s="32"/>
      <c r="F48" s="32"/>
      <c r="G48" s="32"/>
      <c r="H48" s="32"/>
      <c r="I48" s="32"/>
      <c r="J48" s="32"/>
      <c r="K48" s="32"/>
      <c r="L48" s="32"/>
      <c r="M48" s="32"/>
      <c r="N48" s="32"/>
      <c r="O48" s="32">
        <v>161</v>
      </c>
      <c r="P48" s="193">
        <f>435-O48</f>
        <v>274</v>
      </c>
      <c r="Q48" s="32">
        <v>320</v>
      </c>
      <c r="R48" s="193">
        <f>1075-SUM(O48:Q48)</f>
        <v>320</v>
      </c>
      <c r="S48" s="32">
        <v>279</v>
      </c>
      <c r="T48" s="193">
        <f>585-S48</f>
        <v>306</v>
      </c>
      <c r="U48" s="32">
        <v>370</v>
      </c>
      <c r="V48" s="193">
        <f>1294-SUM(S48:U48)</f>
        <v>339</v>
      </c>
      <c r="W48" s="32">
        <v>291</v>
      </c>
      <c r="X48" s="193">
        <f>612-W48</f>
        <v>321</v>
      </c>
      <c r="Y48" s="32">
        <v>319</v>
      </c>
      <c r="Z48" s="32">
        <v>332</v>
      </c>
      <c r="AA48" s="32">
        <v>289</v>
      </c>
      <c r="AB48" s="193">
        <f>601-AA48</f>
        <v>312</v>
      </c>
      <c r="AC48" s="32">
        <v>262</v>
      </c>
      <c r="AD48" s="32">
        <v>304</v>
      </c>
      <c r="AE48" s="32"/>
    </row>
    <row r="49" spans="2:39" x14ac:dyDescent="0.2">
      <c r="B49" s="18" t="s">
        <v>597</v>
      </c>
      <c r="C49" s="7" t="s">
        <v>118</v>
      </c>
      <c r="D49" s="55"/>
      <c r="E49" s="55"/>
      <c r="F49" s="55"/>
      <c r="G49" s="55"/>
      <c r="H49" s="55"/>
      <c r="I49" s="55"/>
      <c r="J49" s="55"/>
      <c r="K49" s="55"/>
      <c r="L49" s="55"/>
      <c r="M49" s="55"/>
      <c r="N49" s="55"/>
      <c r="O49" s="55">
        <v>0.104</v>
      </c>
      <c r="P49" s="75">
        <f>P48/P46</f>
        <v>0.12580348943985309</v>
      </c>
      <c r="Q49" s="55">
        <v>0.107</v>
      </c>
      <c r="R49" s="75">
        <f>R48/R46</f>
        <v>0.10713090056913291</v>
      </c>
      <c r="S49" s="55">
        <v>0.114</v>
      </c>
      <c r="T49" s="75">
        <f>T48/T46</f>
        <v>0.12004707728520989</v>
      </c>
      <c r="U49" s="55">
        <v>0.111</v>
      </c>
      <c r="V49" s="75">
        <f>V48/V46</f>
        <v>0.10032554010062149</v>
      </c>
      <c r="W49" s="55">
        <v>0.115</v>
      </c>
      <c r="X49" s="75">
        <f>X48/X46</f>
        <v>0.11984027789049945</v>
      </c>
      <c r="Y49" s="55">
        <v>0.111</v>
      </c>
      <c r="Z49" s="75">
        <f>Z48/Z46</f>
        <v>0.10332616491475002</v>
      </c>
      <c r="AA49" s="55">
        <v>0.112</v>
      </c>
      <c r="AB49" s="75">
        <f>AB48/AB46</f>
        <v>0.13149893127013276</v>
      </c>
      <c r="AC49" s="55">
        <v>0.113</v>
      </c>
      <c r="AD49" s="75">
        <f>AD48/AD46</f>
        <v>0.12420829349030954</v>
      </c>
      <c r="AE49" s="55"/>
    </row>
    <row r="50" spans="2:39" x14ac:dyDescent="0.2">
      <c r="B50" s="18"/>
      <c r="I50" s="26"/>
      <c r="J50" s="26"/>
      <c r="K50" s="26"/>
      <c r="L50" s="26"/>
      <c r="M50" s="26"/>
      <c r="N50" s="26"/>
      <c r="O50" s="26"/>
      <c r="P50" s="26"/>
      <c r="Q50" s="26"/>
      <c r="R50" s="26"/>
      <c r="S50" s="26"/>
      <c r="T50" s="26"/>
      <c r="U50" s="26"/>
      <c r="V50" s="26"/>
      <c r="W50" s="26"/>
      <c r="X50" s="26"/>
      <c r="Y50" s="26"/>
      <c r="Z50" s="26"/>
      <c r="AA50" s="26"/>
      <c r="AB50" s="26"/>
      <c r="AC50" s="26"/>
      <c r="AD50" s="26"/>
      <c r="AE50" s="26"/>
    </row>
    <row r="51" spans="2:39" x14ac:dyDescent="0.2">
      <c r="B51" s="20" t="s">
        <v>598</v>
      </c>
      <c r="I51" s="26"/>
      <c r="J51" s="26"/>
      <c r="K51" s="26"/>
      <c r="L51" s="26"/>
      <c r="M51" s="26"/>
      <c r="N51" s="26"/>
      <c r="O51" s="26"/>
      <c r="P51" s="26"/>
      <c r="Q51" s="26"/>
      <c r="R51" s="26"/>
      <c r="S51" s="26"/>
      <c r="T51" s="26"/>
      <c r="U51" s="26"/>
      <c r="V51" s="26"/>
      <c r="W51" s="26"/>
      <c r="X51" s="26"/>
      <c r="Y51" s="26"/>
      <c r="Z51" s="26"/>
      <c r="AA51" s="26"/>
      <c r="AB51" s="26"/>
      <c r="AC51" s="26"/>
      <c r="AD51" s="26"/>
      <c r="AE51" s="26"/>
    </row>
    <row r="52" spans="2:39" x14ac:dyDescent="0.2">
      <c r="B52" s="18" t="s">
        <v>600</v>
      </c>
      <c r="C52" s="7" t="s">
        <v>0</v>
      </c>
      <c r="I52" s="26"/>
      <c r="J52" s="26"/>
      <c r="K52" s="26"/>
      <c r="L52" s="26"/>
      <c r="M52" s="26"/>
      <c r="N52" s="26"/>
      <c r="O52" s="26"/>
      <c r="P52" s="26"/>
      <c r="Q52" s="26"/>
      <c r="R52" s="26"/>
      <c r="S52" s="26"/>
      <c r="T52" s="26"/>
      <c r="U52" s="26"/>
      <c r="V52" s="26"/>
      <c r="W52" s="26"/>
      <c r="X52" s="26"/>
      <c r="Y52" s="26"/>
      <c r="Z52" s="26"/>
      <c r="AA52" s="26"/>
      <c r="AB52" s="26"/>
      <c r="AC52" s="26"/>
      <c r="AD52" s="26"/>
      <c r="AE52" s="26"/>
    </row>
    <row r="53" spans="2:39" x14ac:dyDescent="0.2">
      <c r="B53" s="18" t="s">
        <v>599</v>
      </c>
      <c r="C53" s="7" t="s">
        <v>0</v>
      </c>
      <c r="G53" s="194"/>
      <c r="H53" s="194"/>
      <c r="I53" s="194"/>
      <c r="J53" s="194"/>
      <c r="K53" s="194"/>
      <c r="L53" s="194"/>
      <c r="M53" s="194"/>
      <c r="N53" s="194"/>
      <c r="O53" s="194">
        <v>0.51400769230769228</v>
      </c>
      <c r="P53" s="194">
        <v>0.52988461538461529</v>
      </c>
      <c r="Q53" s="194">
        <v>0.55365303030303037</v>
      </c>
      <c r="R53" s="194">
        <v>0.55347878787878801</v>
      </c>
      <c r="S53" s="194">
        <v>0.56027656250000024</v>
      </c>
      <c r="T53" s="194">
        <v>0.55070769230769234</v>
      </c>
      <c r="U53" s="194">
        <v>0.53319393939393955</v>
      </c>
      <c r="V53" s="194">
        <v>0.54052878787878778</v>
      </c>
      <c r="W53" s="194">
        <v>0.54051249999999995</v>
      </c>
      <c r="X53" s="194">
        <v>0.56850769230769249</v>
      </c>
      <c r="Y53" s="194">
        <v>0.58086212121212111</v>
      </c>
      <c r="Z53" s="194">
        <v>0.55979384615384609</v>
      </c>
      <c r="AA53" s="194">
        <v>0.56243692307692306</v>
      </c>
      <c r="AB53" s="194">
        <v>0.533516923076923</v>
      </c>
      <c r="AC53" s="194">
        <v>0.51697230769230762</v>
      </c>
      <c r="AD53" s="194">
        <v>0.52443692307692302</v>
      </c>
      <c r="AE53" s="194">
        <v>0.51863384615384611</v>
      </c>
      <c r="AF53" s="194">
        <v>0.5221712121212122</v>
      </c>
      <c r="AG53" s="194">
        <v>0.51513030303030294</v>
      </c>
      <c r="AH53" s="194">
        <v>0.50898484848484848</v>
      </c>
      <c r="AI53" s="194"/>
      <c r="AJ53" s="194"/>
      <c r="AK53" s="194"/>
      <c r="AL53" s="194"/>
      <c r="AM53" s="194"/>
    </row>
    <row r="54" spans="2:39" x14ac:dyDescent="0.2">
      <c r="G54" s="194">
        <v>0.78601576923076932</v>
      </c>
      <c r="H54" s="194">
        <v>0.75657030769230738</v>
      </c>
      <c r="I54" s="194">
        <v>0.7314702307692309</v>
      </c>
      <c r="J54" s="194">
        <v>0.71691333333333351</v>
      </c>
      <c r="K54" s="194">
        <v>0.71251328124999991</v>
      </c>
      <c r="L54" s="194">
        <v>0.70020330769230765</v>
      </c>
      <c r="M54" s="194">
        <v>0.68542265151515169</v>
      </c>
      <c r="N54" s="194">
        <v>0.6837476515151516</v>
      </c>
      <c r="O54" s="194">
        <v>0.65818446153846155</v>
      </c>
      <c r="P54" s="194">
        <v>0.65791253846153819</v>
      </c>
      <c r="Q54" s="194">
        <v>0.71519015151515164</v>
      </c>
      <c r="R54" s="194">
        <v>0.73181272727272717</v>
      </c>
      <c r="S54" s="194">
        <v>0.77268578124999965</v>
      </c>
      <c r="T54" s="194">
        <v>0.76989738461538471</v>
      </c>
      <c r="U54" s="194">
        <v>0.73472795454545425</v>
      </c>
      <c r="V54" s="194">
        <v>0.72868886363636365</v>
      </c>
      <c r="W54" s="194">
        <v>0.72444101562500018</v>
      </c>
      <c r="X54" s="194">
        <v>0.71433099999999983</v>
      </c>
      <c r="Y54" s="194">
        <v>0.68321446969696953</v>
      </c>
      <c r="Z54" s="194">
        <v>0.6574390769230769</v>
      </c>
      <c r="AA54" s="194">
        <v>0.68357661538461556</v>
      </c>
      <c r="AB54" s="194">
        <v>0.6680182307692305</v>
      </c>
      <c r="AC54" s="194">
        <v>0.65461730769230753</v>
      </c>
      <c r="AD54" s="194">
        <v>0.65131792307692293</v>
      </c>
      <c r="AE54" s="194">
        <v>0.65772876923076928</v>
      </c>
      <c r="AF54" s="194">
        <v>0.65907153863184598</v>
      </c>
      <c r="AG54" s="194">
        <v>0.66981196969696966</v>
      </c>
      <c r="AH54" s="194">
        <v>0.65235833333333326</v>
      </c>
      <c r="AI54" s="194">
        <v>0.62766781249999992</v>
      </c>
      <c r="AJ54" s="194">
        <v>0.64098476923076919</v>
      </c>
      <c r="AK54" s="194">
        <v>0.65418363636363641</v>
      </c>
      <c r="AL54" s="194">
        <v>0.65667878787878764</v>
      </c>
      <c r="AM54" s="194">
        <v>0.69517304687499992</v>
      </c>
    </row>
    <row r="55" spans="2:39" x14ac:dyDescent="0.2">
      <c r="B55" s="20" t="s">
        <v>383</v>
      </c>
      <c r="I55" s="26"/>
      <c r="J55" s="26"/>
      <c r="K55" s="26"/>
      <c r="L55" s="26"/>
      <c r="M55" s="26"/>
      <c r="N55" s="26"/>
      <c r="O55" s="26"/>
      <c r="P55" s="26"/>
      <c r="Q55" s="26"/>
      <c r="R55" s="26"/>
      <c r="S55" s="26"/>
      <c r="T55" s="26"/>
      <c r="U55" s="26"/>
      <c r="V55" s="26"/>
      <c r="W55" s="26"/>
      <c r="X55" s="26"/>
      <c r="Y55" s="26"/>
      <c r="Z55" s="26"/>
      <c r="AA55" s="26"/>
      <c r="AB55" s="26"/>
      <c r="AC55" s="26"/>
      <c r="AD55" s="26"/>
      <c r="AE55" s="26"/>
    </row>
    <row r="56" spans="2:39" x14ac:dyDescent="0.2">
      <c r="B56" s="18" t="s">
        <v>9</v>
      </c>
      <c r="C56" s="7" t="s">
        <v>123</v>
      </c>
      <c r="O56" s="277">
        <f>O46/O$53</f>
        <v>3005.7915924634472</v>
      </c>
      <c r="P56" s="277">
        <f>P46/P$53</f>
        <v>4110.3288088843728</v>
      </c>
      <c r="Q56" s="277">
        <f>Q46/Q$53</f>
        <v>5423.9746477254375</v>
      </c>
      <c r="R56" s="277">
        <f>R46/R$53</f>
        <v>5396.7741229030689</v>
      </c>
      <c r="S56" s="151">
        <f t="shared" ref="S56:AH56" si="15">S16/S$54</f>
        <v>4373.3237412854314</v>
      </c>
      <c r="T56" s="151">
        <f t="shared" si="15"/>
        <v>4625.8091867511266</v>
      </c>
      <c r="U56" s="151">
        <f t="shared" si="15"/>
        <v>6235.0564374548685</v>
      </c>
      <c r="V56" s="151">
        <f t="shared" si="15"/>
        <v>6261.5593658104162</v>
      </c>
      <c r="W56" s="151">
        <f t="shared" si="15"/>
        <v>4675.1818359937133</v>
      </c>
      <c r="X56" s="151">
        <f t="shared" si="15"/>
        <v>4727.8057717145966</v>
      </c>
      <c r="Y56" s="151">
        <f t="shared" si="15"/>
        <v>4942.4107052108338</v>
      </c>
      <c r="Z56" s="151">
        <f t="shared" si="15"/>
        <v>5729.4137556188498</v>
      </c>
      <c r="AA56" s="151">
        <f t="shared" si="15"/>
        <v>4597.6407851009471</v>
      </c>
      <c r="AB56" s="151">
        <f t="shared" si="15"/>
        <v>4430.1206472989597</v>
      </c>
      <c r="AC56" s="151">
        <f t="shared" si="15"/>
        <v>4472.347813734159</v>
      </c>
      <c r="AD56" s="151">
        <f t="shared" si="15"/>
        <v>4638.2878360361183</v>
      </c>
      <c r="AE56" s="151">
        <f t="shared" si="15"/>
        <v>3871.3505849855401</v>
      </c>
      <c r="AF56" s="151">
        <f t="shared" si="15"/>
        <v>4136.1215592147273</v>
      </c>
      <c r="AG56" s="151">
        <f t="shared" si="15"/>
        <v>4007.0947093021809</v>
      </c>
      <c r="AH56" s="151">
        <f t="shared" si="15"/>
        <v>4379.494909495038</v>
      </c>
      <c r="AI56" s="151"/>
      <c r="AJ56" s="193">
        <f>AF56*(1+AJ57)</f>
        <v>4012.0379124382853</v>
      </c>
      <c r="AK56" s="26"/>
      <c r="AL56" s="26"/>
      <c r="AM56" s="151">
        <f>SUM(AC56:AF56)</f>
        <v>17118.107793970543</v>
      </c>
    </row>
    <row r="57" spans="2:39" x14ac:dyDescent="0.2">
      <c r="B57" s="22" t="s">
        <v>738</v>
      </c>
      <c r="C57" s="7" t="s">
        <v>118</v>
      </c>
      <c r="AI57" s="123"/>
      <c r="AJ57" s="123">
        <v>-0.03</v>
      </c>
    </row>
    <row r="58" spans="2:39" x14ac:dyDescent="0.2">
      <c r="B58" s="18"/>
    </row>
    <row r="59" spans="2:39" x14ac:dyDescent="0.2">
      <c r="B59" s="18" t="s">
        <v>18</v>
      </c>
      <c r="C59" s="7" t="s">
        <v>123</v>
      </c>
      <c r="O59" s="277">
        <f>O48/O$53</f>
        <v>313.22488439263105</v>
      </c>
      <c r="P59" s="277">
        <f>P48/P$53</f>
        <v>517.09370690280912</v>
      </c>
      <c r="Q59" s="277">
        <f>Q48/Q$53</f>
        <v>577.97931644093899</v>
      </c>
      <c r="R59" s="277">
        <f>R48/R$53</f>
        <v>578.16127195479817</v>
      </c>
      <c r="S59" s="151">
        <f t="shared" ref="S59:AH59" si="16">S19/S$54</f>
        <v>497.98966339948419</v>
      </c>
      <c r="T59" s="151">
        <f t="shared" si="16"/>
        <v>557.18707774352742</v>
      </c>
      <c r="U59" s="151">
        <f t="shared" si="16"/>
        <v>698.74904080471515</v>
      </c>
      <c r="V59" s="151">
        <f t="shared" si="16"/>
        <v>623.82184664283568</v>
      </c>
      <c r="W59" s="151">
        <f t="shared" si="16"/>
        <v>538.4191695635119</v>
      </c>
      <c r="X59" s="151">
        <f t="shared" si="16"/>
        <v>566.19781739808946</v>
      </c>
      <c r="Y59" s="151">
        <f t="shared" si="16"/>
        <v>547.26343234104183</v>
      </c>
      <c r="Z59" s="151">
        <f t="shared" si="16"/>
        <v>592.04239804345809</v>
      </c>
      <c r="AA59" s="151">
        <f t="shared" si="16"/>
        <v>512.75082797806817</v>
      </c>
      <c r="AB59" s="151">
        <f t="shared" si="16"/>
        <v>583.02977466021503</v>
      </c>
      <c r="AC59" s="151">
        <f t="shared" si="16"/>
        <v>506.91828818754675</v>
      </c>
      <c r="AD59" s="151">
        <f t="shared" si="16"/>
        <v>575.75568967677737</v>
      </c>
      <c r="AE59" s="151">
        <f t="shared" si="16"/>
        <v>499.96131798696382</v>
      </c>
      <c r="AF59" s="151">
        <f t="shared" si="16"/>
        <v>529.53280416945699</v>
      </c>
      <c r="AG59" s="151">
        <f t="shared" si="16"/>
        <v>553.88678731412415</v>
      </c>
      <c r="AH59" s="151">
        <f t="shared" si="16"/>
        <v>530.38335270748439</v>
      </c>
      <c r="AI59" s="193"/>
      <c r="AJ59" s="193">
        <f>AF59*(1+AJ61)</f>
        <v>561.30477241962444</v>
      </c>
      <c r="AK59" s="26"/>
      <c r="AL59" s="26"/>
      <c r="AM59" s="151">
        <f>SUM(AC59:AF59)</f>
        <v>2112.168100020745</v>
      </c>
    </row>
    <row r="60" spans="2:39" x14ac:dyDescent="0.2">
      <c r="B60" s="22" t="s">
        <v>597</v>
      </c>
      <c r="C60" s="7" t="s">
        <v>118</v>
      </c>
      <c r="O60" s="26">
        <f>O59/O56</f>
        <v>0.10420711974110032</v>
      </c>
      <c r="P60" s="26">
        <f t="shared" ref="P60:AD60" si="17">P59/P56</f>
        <v>0.12580348943985309</v>
      </c>
      <c r="Q60" s="26">
        <f t="shared" si="17"/>
        <v>0.10656010656010655</v>
      </c>
      <c r="R60" s="26">
        <f t="shared" si="17"/>
        <v>0.10713090056913291</v>
      </c>
      <c r="S60" s="26">
        <f t="shared" si="17"/>
        <v>0.11386983741869343</v>
      </c>
      <c r="T60" s="26">
        <f t="shared" si="17"/>
        <v>0.1204518075106466</v>
      </c>
      <c r="U60" s="26">
        <f t="shared" si="17"/>
        <v>0.11206779727080425</v>
      </c>
      <c r="V60" s="26">
        <f t="shared" si="17"/>
        <v>9.9627235038135933E-2</v>
      </c>
      <c r="W60" s="26">
        <f t="shared" si="17"/>
        <v>0.11516539643833351</v>
      </c>
      <c r="X60" s="26">
        <f t="shared" si="17"/>
        <v>0.11975911125315769</v>
      </c>
      <c r="Y60" s="26">
        <f t="shared" si="17"/>
        <v>0.11072803637384009</v>
      </c>
      <c r="Z60" s="26">
        <f t="shared" si="17"/>
        <v>0.10333385286807759</v>
      </c>
      <c r="AA60" s="26">
        <f t="shared" si="17"/>
        <v>0.11152476932075285</v>
      </c>
      <c r="AB60" s="26">
        <f t="shared" si="17"/>
        <v>0.13160584577209827</v>
      </c>
      <c r="AC60" s="26">
        <f t="shared" si="17"/>
        <v>0.11334500564353435</v>
      </c>
      <c r="AD60" s="26">
        <f t="shared" si="17"/>
        <v>0.12413108242303873</v>
      </c>
      <c r="AE60" s="26">
        <f>AE59/AE56</f>
        <v>0.12914390133665232</v>
      </c>
      <c r="AF60" s="26">
        <f>AF59/AF56</f>
        <v>0.12802641232575201</v>
      </c>
      <c r="AG60" s="26">
        <f>AG59/AG56</f>
        <v>0.13822652757078988</v>
      </c>
      <c r="AH60" s="26">
        <f>AH59/AH56</f>
        <v>0.12110605530276512</v>
      </c>
      <c r="AI60" s="26"/>
    </row>
    <row r="61" spans="2:39" x14ac:dyDescent="0.2">
      <c r="B61" s="22" t="s">
        <v>738</v>
      </c>
      <c r="C61" s="7" t="s">
        <v>118</v>
      </c>
      <c r="AI61" s="123"/>
      <c r="AJ61" s="123">
        <v>0.06</v>
      </c>
    </row>
    <row r="62" spans="2:39" x14ac:dyDescent="0.2">
      <c r="B62" s="18"/>
    </row>
    <row r="63" spans="2:39" x14ac:dyDescent="0.2">
      <c r="B63" s="18"/>
    </row>
    <row r="64" spans="2:39" x14ac:dyDescent="0.2">
      <c r="B64" s="18" t="s">
        <v>116</v>
      </c>
      <c r="O64" s="151"/>
      <c r="S64" s="151">
        <f t="shared" ref="S64:AH64" si="18">S24/S$54</f>
        <v>192.48693846662803</v>
      </c>
      <c r="T64" s="151">
        <f t="shared" si="18"/>
        <v>170.2621381345777</v>
      </c>
      <c r="U64" s="151">
        <f t="shared" si="18"/>
        <v>251.87081124552267</v>
      </c>
      <c r="V64" s="151">
        <f t="shared" si="18"/>
        <v>192.43260995477007</v>
      </c>
      <c r="W64" s="151">
        <f t="shared" si="18"/>
        <v>194.63617268359167</v>
      </c>
      <c r="X64" s="151">
        <f t="shared" si="18"/>
        <v>201.25240018426734</v>
      </c>
      <c r="Y64" s="151">
        <f t="shared" si="18"/>
        <v>144.33198352104245</v>
      </c>
      <c r="Z64" s="151">
        <f t="shared" si="18"/>
        <v>154.70044935383029</v>
      </c>
      <c r="AA64" s="151">
        <f t="shared" si="18"/>
        <v>124.3116073414745</v>
      </c>
      <c r="AB64" s="151">
        <f t="shared" si="18"/>
        <v>161.0674475849583</v>
      </c>
      <c r="AC64" s="151">
        <f t="shared" si="18"/>
        <v>96.24335657129015</v>
      </c>
      <c r="AD64" s="151">
        <f t="shared" si="18"/>
        <v>153.53485058047397</v>
      </c>
      <c r="AE64" s="151">
        <f t="shared" si="18"/>
        <v>125.58702375960728</v>
      </c>
      <c r="AF64" s="151">
        <f t="shared" si="18"/>
        <v>112.27916191558687</v>
      </c>
      <c r="AG64" s="151">
        <f t="shared" si="18"/>
        <v>107.49285360274108</v>
      </c>
      <c r="AH64" s="151">
        <f t="shared" si="18"/>
        <v>101.17139097888432</v>
      </c>
      <c r="AI64" s="151"/>
      <c r="AK64" s="26"/>
      <c r="AL64" s="26"/>
      <c r="AM64" s="151">
        <f>SUM(AC64:AF64)</f>
        <v>487.64439282695827</v>
      </c>
    </row>
    <row r="66" spans="2:39" x14ac:dyDescent="0.2">
      <c r="S66" s="26"/>
      <c r="T66" s="26"/>
      <c r="U66" s="26"/>
      <c r="V66" s="26"/>
      <c r="W66" s="26"/>
      <c r="X66" s="26"/>
      <c r="Y66" s="26"/>
      <c r="Z66" s="26"/>
      <c r="AA66" s="26"/>
      <c r="AB66" s="26"/>
      <c r="AC66" s="26"/>
      <c r="AD66" s="26"/>
      <c r="AE66" s="26"/>
    </row>
    <row r="68" spans="2:39" x14ac:dyDescent="0.2">
      <c r="B68" s="22" t="s">
        <v>107</v>
      </c>
      <c r="S68" s="151">
        <f>S28/S$54</f>
        <v>229.22561942191533</v>
      </c>
      <c r="T68" s="151">
        <f t="shared" ref="T68:AH68" si="19">T28/T$54</f>
        <v>262.52149963207665</v>
      </c>
      <c r="U68" s="151">
        <f t="shared" si="19"/>
        <v>320.2258100318806</v>
      </c>
      <c r="V68" s="151">
        <f t="shared" si="19"/>
        <v>329.40090136615038</v>
      </c>
      <c r="W68" s="151">
        <f t="shared" si="19"/>
        <v>254.3253761508345</v>
      </c>
      <c r="X68" s="151">
        <f t="shared" si="19"/>
        <v>259.35331517586093</v>
      </c>
      <c r="Y68" s="151">
        <f t="shared" si="19"/>
        <v>276.72239866490116</v>
      </c>
      <c r="Z68" s="151">
        <f t="shared" si="19"/>
        <v>297.12643630490362</v>
      </c>
      <c r="AA68" s="151">
        <f t="shared" si="19"/>
        <v>273.17994650404523</v>
      </c>
      <c r="AB68" s="151">
        <f t="shared" si="19"/>
        <v>296.45760726565965</v>
      </c>
      <c r="AC68" s="151">
        <f t="shared" si="19"/>
        <v>277.97298814240355</v>
      </c>
      <c r="AD68" s="151">
        <f t="shared" si="19"/>
        <v>302.46365564353374</v>
      </c>
      <c r="AE68" s="151">
        <f t="shared" si="19"/>
        <v>264.12501311005718</v>
      </c>
      <c r="AF68" s="151">
        <f t="shared" si="19"/>
        <v>291.31890659179294</v>
      </c>
      <c r="AG68" s="151">
        <f t="shared" si="19"/>
        <v>309.0419541078806</v>
      </c>
      <c r="AH68" s="151">
        <f t="shared" si="19"/>
        <v>291.25097403012154</v>
      </c>
      <c r="AK68" s="26"/>
      <c r="AL68" s="26"/>
      <c r="AM68" s="151">
        <f>SUM(AC68:AF68)</f>
        <v>1135.8805634877874</v>
      </c>
    </row>
    <row r="69" spans="2:39" x14ac:dyDescent="0.2">
      <c r="B69" s="22" t="s">
        <v>726</v>
      </c>
      <c r="S69" s="151">
        <f t="shared" ref="S69:AH69" si="20">S29/S$54</f>
        <v>9.5593975581681825</v>
      </c>
      <c r="T69" s="151">
        <f t="shared" si="20"/>
        <v>10.961718657381661</v>
      </c>
      <c r="U69" s="151">
        <f t="shared" si="20"/>
        <v>8.9481494563820672</v>
      </c>
      <c r="V69" s="151">
        <f t="shared" si="20"/>
        <v>11.803361634283309</v>
      </c>
      <c r="W69" s="151">
        <f t="shared" si="20"/>
        <v>8.7198648026806005</v>
      </c>
      <c r="X69" s="151">
        <f t="shared" si="20"/>
        <v>11.562846436880903</v>
      </c>
      <c r="Y69" s="151">
        <f t="shared" si="20"/>
        <v>9.8296470954801727</v>
      </c>
      <c r="Z69" s="151">
        <f t="shared" si="20"/>
        <v>10.547446832013449</v>
      </c>
      <c r="AA69" s="151">
        <f t="shared" si="20"/>
        <v>14.327603171726212</v>
      </c>
      <c r="AB69" s="151">
        <f t="shared" si="20"/>
        <v>9.3793671362534514</v>
      </c>
      <c r="AC69" s="151">
        <f t="shared" si="20"/>
        <v>15.125631376713873</v>
      </c>
      <c r="AD69" s="151">
        <f t="shared" si="20"/>
        <v>9.2120910348284379</v>
      </c>
      <c r="AE69" s="151">
        <f t="shared" si="20"/>
        <v>13.330825441639652</v>
      </c>
      <c r="AF69" s="151">
        <f t="shared" si="20"/>
        <v>13.655573746490294</v>
      </c>
      <c r="AG69" s="151">
        <f t="shared" si="20"/>
        <v>11.943650400304564</v>
      </c>
      <c r="AH69" s="151">
        <f t="shared" si="20"/>
        <v>12.263198906531432</v>
      </c>
      <c r="AK69" s="26"/>
      <c r="AL69" s="26"/>
      <c r="AM69" s="151">
        <f>SUM(AC69:AF69)</f>
        <v>51.324121599672253</v>
      </c>
    </row>
    <row r="70" spans="2:39" x14ac:dyDescent="0.2">
      <c r="B70" s="22" t="s">
        <v>727</v>
      </c>
      <c r="S70" s="151">
        <f t="shared" ref="S70:AH70" si="21">S30/S$54</f>
        <v>53.442749581498667</v>
      </c>
      <c r="T70" s="151">
        <f t="shared" si="21"/>
        <v>89.050682840210996</v>
      </c>
      <c r="U70" s="151">
        <f t="shared" si="21"/>
        <v>89.084772683893078</v>
      </c>
      <c r="V70" s="151">
        <f t="shared" si="21"/>
        <v>77.565948122300043</v>
      </c>
      <c r="W70" s="151">
        <f t="shared" si="21"/>
        <v>63.928091017230635</v>
      </c>
      <c r="X70" s="151">
        <f t="shared" si="21"/>
        <v>75.139103325530854</v>
      </c>
      <c r="Y70" s="151">
        <f t="shared" si="21"/>
        <v>91.555547854206566</v>
      </c>
      <c r="Z70" s="151">
        <f t="shared" si="21"/>
        <v>100.89830643672967</v>
      </c>
      <c r="AA70" s="151">
        <f t="shared" si="21"/>
        <v>76.795607128629385</v>
      </c>
      <c r="AB70" s="151">
        <f t="shared" si="21"/>
        <v>84.749974713092215</v>
      </c>
      <c r="AC70" s="151">
        <f t="shared" si="21"/>
        <v>89.109398054647514</v>
      </c>
      <c r="AD70" s="151">
        <f t="shared" si="21"/>
        <v>89.050213336674901</v>
      </c>
      <c r="AE70" s="151">
        <f t="shared" si="21"/>
        <v>71.318522251188597</v>
      </c>
      <c r="AF70" s="151">
        <f t="shared" si="21"/>
        <v>84.968014422606274</v>
      </c>
      <c r="AG70" s="151">
        <f t="shared" si="21"/>
        <v>89.577378002284235</v>
      </c>
      <c r="AH70" s="151">
        <f t="shared" si="21"/>
        <v>91.973991798985736</v>
      </c>
      <c r="AK70" s="26"/>
      <c r="AL70" s="26"/>
      <c r="AM70" s="151">
        <f>SUM(AC70:AF70)</f>
        <v>334.44614806511731</v>
      </c>
    </row>
    <row r="71" spans="2:39" x14ac:dyDescent="0.2">
      <c r="B71" s="22" t="s">
        <v>728</v>
      </c>
      <c r="S71" s="151">
        <f t="shared" ref="S71:AH71" si="22">S31/S$54</f>
        <v>13.274958371273977</v>
      </c>
      <c r="T71" s="151">
        <f t="shared" si="22"/>
        <v>24.391038479280343</v>
      </c>
      <c r="U71" s="151">
        <f t="shared" si="22"/>
        <v>28.619497387036692</v>
      </c>
      <c r="V71" s="151">
        <f t="shared" si="22"/>
        <v>12.619025565331988</v>
      </c>
      <c r="W71" s="151">
        <f t="shared" si="22"/>
        <v>16.809664909174487</v>
      </c>
      <c r="X71" s="151">
        <f t="shared" si="22"/>
        <v>18.890152275549436</v>
      </c>
      <c r="Y71" s="151">
        <f t="shared" si="22"/>
        <v>24.823855205411405</v>
      </c>
      <c r="Z71" s="151">
        <f t="shared" si="22"/>
        <v>28.769759115981024</v>
      </c>
      <c r="AA71" s="151">
        <f t="shared" si="22"/>
        <v>24.136063832192857</v>
      </c>
      <c r="AB71" s="151">
        <f t="shared" si="22"/>
        <v>31.375377960251349</v>
      </c>
      <c r="AC71" s="151">
        <f t="shared" si="22"/>
        <v>28.466914042491624</v>
      </c>
      <c r="AD71" s="151">
        <f t="shared" si="22"/>
        <v>21.494879081266355</v>
      </c>
      <c r="AE71" s="151">
        <f t="shared" si="22"/>
        <v>25.599933424471104</v>
      </c>
      <c r="AF71" s="151">
        <f t="shared" si="22"/>
        <v>27.311147492980588</v>
      </c>
      <c r="AG71" s="151">
        <f t="shared" si="22"/>
        <v>35.830951200913688</v>
      </c>
      <c r="AH71" s="151">
        <f t="shared" si="22"/>
        <v>32.190897129645009</v>
      </c>
      <c r="AK71" s="26"/>
      <c r="AL71" s="26"/>
      <c r="AM71" s="151">
        <f>SUM(AC71:AF71)</f>
        <v>102.87287404120966</v>
      </c>
    </row>
    <row r="73" spans="2:39" x14ac:dyDescent="0.2">
      <c r="B73" s="22" t="s">
        <v>107</v>
      </c>
      <c r="S73" s="26">
        <f>S68/S$59</f>
        <v>0.46030196260927603</v>
      </c>
      <c r="T73" s="26">
        <f t="shared" ref="T73:AH73" si="23">T68/T$59</f>
        <v>0.47115503951603666</v>
      </c>
      <c r="U73" s="26">
        <f t="shared" si="23"/>
        <v>0.45828443594440166</v>
      </c>
      <c r="V73" s="26">
        <f t="shared" si="23"/>
        <v>0.52803681554093806</v>
      </c>
      <c r="W73" s="26">
        <f t="shared" si="23"/>
        <v>0.47235572306426638</v>
      </c>
      <c r="X73" s="26">
        <f t="shared" si="23"/>
        <v>0.4580613121535782</v>
      </c>
      <c r="Y73" s="26">
        <f t="shared" si="23"/>
        <v>0.50564752240280186</v>
      </c>
      <c r="Z73" s="26">
        <f t="shared" si="23"/>
        <v>0.5018668211716375</v>
      </c>
      <c r="AA73" s="26">
        <f t="shared" si="23"/>
        <v>0.53277329181754129</v>
      </c>
      <c r="AB73" s="26">
        <f t="shared" si="23"/>
        <v>0.50847764582594901</v>
      </c>
      <c r="AC73" s="26">
        <f t="shared" si="23"/>
        <v>0.54835857103573404</v>
      </c>
      <c r="AD73" s="26">
        <f t="shared" si="23"/>
        <v>0.52533333333333343</v>
      </c>
      <c r="AE73" s="26">
        <f t="shared" si="23"/>
        <v>0.52829089693083831</v>
      </c>
      <c r="AF73" s="26">
        <f t="shared" si="23"/>
        <v>0.55014326647564471</v>
      </c>
      <c r="AG73" s="26">
        <f t="shared" si="23"/>
        <v>0.55795148247978443</v>
      </c>
      <c r="AH73" s="26">
        <f t="shared" si="23"/>
        <v>0.54913294797687873</v>
      </c>
    </row>
    <row r="74" spans="2:39" x14ac:dyDescent="0.2">
      <c r="B74" s="22" t="s">
        <v>726</v>
      </c>
      <c r="S74" s="26">
        <f t="shared" ref="S74:AH74" si="24">S69/S$59</f>
        <v>1.9195975862052569E-2</v>
      </c>
      <c r="T74" s="26">
        <f t="shared" si="24"/>
        <v>1.9673318164114582E-2</v>
      </c>
      <c r="U74" s="26">
        <f t="shared" si="24"/>
        <v>1.2805955978239227E-2</v>
      </c>
      <c r="V74" s="26">
        <f t="shared" si="24"/>
        <v>1.8921045644368448E-2</v>
      </c>
      <c r="W74" s="26">
        <f t="shared" si="24"/>
        <v>1.6195308962995616E-2</v>
      </c>
      <c r="X74" s="26">
        <f t="shared" si="24"/>
        <v>2.042191983363149E-2</v>
      </c>
      <c r="Y74" s="26">
        <f t="shared" si="24"/>
        <v>1.7961454236822761E-2</v>
      </c>
      <c r="Z74" s="26">
        <f t="shared" si="24"/>
        <v>1.7815357256287627E-2</v>
      </c>
      <c r="AA74" s="26">
        <f t="shared" si="24"/>
        <v>2.7942623180589082E-2</v>
      </c>
      <c r="AB74" s="26">
        <f t="shared" si="24"/>
        <v>1.6087286694268177E-2</v>
      </c>
      <c r="AC74" s="26">
        <f t="shared" si="24"/>
        <v>2.9838401433088121E-2</v>
      </c>
      <c r="AD74" s="26">
        <f t="shared" si="24"/>
        <v>1.6E-2</v>
      </c>
      <c r="AE74" s="26">
        <f t="shared" si="24"/>
        <v>2.6663713695520831E-2</v>
      </c>
      <c r="AF74" s="26">
        <f t="shared" si="24"/>
        <v>2.5787965616045842E-2</v>
      </c>
      <c r="AG74" s="26">
        <f t="shared" si="24"/>
        <v>2.15633423180593E-2</v>
      </c>
      <c r="AH74" s="26">
        <f t="shared" si="24"/>
        <v>2.3121387283236997E-2</v>
      </c>
    </row>
    <row r="75" spans="2:39" x14ac:dyDescent="0.2">
      <c r="B75" s="22" t="s">
        <v>727</v>
      </c>
      <c r="S75" s="26">
        <f t="shared" ref="S75:AH75" si="25">S70/S$59</f>
        <v>0.10731698569138216</v>
      </c>
      <c r="T75" s="26">
        <f t="shared" si="25"/>
        <v>0.15982187383247412</v>
      </c>
      <c r="U75" s="26">
        <f t="shared" si="25"/>
        <v>0.12749179960418763</v>
      </c>
      <c r="V75" s="26">
        <f t="shared" si="25"/>
        <v>0.12433990335498753</v>
      </c>
      <c r="W75" s="26">
        <f t="shared" si="25"/>
        <v>0.11873294011625951</v>
      </c>
      <c r="X75" s="26">
        <f t="shared" si="25"/>
        <v>0.13270821789957751</v>
      </c>
      <c r="Y75" s="26">
        <f t="shared" si="25"/>
        <v>0.16729703181986272</v>
      </c>
      <c r="Z75" s="26">
        <f t="shared" si="25"/>
        <v>0.17042412295161902</v>
      </c>
      <c r="AA75" s="26">
        <f t="shared" si="25"/>
        <v>0.149771785706242</v>
      </c>
      <c r="AB75" s="26">
        <f t="shared" si="25"/>
        <v>0.1453613149731226</v>
      </c>
      <c r="AC75" s="26">
        <f t="shared" si="25"/>
        <v>0.17578651260196659</v>
      </c>
      <c r="AD75" s="26">
        <f t="shared" si="25"/>
        <v>0.15466666666666667</v>
      </c>
      <c r="AE75" s="26">
        <f t="shared" si="25"/>
        <v>0.14264808033218318</v>
      </c>
      <c r="AF75" s="26">
        <f t="shared" si="25"/>
        <v>0.16045845272206302</v>
      </c>
      <c r="AG75" s="26">
        <f t="shared" si="25"/>
        <v>0.16172506738544476</v>
      </c>
      <c r="AH75" s="26">
        <f t="shared" si="25"/>
        <v>0.17341040462427745</v>
      </c>
    </row>
    <row r="76" spans="2:39" x14ac:dyDescent="0.2">
      <c r="B76" s="22" t="s">
        <v>728</v>
      </c>
      <c r="S76" s="26">
        <f t="shared" ref="S76:AH76" si="26">S71/S$59</f>
        <v>2.665709621491659E-2</v>
      </c>
      <c r="T76" s="26">
        <f t="shared" si="26"/>
        <v>4.3775312554013519E-2</v>
      </c>
      <c r="U76" s="26">
        <f t="shared" si="26"/>
        <v>4.095819201995185E-2</v>
      </c>
      <c r="V76" s="26">
        <f t="shared" si="26"/>
        <v>2.0228572681836379E-2</v>
      </c>
      <c r="W76" s="26">
        <f t="shared" si="26"/>
        <v>3.1220405697668274E-2</v>
      </c>
      <c r="X76" s="26">
        <f t="shared" si="26"/>
        <v>3.3363166891665907E-2</v>
      </c>
      <c r="Y76" s="26">
        <f t="shared" si="26"/>
        <v>4.5359974261795291E-2</v>
      </c>
      <c r="Z76" s="26">
        <f t="shared" si="26"/>
        <v>4.8594085847664607E-2</v>
      </c>
      <c r="AA76" s="26">
        <f t="shared" si="26"/>
        <v>4.707172083440346E-2</v>
      </c>
      <c r="AB76" s="26">
        <f t="shared" si="26"/>
        <v>5.3814366476457674E-2</v>
      </c>
      <c r="AC76" s="26">
        <f t="shared" si="26"/>
        <v>5.615681009314779E-2</v>
      </c>
      <c r="AD76" s="26">
        <f t="shared" si="26"/>
        <v>3.7333333333333329E-2</v>
      </c>
      <c r="AE76" s="26">
        <f t="shared" si="26"/>
        <v>5.1203828183240784E-2</v>
      </c>
      <c r="AF76" s="26">
        <f t="shared" si="26"/>
        <v>5.1575931232091685E-2</v>
      </c>
      <c r="AG76" s="26">
        <f t="shared" si="26"/>
        <v>6.4690026954177887E-2</v>
      </c>
      <c r="AH76" s="26">
        <f t="shared" si="26"/>
        <v>6.0693641618497114E-2</v>
      </c>
    </row>
    <row r="77" spans="2:39" x14ac:dyDescent="0.2">
      <c r="B77" s="22"/>
      <c r="S77" s="26"/>
      <c r="T77" s="26"/>
      <c r="U77" s="26"/>
      <c r="V77" s="26"/>
      <c r="W77" s="26"/>
      <c r="X77" s="26"/>
      <c r="Y77" s="26"/>
      <c r="Z77" s="26"/>
      <c r="AA77" s="26"/>
      <c r="AB77" s="26"/>
      <c r="AC77" s="26"/>
      <c r="AD77" s="26"/>
      <c r="AE77" s="26"/>
      <c r="AF77" s="26"/>
      <c r="AG77" s="26"/>
      <c r="AH77" s="26"/>
    </row>
    <row r="78" spans="2:39" x14ac:dyDescent="0.2">
      <c r="B78" s="22" t="s">
        <v>107</v>
      </c>
      <c r="S78" s="26">
        <f>S68/S$56</f>
        <v>5.2414509645823767E-2</v>
      </c>
      <c r="T78" s="26">
        <f t="shared" ref="T78:AH78" si="27">T68/T$56</f>
        <v>5.6751476127456742E-2</v>
      </c>
      <c r="U78" s="26">
        <f t="shared" si="27"/>
        <v>5.1358927259782083E-2</v>
      </c>
      <c r="V78" s="26">
        <f t="shared" si="27"/>
        <v>5.260684793068586E-2</v>
      </c>
      <c r="W78" s="26">
        <f t="shared" si="27"/>
        <v>5.4399034106611913E-2</v>
      </c>
      <c r="X78" s="26">
        <f t="shared" si="27"/>
        <v>5.4857015642967771E-2</v>
      </c>
      <c r="Y78" s="26">
        <f t="shared" si="27"/>
        <v>5.598935725295956E-2</v>
      </c>
      <c r="Z78" s="26">
        <f t="shared" si="27"/>
        <v>5.1859832258319798E-2</v>
      </c>
      <c r="AA78" s="26">
        <f t="shared" si="27"/>
        <v>5.9417418470209434E-2</v>
      </c>
      <c r="AB78" s="26">
        <f t="shared" si="27"/>
        <v>6.6918630635129442E-2</v>
      </c>
      <c r="AC78" s="26">
        <f t="shared" si="27"/>
        <v>6.2153705328725703E-2</v>
      </c>
      <c r="AD78" s="26">
        <f t="shared" si="27"/>
        <v>6.5210195299569687E-2</v>
      </c>
      <c r="AE78" s="26">
        <f t="shared" si="27"/>
        <v>6.8225547470287737E-2</v>
      </c>
      <c r="AF78" s="26">
        <f t="shared" si="27"/>
        <v>7.0432868672046942E-2</v>
      </c>
      <c r="AG78" s="26">
        <f t="shared" si="27"/>
        <v>7.7123695976154996E-2</v>
      </c>
      <c r="AH78" s="26">
        <f t="shared" si="27"/>
        <v>6.6503325166258315E-2</v>
      </c>
    </row>
    <row r="79" spans="2:39" x14ac:dyDescent="0.2">
      <c r="B79" s="22" t="s">
        <v>726</v>
      </c>
      <c r="S79" s="26">
        <f t="shared" ref="S79:AH79" si="28">S69/S$56</f>
        <v>2.1858426505050898E-3</v>
      </c>
      <c r="T79" s="26">
        <f t="shared" si="28"/>
        <v>2.369686732599637E-3</v>
      </c>
      <c r="U79" s="26">
        <f t="shared" si="28"/>
        <v>1.4351352784281572E-3</v>
      </c>
      <c r="V79" s="26">
        <f t="shared" si="28"/>
        <v>1.8850514615787936E-3</v>
      </c>
      <c r="W79" s="26">
        <f t="shared" si="28"/>
        <v>1.8651391771646859E-3</v>
      </c>
      <c r="X79" s="26">
        <f t="shared" si="28"/>
        <v>2.4457109693589415E-3</v>
      </c>
      <c r="Y79" s="26">
        <f t="shared" si="28"/>
        <v>1.988836558061975E-3</v>
      </c>
      <c r="Z79" s="26">
        <f t="shared" si="28"/>
        <v>1.8409295055134643E-3</v>
      </c>
      <c r="AA79" s="26">
        <f t="shared" si="28"/>
        <v>3.1162946044319185E-3</v>
      </c>
      <c r="AB79" s="26">
        <f t="shared" si="28"/>
        <v>2.1171809715773864E-3</v>
      </c>
      <c r="AC79" s="26">
        <f t="shared" si="28"/>
        <v>3.3820337788274166E-3</v>
      </c>
      <c r="AD79" s="26">
        <f t="shared" si="28"/>
        <v>1.9860973187686196E-3</v>
      </c>
      <c r="AE79" s="26">
        <f t="shared" si="28"/>
        <v>3.4434560107630872E-3</v>
      </c>
      <c r="AF79" s="26">
        <f t="shared" si="28"/>
        <v>3.3015407190022006E-3</v>
      </c>
      <c r="AG79" s="26">
        <f t="shared" si="28"/>
        <v>2.980625931445604E-3</v>
      </c>
      <c r="AH79" s="26">
        <f t="shared" si="28"/>
        <v>2.80014000700035E-3</v>
      </c>
    </row>
    <row r="80" spans="2:39" x14ac:dyDescent="0.2">
      <c r="B80" s="22" t="s">
        <v>727</v>
      </c>
      <c r="S80" s="26">
        <f t="shared" ref="S80:AH80" si="29">S70/S$56</f>
        <v>1.2220167712941937E-2</v>
      </c>
      <c r="T80" s="26">
        <f t="shared" si="29"/>
        <v>1.9250833582860023E-2</v>
      </c>
      <c r="U80" s="26">
        <f t="shared" si="29"/>
        <v>1.4287725151732102E-2</v>
      </c>
      <c r="V80" s="26">
        <f t="shared" si="29"/>
        <v>1.2387640776166449E-2</v>
      </c>
      <c r="W80" s="26">
        <f t="shared" si="29"/>
        <v>1.3673926118777938E-2</v>
      </c>
      <c r="X80" s="26">
        <f t="shared" si="29"/>
        <v>1.5893018231643796E-2</v>
      </c>
      <c r="Y80" s="26">
        <f t="shared" si="29"/>
        <v>1.8524471824585241E-2</v>
      </c>
      <c r="Z80" s="26">
        <f t="shared" si="29"/>
        <v>1.7610581246253764E-2</v>
      </c>
      <c r="AA80" s="26">
        <f t="shared" si="29"/>
        <v>1.6703263851645868E-2</v>
      </c>
      <c r="AB80" s="26">
        <f t="shared" si="29"/>
        <v>1.9130398799582171E-2</v>
      </c>
      <c r="AC80" s="26">
        <f t="shared" si="29"/>
        <v>1.9924523262927124E-2</v>
      </c>
      <c r="AD80" s="26">
        <f t="shared" si="29"/>
        <v>1.9198940748096659E-2</v>
      </c>
      <c r="AE80" s="26">
        <f t="shared" si="29"/>
        <v>1.8422129612282317E-2</v>
      </c>
      <c r="AF80" s="26">
        <f t="shared" si="29"/>
        <v>2.0542920029347028E-2</v>
      </c>
      <c r="AG80" s="26">
        <f t="shared" si="29"/>
        <v>2.2354694485842031E-2</v>
      </c>
      <c r="AH80" s="26">
        <f t="shared" si="29"/>
        <v>2.1001050052502624E-2</v>
      </c>
    </row>
    <row r="81" spans="2:34" x14ac:dyDescent="0.2">
      <c r="B81" s="22" t="s">
        <v>728</v>
      </c>
      <c r="S81" s="26">
        <f t="shared" ref="S81:AH81" si="30">S71/S$56</f>
        <v>3.0354392120470202E-3</v>
      </c>
      <c r="T81" s="26">
        <f t="shared" si="30"/>
        <v>5.272815521474428E-3</v>
      </c>
      <c r="U81" s="26">
        <f t="shared" si="30"/>
        <v>4.5900943598706362E-3</v>
      </c>
      <c r="V81" s="26">
        <f t="shared" si="30"/>
        <v>2.0153167650593285E-3</v>
      </c>
      <c r="W81" s="26">
        <f t="shared" si="30"/>
        <v>3.5955103991375729E-3</v>
      </c>
      <c r="X81" s="26">
        <f t="shared" si="30"/>
        <v>3.9955432155366847E-3</v>
      </c>
      <c r="Y81" s="26">
        <f t="shared" si="30"/>
        <v>5.0226208799765189E-3</v>
      </c>
      <c r="Z81" s="26">
        <f t="shared" si="30"/>
        <v>5.0214141172413062E-3</v>
      </c>
      <c r="AA81" s="26">
        <f t="shared" si="30"/>
        <v>5.2496628075877219E-3</v>
      </c>
      <c r="AB81" s="26">
        <f t="shared" si="30"/>
        <v>7.0822852148238642E-3</v>
      </c>
      <c r="AC81" s="26">
        <f t="shared" si="30"/>
        <v>6.3650939569307226E-3</v>
      </c>
      <c r="AD81" s="26">
        <f t="shared" si="30"/>
        <v>4.6342270771267792E-3</v>
      </c>
      <c r="AE81" s="26">
        <f t="shared" si="30"/>
        <v>6.6126621349553447E-3</v>
      </c>
      <c r="AF81" s="26">
        <f t="shared" si="30"/>
        <v>6.6030814380044012E-3</v>
      </c>
      <c r="AG81" s="26">
        <f t="shared" si="30"/>
        <v>8.9418777943368107E-3</v>
      </c>
      <c r="AH81" s="26">
        <f t="shared" si="30"/>
        <v>7.3503675183759186E-3</v>
      </c>
    </row>
    <row r="82" spans="2:34" x14ac:dyDescent="0.2">
      <c r="B82" s="22"/>
      <c r="S82" s="26"/>
      <c r="T82" s="26"/>
      <c r="U82" s="26"/>
      <c r="V82" s="26"/>
      <c r="W82" s="26"/>
      <c r="X82" s="26"/>
      <c r="Y82" s="26"/>
      <c r="Z82" s="26"/>
      <c r="AA82" s="26"/>
      <c r="AB82" s="26"/>
      <c r="AC82" s="26"/>
      <c r="AD82" s="26"/>
      <c r="AE82" s="26"/>
      <c r="AF82" s="26"/>
      <c r="AG82" s="26"/>
      <c r="AH82" s="26"/>
    </row>
    <row r="83" spans="2:34" x14ac:dyDescent="0.2">
      <c r="B83" s="22"/>
      <c r="S83" s="151">
        <f t="shared" ref="S83:AG83" si="31">S69+S71</f>
        <v>22.834355929442161</v>
      </c>
      <c r="T83" s="151">
        <f t="shared" si="31"/>
        <v>35.352757136662007</v>
      </c>
      <c r="U83" s="151">
        <f t="shared" si="31"/>
        <v>37.567646843418757</v>
      </c>
      <c r="V83" s="151">
        <f t="shared" si="31"/>
        <v>24.422387199615297</v>
      </c>
      <c r="W83" s="151">
        <f t="shared" si="31"/>
        <v>25.529529711855087</v>
      </c>
      <c r="X83" s="151">
        <f t="shared" si="31"/>
        <v>30.45299871243034</v>
      </c>
      <c r="Y83" s="151">
        <f t="shared" si="31"/>
        <v>34.653502300891574</v>
      </c>
      <c r="Z83" s="151">
        <f t="shared" si="31"/>
        <v>39.317205947994474</v>
      </c>
      <c r="AA83" s="151">
        <f t="shared" si="31"/>
        <v>38.46366700391907</v>
      </c>
      <c r="AB83" s="151">
        <f t="shared" si="31"/>
        <v>40.754745096504799</v>
      </c>
      <c r="AC83" s="151">
        <f t="shared" si="31"/>
        <v>43.592545419205493</v>
      </c>
      <c r="AD83" s="151">
        <f t="shared" si="31"/>
        <v>30.706970116094794</v>
      </c>
      <c r="AE83" s="151">
        <f t="shared" si="31"/>
        <v>38.930758866110757</v>
      </c>
      <c r="AF83" s="151">
        <f t="shared" si="31"/>
        <v>40.966721239470886</v>
      </c>
      <c r="AG83" s="151">
        <f t="shared" si="31"/>
        <v>47.774601601218251</v>
      </c>
      <c r="AH83" s="151">
        <f>AH69+AH71</f>
        <v>44.454096036176438</v>
      </c>
    </row>
    <row r="84" spans="2:34" x14ac:dyDescent="0.2">
      <c r="B84" s="22"/>
      <c r="S84" s="26"/>
      <c r="T84" s="26"/>
      <c r="U84" s="26"/>
      <c r="V84" s="26"/>
      <c r="W84" s="26"/>
      <c r="X84" s="26"/>
      <c r="Y84" s="26"/>
      <c r="Z84" s="26"/>
      <c r="AA84" s="26"/>
      <c r="AB84" s="26"/>
      <c r="AC84" s="26"/>
      <c r="AD84" s="26"/>
      <c r="AE84" s="26"/>
      <c r="AF84" s="26"/>
      <c r="AG84" s="26"/>
      <c r="AH84" s="26"/>
    </row>
    <row r="85" spans="2:34" x14ac:dyDescent="0.2">
      <c r="B85" s="22"/>
      <c r="S85" s="26"/>
      <c r="T85" s="26"/>
      <c r="U85" s="26"/>
      <c r="V85" s="26"/>
      <c r="W85" s="26"/>
      <c r="X85" s="26"/>
      <c r="Y85" s="26"/>
      <c r="Z85" s="26"/>
      <c r="AA85" s="26"/>
      <c r="AB85" s="26"/>
      <c r="AC85" s="26"/>
      <c r="AD85" s="26"/>
      <c r="AE85" s="26"/>
      <c r="AF85" s="26"/>
      <c r="AG85" s="26"/>
      <c r="AH85" s="26"/>
    </row>
  </sheetData>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CB34C-73E3-42A5-B792-405C48AF89A9}">
  <sheetPr>
    <tabColor theme="3" tint="0.79998168889431442"/>
  </sheetPr>
  <dimension ref="B1:AM132"/>
  <sheetViews>
    <sheetView topLeftCell="A104" workbookViewId="0">
      <selection activeCell="B132" sqref="B132"/>
    </sheetView>
  </sheetViews>
  <sheetFormatPr defaultRowHeight="15" x14ac:dyDescent="0.25"/>
  <cols>
    <col min="2" max="2" width="32" bestFit="1" customWidth="1"/>
    <col min="3" max="3" width="8.7109375" customWidth="1"/>
    <col min="22" max="22" width="2.7109375" customWidth="1"/>
    <col min="24" max="24" width="10.85546875" bestFit="1" customWidth="1"/>
  </cols>
  <sheetData>
    <row r="1" spans="2:39" ht="9.9499999999999993" customHeight="1" x14ac:dyDescent="0.25"/>
    <row r="3" spans="2:39" s="12" customFormat="1" ht="11.25" x14ac:dyDescent="0.2">
      <c r="C3" s="15"/>
      <c r="D3" s="15" t="str">
        <f>IF(MONTH(D11)&gt;6,RIGHT(YEAR(D11),2)+1,RIGHT(YEAR(D11),2))</f>
        <v>17</v>
      </c>
      <c r="E3" s="15">
        <f t="shared" ref="E3:U3" si="0">IF(MONTH(E11)&gt;6,RIGHT(YEAR(E11),2)+1,RIGHT(YEAR(E11),2))</f>
        <v>18</v>
      </c>
      <c r="F3" s="15" t="str">
        <f t="shared" si="0"/>
        <v>18</v>
      </c>
      <c r="G3" s="15">
        <f t="shared" si="0"/>
        <v>19</v>
      </c>
      <c r="H3" s="15" t="str">
        <f t="shared" si="0"/>
        <v>19</v>
      </c>
      <c r="I3" s="15">
        <f t="shared" si="0"/>
        <v>20</v>
      </c>
      <c r="J3" s="15" t="str">
        <f t="shared" si="0"/>
        <v>20</v>
      </c>
      <c r="K3" s="15">
        <f t="shared" si="0"/>
        <v>21</v>
      </c>
      <c r="L3" s="15" t="str">
        <f t="shared" si="0"/>
        <v>21</v>
      </c>
      <c r="M3" s="15">
        <f t="shared" si="0"/>
        <v>22</v>
      </c>
      <c r="N3" s="15" t="str">
        <f t="shared" si="0"/>
        <v>22</v>
      </c>
      <c r="O3" s="15">
        <f t="shared" si="0"/>
        <v>23</v>
      </c>
      <c r="P3" s="15" t="str">
        <f t="shared" si="0"/>
        <v>23</v>
      </c>
      <c r="Q3" s="15">
        <f t="shared" si="0"/>
        <v>24</v>
      </c>
      <c r="R3" s="15" t="str">
        <f t="shared" si="0"/>
        <v>24</v>
      </c>
      <c r="S3" s="15">
        <f t="shared" si="0"/>
        <v>25</v>
      </c>
      <c r="T3" s="15" t="str">
        <f t="shared" si="0"/>
        <v>25</v>
      </c>
      <c r="U3" s="15">
        <f t="shared" si="0"/>
        <v>26</v>
      </c>
      <c r="V3" s="15"/>
      <c r="W3" s="15"/>
      <c r="X3" s="15"/>
      <c r="Y3" s="15"/>
      <c r="Z3" s="15"/>
      <c r="AA3" s="15"/>
      <c r="AB3" s="15"/>
      <c r="AC3" s="15"/>
      <c r="AD3" s="15"/>
      <c r="AE3" s="15"/>
      <c r="AF3" s="15"/>
      <c r="AG3" s="15"/>
      <c r="AH3" s="15"/>
      <c r="AI3" s="15"/>
      <c r="AJ3" s="15"/>
      <c r="AK3" s="15"/>
      <c r="AL3" s="15"/>
      <c r="AM3" s="15"/>
    </row>
    <row r="4" spans="2:39" s="12" customFormat="1" ht="11.25" x14ac:dyDescent="0.2">
      <c r="C4" s="15"/>
      <c r="D4" s="15" t="str">
        <f>RIGHT(YEAR(D$11),2)</f>
        <v>17</v>
      </c>
      <c r="E4" s="15" t="str">
        <f t="shared" ref="E4:U4" si="1">RIGHT(YEAR(E$11),2)</f>
        <v>17</v>
      </c>
      <c r="F4" s="15" t="str">
        <f t="shared" si="1"/>
        <v>18</v>
      </c>
      <c r="G4" s="15" t="str">
        <f t="shared" si="1"/>
        <v>18</v>
      </c>
      <c r="H4" s="15" t="str">
        <f t="shared" si="1"/>
        <v>19</v>
      </c>
      <c r="I4" s="15" t="str">
        <f t="shared" si="1"/>
        <v>19</v>
      </c>
      <c r="J4" s="15" t="str">
        <f t="shared" si="1"/>
        <v>20</v>
      </c>
      <c r="K4" s="15" t="str">
        <f t="shared" si="1"/>
        <v>20</v>
      </c>
      <c r="L4" s="15" t="str">
        <f t="shared" si="1"/>
        <v>21</v>
      </c>
      <c r="M4" s="15" t="str">
        <f t="shared" si="1"/>
        <v>21</v>
      </c>
      <c r="N4" s="15" t="str">
        <f t="shared" si="1"/>
        <v>22</v>
      </c>
      <c r="O4" s="15" t="str">
        <f t="shared" si="1"/>
        <v>22</v>
      </c>
      <c r="P4" s="15" t="str">
        <f t="shared" si="1"/>
        <v>23</v>
      </c>
      <c r="Q4" s="15" t="str">
        <f t="shared" si="1"/>
        <v>23</v>
      </c>
      <c r="R4" s="15" t="str">
        <f t="shared" si="1"/>
        <v>24</v>
      </c>
      <c r="S4" s="15" t="str">
        <f t="shared" si="1"/>
        <v>24</v>
      </c>
      <c r="T4" s="15" t="str">
        <f t="shared" si="1"/>
        <v>25</v>
      </c>
      <c r="U4" s="15" t="str">
        <f t="shared" si="1"/>
        <v>25</v>
      </c>
      <c r="V4" s="15"/>
      <c r="W4" s="15"/>
      <c r="X4" s="15"/>
      <c r="Y4" s="15"/>
      <c r="Z4" s="15"/>
      <c r="AA4" s="15"/>
      <c r="AB4" s="15"/>
      <c r="AC4" s="15"/>
      <c r="AD4" s="15"/>
      <c r="AE4" s="15"/>
      <c r="AF4" s="15"/>
      <c r="AG4" s="15"/>
      <c r="AH4" s="15"/>
      <c r="AI4" s="15"/>
      <c r="AJ4" s="15"/>
      <c r="AK4" s="15"/>
      <c r="AL4" s="15"/>
      <c r="AM4" s="15"/>
    </row>
    <row r="5" spans="2:39" s="12" customFormat="1" ht="11.25" x14ac:dyDescent="0.2">
      <c r="C5" s="15"/>
      <c r="D5" s="15" t="str">
        <f>"FY"&amp;TEXT(D$3,"00")</f>
        <v>FY17</v>
      </c>
      <c r="E5" s="15" t="str">
        <f t="shared" ref="E5:U5" si="2">"FY"&amp;TEXT(E$3,"00")</f>
        <v>FY18</v>
      </c>
      <c r="F5" s="15" t="str">
        <f t="shared" si="2"/>
        <v>FY18</v>
      </c>
      <c r="G5" s="15" t="str">
        <f t="shared" si="2"/>
        <v>FY19</v>
      </c>
      <c r="H5" s="15" t="str">
        <f t="shared" si="2"/>
        <v>FY19</v>
      </c>
      <c r="I5" s="15" t="str">
        <f t="shared" si="2"/>
        <v>FY20</v>
      </c>
      <c r="J5" s="15" t="str">
        <f t="shared" si="2"/>
        <v>FY20</v>
      </c>
      <c r="K5" s="15" t="str">
        <f t="shared" si="2"/>
        <v>FY21</v>
      </c>
      <c r="L5" s="15" t="str">
        <f t="shared" si="2"/>
        <v>FY21</v>
      </c>
      <c r="M5" s="15" t="str">
        <f t="shared" si="2"/>
        <v>FY22</v>
      </c>
      <c r="N5" s="15" t="str">
        <f t="shared" si="2"/>
        <v>FY22</v>
      </c>
      <c r="O5" s="15" t="str">
        <f t="shared" si="2"/>
        <v>FY23</v>
      </c>
      <c r="P5" s="15" t="str">
        <f t="shared" si="2"/>
        <v>FY23</v>
      </c>
      <c r="Q5" s="15" t="str">
        <f t="shared" si="2"/>
        <v>FY24</v>
      </c>
      <c r="R5" s="15" t="str">
        <f t="shared" si="2"/>
        <v>FY24</v>
      </c>
      <c r="S5" s="15" t="str">
        <f t="shared" si="2"/>
        <v>FY25</v>
      </c>
      <c r="T5" s="15" t="str">
        <f t="shared" si="2"/>
        <v>FY25</v>
      </c>
      <c r="U5" s="15" t="str">
        <f t="shared" si="2"/>
        <v>FY26</v>
      </c>
      <c r="V5" s="15"/>
      <c r="W5" s="15"/>
      <c r="X5" s="15"/>
      <c r="Y5" s="15"/>
      <c r="Z5" s="15"/>
      <c r="AA5" s="15"/>
      <c r="AB5" s="15"/>
      <c r="AC5" s="15"/>
      <c r="AD5" s="15"/>
      <c r="AE5" s="15"/>
      <c r="AF5" s="15"/>
      <c r="AG5" s="15"/>
      <c r="AH5" s="15"/>
      <c r="AI5" s="15"/>
      <c r="AJ5" s="15"/>
      <c r="AK5" s="15"/>
      <c r="AL5" s="15"/>
      <c r="AM5" s="15"/>
    </row>
    <row r="6" spans="2:39" s="12" customFormat="1" ht="11.25" x14ac:dyDescent="0.2">
      <c r="C6" s="15"/>
      <c r="D6" s="15" t="str">
        <f>"CY"&amp;TEXT(D$4,"00")</f>
        <v>CY17</v>
      </c>
      <c r="E6" s="15" t="str">
        <f t="shared" ref="E6:U6" si="3">"CY"&amp;TEXT(E$4,"00")</f>
        <v>CY17</v>
      </c>
      <c r="F6" s="15" t="str">
        <f t="shared" si="3"/>
        <v>CY18</v>
      </c>
      <c r="G6" s="15" t="str">
        <f t="shared" si="3"/>
        <v>CY18</v>
      </c>
      <c r="H6" s="15" t="str">
        <f t="shared" si="3"/>
        <v>CY19</v>
      </c>
      <c r="I6" s="15" t="str">
        <f t="shared" si="3"/>
        <v>CY19</v>
      </c>
      <c r="J6" s="15" t="str">
        <f t="shared" si="3"/>
        <v>CY20</v>
      </c>
      <c r="K6" s="15" t="str">
        <f t="shared" si="3"/>
        <v>CY20</v>
      </c>
      <c r="L6" s="15" t="str">
        <f t="shared" si="3"/>
        <v>CY21</v>
      </c>
      <c r="M6" s="15" t="str">
        <f t="shared" si="3"/>
        <v>CY21</v>
      </c>
      <c r="N6" s="15" t="str">
        <f t="shared" si="3"/>
        <v>CY22</v>
      </c>
      <c r="O6" s="15" t="str">
        <f t="shared" si="3"/>
        <v>CY22</v>
      </c>
      <c r="P6" s="15" t="str">
        <f t="shared" si="3"/>
        <v>CY23</v>
      </c>
      <c r="Q6" s="15" t="str">
        <f t="shared" si="3"/>
        <v>CY23</v>
      </c>
      <c r="R6" s="15" t="str">
        <f t="shared" si="3"/>
        <v>CY24</v>
      </c>
      <c r="S6" s="15" t="str">
        <f t="shared" si="3"/>
        <v>CY24</v>
      </c>
      <c r="T6" s="15" t="str">
        <f t="shared" si="3"/>
        <v>CY25</v>
      </c>
      <c r="U6" s="15" t="str">
        <f t="shared" si="3"/>
        <v>CY25</v>
      </c>
      <c r="V6" s="15"/>
      <c r="W6" s="437"/>
      <c r="X6" s="437"/>
      <c r="Y6" s="437"/>
      <c r="Z6" s="437"/>
      <c r="AA6" s="437"/>
      <c r="AB6" s="437"/>
      <c r="AC6" s="437"/>
      <c r="AD6" s="437"/>
      <c r="AE6" s="437"/>
      <c r="AF6" s="15"/>
      <c r="AG6" s="15"/>
      <c r="AH6" s="15"/>
      <c r="AI6" s="15"/>
      <c r="AJ6" s="15"/>
      <c r="AK6" s="15"/>
      <c r="AL6" s="15"/>
      <c r="AM6" s="15"/>
    </row>
    <row r="7" spans="2:39" s="12" customFormat="1" ht="11.25" x14ac:dyDescent="0.2">
      <c r="C7" s="175"/>
      <c r="D7" s="175">
        <f>D11-EOMONTH(D11,-6)</f>
        <v>181</v>
      </c>
      <c r="E7" s="175">
        <f t="shared" ref="E7:U7" si="4">E11-EOMONTH(E11,-6)</f>
        <v>184</v>
      </c>
      <c r="F7" s="175">
        <f t="shared" si="4"/>
        <v>181</v>
      </c>
      <c r="G7" s="175">
        <f t="shared" si="4"/>
        <v>184</v>
      </c>
      <c r="H7" s="175">
        <f t="shared" si="4"/>
        <v>181</v>
      </c>
      <c r="I7" s="175">
        <f t="shared" si="4"/>
        <v>184</v>
      </c>
      <c r="J7" s="175">
        <f t="shared" si="4"/>
        <v>182</v>
      </c>
      <c r="K7" s="175">
        <f t="shared" si="4"/>
        <v>184</v>
      </c>
      <c r="L7" s="175">
        <f t="shared" si="4"/>
        <v>181</v>
      </c>
      <c r="M7" s="175">
        <f t="shared" si="4"/>
        <v>184</v>
      </c>
      <c r="N7" s="175">
        <f t="shared" si="4"/>
        <v>181</v>
      </c>
      <c r="O7" s="175">
        <f t="shared" si="4"/>
        <v>184</v>
      </c>
      <c r="P7" s="175">
        <f t="shared" si="4"/>
        <v>181</v>
      </c>
      <c r="Q7" s="175">
        <f t="shared" si="4"/>
        <v>184</v>
      </c>
      <c r="R7" s="175">
        <f t="shared" si="4"/>
        <v>182</v>
      </c>
      <c r="S7" s="175">
        <f t="shared" si="4"/>
        <v>184</v>
      </c>
      <c r="T7" s="175">
        <f t="shared" si="4"/>
        <v>181</v>
      </c>
      <c r="U7" s="175">
        <f t="shared" si="4"/>
        <v>184</v>
      </c>
      <c r="V7" s="175"/>
      <c r="W7" s="175"/>
      <c r="X7" s="175"/>
      <c r="Y7" s="175"/>
      <c r="Z7" s="175"/>
      <c r="AA7" s="175"/>
      <c r="AB7" s="175"/>
      <c r="AC7" s="175"/>
      <c r="AD7" s="175"/>
      <c r="AE7" s="175"/>
      <c r="AF7" s="175"/>
      <c r="AG7" s="175"/>
      <c r="AH7" s="175"/>
      <c r="AI7" s="175"/>
      <c r="AJ7" s="175"/>
      <c r="AK7" s="175"/>
      <c r="AL7" s="175"/>
      <c r="AM7" s="175"/>
    </row>
    <row r="8" spans="2:39" x14ac:dyDescent="0.25">
      <c r="W8" s="161" t="s">
        <v>511</v>
      </c>
      <c r="X8" s="161" t="s">
        <v>508</v>
      </c>
      <c r="Y8" s="161" t="s">
        <v>507</v>
      </c>
      <c r="Z8" s="161" t="s">
        <v>506</v>
      </c>
      <c r="AA8" s="161" t="s">
        <v>505</v>
      </c>
      <c r="AB8" s="161" t="s">
        <v>504</v>
      </c>
      <c r="AC8" t="s">
        <v>576</v>
      </c>
    </row>
    <row r="9" spans="2:39" x14ac:dyDescent="0.25">
      <c r="Z9" t="s">
        <v>510</v>
      </c>
      <c r="AA9" t="s">
        <v>509</v>
      </c>
    </row>
    <row r="10" spans="2:39" x14ac:dyDescent="0.25">
      <c r="G10" t="s">
        <v>129</v>
      </c>
      <c r="H10" t="s">
        <v>117</v>
      </c>
      <c r="X10" t="s">
        <v>129</v>
      </c>
      <c r="Y10" t="s">
        <v>117</v>
      </c>
    </row>
    <row r="11" spans="2:39" x14ac:dyDescent="0.25">
      <c r="B11" s="52" t="s">
        <v>128</v>
      </c>
      <c r="D11" s="42">
        <v>42916</v>
      </c>
      <c r="E11" s="42">
        <f>EOMONTH(D11,6)</f>
        <v>43100</v>
      </c>
      <c r="F11" s="42">
        <f>EOMONTH(E11,6)</f>
        <v>43281</v>
      </c>
      <c r="G11" s="42">
        <f>EOMONTH(F11,6)</f>
        <v>43465</v>
      </c>
      <c r="H11" s="42">
        <f>EOMONTH(G11,6)</f>
        <v>43646</v>
      </c>
      <c r="I11" s="42">
        <f>EOMONTH(H11,6)</f>
        <v>43830</v>
      </c>
      <c r="J11" s="42">
        <f t="shared" ref="J11:Q11" si="5">EOMONTH(I11,6)</f>
        <v>44012</v>
      </c>
      <c r="K11" s="42">
        <f t="shared" si="5"/>
        <v>44196</v>
      </c>
      <c r="L11" s="42">
        <f t="shared" si="5"/>
        <v>44377</v>
      </c>
      <c r="M11" s="42">
        <f t="shared" si="5"/>
        <v>44561</v>
      </c>
      <c r="N11" s="42">
        <f t="shared" si="5"/>
        <v>44742</v>
      </c>
      <c r="O11" s="42">
        <f t="shared" si="5"/>
        <v>44926</v>
      </c>
      <c r="P11" s="42">
        <f t="shared" si="5"/>
        <v>45107</v>
      </c>
      <c r="Q11" s="42">
        <f t="shared" si="5"/>
        <v>45291</v>
      </c>
      <c r="R11" s="42">
        <f>EOMONTH(Q11,6)</f>
        <v>45473</v>
      </c>
      <c r="S11" s="42">
        <f>EOMONTH(R11,6)</f>
        <v>45657</v>
      </c>
      <c r="T11" s="42">
        <f>EOMONTH(S11,6)</f>
        <v>45838</v>
      </c>
      <c r="U11" s="42">
        <f>EOMONTH(T11,6)</f>
        <v>46022</v>
      </c>
      <c r="W11" s="42">
        <v>43100</v>
      </c>
      <c r="X11" s="42">
        <f t="shared" ref="X11:AC11" si="6">EOMONTH(W11,12)</f>
        <v>43465</v>
      </c>
      <c r="Y11" s="42">
        <f t="shared" si="6"/>
        <v>43830</v>
      </c>
      <c r="Z11" s="42">
        <f t="shared" si="6"/>
        <v>44196</v>
      </c>
      <c r="AA11" s="42">
        <f t="shared" si="6"/>
        <v>44561</v>
      </c>
      <c r="AB11" s="42">
        <f t="shared" si="6"/>
        <v>44926</v>
      </c>
      <c r="AC11" s="42">
        <f t="shared" si="6"/>
        <v>45291</v>
      </c>
      <c r="AD11" s="42">
        <f>EOMONTH(AC11,12)</f>
        <v>45657</v>
      </c>
      <c r="AE11" s="42">
        <f>EOMONTH(AD11,12)</f>
        <v>46022</v>
      </c>
    </row>
    <row r="12" spans="2:39" x14ac:dyDescent="0.25">
      <c r="W12" s="40" t="s">
        <v>981</v>
      </c>
      <c r="X12" s="40" t="s">
        <v>512</v>
      </c>
      <c r="Y12" s="40" t="s">
        <v>513</v>
      </c>
      <c r="Z12" s="40" t="s">
        <v>514</v>
      </c>
      <c r="AA12" s="40" t="s">
        <v>515</v>
      </c>
      <c r="AB12" s="40" t="s">
        <v>516</v>
      </c>
      <c r="AC12" s="40" t="s">
        <v>517</v>
      </c>
      <c r="AD12" s="40" t="s">
        <v>518</v>
      </c>
      <c r="AE12" s="40" t="s">
        <v>519</v>
      </c>
    </row>
    <row r="14" spans="2:39" x14ac:dyDescent="0.25">
      <c r="B14" t="s">
        <v>124</v>
      </c>
      <c r="D14" s="40" t="s">
        <v>121</v>
      </c>
      <c r="E14" s="40" t="s">
        <v>122</v>
      </c>
      <c r="F14" s="40" t="s">
        <v>121</v>
      </c>
      <c r="G14" s="40" t="s">
        <v>122</v>
      </c>
      <c r="H14" s="40" t="s">
        <v>121</v>
      </c>
      <c r="I14" s="40" t="s">
        <v>122</v>
      </c>
      <c r="J14" s="40" t="s">
        <v>121</v>
      </c>
      <c r="K14" s="40" t="s">
        <v>122</v>
      </c>
      <c r="L14" s="40" t="s">
        <v>121</v>
      </c>
      <c r="M14" s="40" t="s">
        <v>122</v>
      </c>
      <c r="N14" s="40" t="s">
        <v>121</v>
      </c>
      <c r="O14" s="40" t="s">
        <v>122</v>
      </c>
      <c r="P14" s="40" t="s">
        <v>121</v>
      </c>
      <c r="Q14" s="40" t="s">
        <v>122</v>
      </c>
      <c r="R14" s="40" t="s">
        <v>121</v>
      </c>
      <c r="S14" s="40" t="s">
        <v>122</v>
      </c>
      <c r="T14" s="40" t="s">
        <v>121</v>
      </c>
      <c r="U14" s="40" t="s">
        <v>122</v>
      </c>
      <c r="W14" s="40" t="s">
        <v>3</v>
      </c>
      <c r="X14" s="40" t="s">
        <v>3</v>
      </c>
      <c r="Y14" s="40" t="s">
        <v>3</v>
      </c>
      <c r="Z14" s="40" t="s">
        <v>3</v>
      </c>
      <c r="AA14" s="40" t="s">
        <v>3</v>
      </c>
      <c r="AB14" s="40" t="s">
        <v>3</v>
      </c>
      <c r="AC14" s="40" t="s">
        <v>3</v>
      </c>
      <c r="AD14" s="40" t="s">
        <v>3</v>
      </c>
      <c r="AE14" s="40" t="s">
        <v>3</v>
      </c>
    </row>
    <row r="15" spans="2:39" x14ac:dyDescent="0.25">
      <c r="D15" s="40">
        <v>2017</v>
      </c>
      <c r="E15" s="40">
        <v>2017</v>
      </c>
      <c r="F15" s="40">
        <v>2018</v>
      </c>
      <c r="G15" s="40">
        <v>2018</v>
      </c>
      <c r="H15" s="40">
        <v>2019</v>
      </c>
      <c r="I15" s="40">
        <v>2019</v>
      </c>
      <c r="J15" s="40">
        <v>2020</v>
      </c>
      <c r="K15" s="40">
        <v>2020</v>
      </c>
      <c r="L15" s="40">
        <v>2021</v>
      </c>
      <c r="M15" s="40">
        <v>2021</v>
      </c>
      <c r="N15" s="40">
        <v>2022</v>
      </c>
      <c r="O15" s="40">
        <v>2022</v>
      </c>
      <c r="P15" s="40">
        <v>2023</v>
      </c>
      <c r="Q15" s="40">
        <v>2023</v>
      </c>
      <c r="R15" s="40">
        <v>2024</v>
      </c>
      <c r="S15" s="40">
        <v>2024</v>
      </c>
      <c r="T15" s="40">
        <v>2025</v>
      </c>
      <c r="U15" s="40">
        <v>2025</v>
      </c>
      <c r="W15" s="40">
        <v>2017</v>
      </c>
      <c r="X15" s="40">
        <v>2018</v>
      </c>
      <c r="Y15" s="40">
        <v>2019</v>
      </c>
      <c r="Z15" s="40">
        <v>2020</v>
      </c>
      <c r="AA15" s="40">
        <v>2021</v>
      </c>
      <c r="AB15" s="40">
        <v>2022</v>
      </c>
      <c r="AC15" s="40">
        <v>2023</v>
      </c>
      <c r="AD15" s="40">
        <v>2024</v>
      </c>
      <c r="AE15" s="40">
        <v>2025</v>
      </c>
    </row>
    <row r="16" spans="2:39" x14ac:dyDescent="0.25">
      <c r="D16" s="40"/>
      <c r="E16" s="40"/>
      <c r="F16" s="40"/>
      <c r="G16" s="40"/>
      <c r="H16" s="40"/>
      <c r="I16" s="40"/>
      <c r="J16" s="40"/>
      <c r="K16" s="40"/>
      <c r="L16" s="40"/>
      <c r="M16" s="40"/>
      <c r="N16" s="40"/>
      <c r="O16" s="40"/>
      <c r="P16" s="40"/>
      <c r="Q16" s="40"/>
      <c r="R16" s="40"/>
      <c r="S16" s="40"/>
      <c r="T16" s="40"/>
      <c r="U16" s="40"/>
      <c r="W16" s="40"/>
      <c r="X16" s="40"/>
      <c r="Y16" s="40"/>
      <c r="Z16" s="40"/>
      <c r="AA16" s="40"/>
      <c r="AB16" s="40"/>
      <c r="AC16" s="40"/>
    </row>
    <row r="17" spans="2:33" x14ac:dyDescent="0.25">
      <c r="B17" t="s">
        <v>125</v>
      </c>
      <c r="D17" s="40"/>
      <c r="E17" s="40"/>
      <c r="F17" s="40"/>
      <c r="G17" s="40"/>
      <c r="H17" s="40"/>
      <c r="I17" s="40"/>
      <c r="J17" s="40"/>
      <c r="K17" s="40"/>
      <c r="L17" s="40"/>
      <c r="M17" s="40"/>
      <c r="N17" s="40"/>
      <c r="O17" s="40"/>
      <c r="P17" s="40"/>
      <c r="Q17" s="40"/>
      <c r="R17" s="40"/>
      <c r="S17" s="40"/>
      <c r="T17" s="40"/>
      <c r="U17" s="40"/>
      <c r="W17" s="40"/>
      <c r="X17" s="40"/>
      <c r="Y17" s="40"/>
      <c r="Z17" s="40"/>
      <c r="AA17" s="40"/>
      <c r="AB17" s="40"/>
      <c r="AC17" s="40"/>
    </row>
    <row r="18" spans="2:33" x14ac:dyDescent="0.25">
      <c r="D18" s="41" t="str">
        <f>E14&amp;RIGHT(E$15,2)</f>
        <v>2H17</v>
      </c>
      <c r="E18" s="41" t="str">
        <f t="shared" ref="E18:Q18" si="7">F14&amp;RIGHT(F$15,2)</f>
        <v>1H18</v>
      </c>
      <c r="F18" s="41" t="str">
        <f t="shared" si="7"/>
        <v>2H18</v>
      </c>
      <c r="G18" s="41" t="str">
        <f t="shared" si="7"/>
        <v>1H19</v>
      </c>
      <c r="H18" s="41" t="str">
        <f t="shared" si="7"/>
        <v>2H19</v>
      </c>
      <c r="I18" s="41" t="str">
        <f t="shared" si="7"/>
        <v>1H20</v>
      </c>
      <c r="J18" s="41" t="str">
        <f t="shared" si="7"/>
        <v>2H20</v>
      </c>
      <c r="K18" s="41" t="str">
        <f t="shared" si="7"/>
        <v>1H21</v>
      </c>
      <c r="L18" s="41" t="str">
        <f t="shared" si="7"/>
        <v>2H21</v>
      </c>
      <c r="M18" s="41" t="str">
        <f t="shared" si="7"/>
        <v>1H22</v>
      </c>
      <c r="N18" s="41" t="str">
        <f t="shared" si="7"/>
        <v>2H22</v>
      </c>
      <c r="O18" s="41" t="str">
        <f t="shared" si="7"/>
        <v>1H23</v>
      </c>
      <c r="P18" s="41" t="str">
        <f t="shared" si="7"/>
        <v>2H23</v>
      </c>
      <c r="Q18" s="41" t="str">
        <f t="shared" si="7"/>
        <v>1H24</v>
      </c>
      <c r="R18" s="41"/>
      <c r="S18" s="41"/>
      <c r="T18" s="41"/>
      <c r="U18" s="41"/>
      <c r="V18" s="33"/>
      <c r="W18" s="41"/>
      <c r="X18" s="41"/>
      <c r="Y18" s="41"/>
      <c r="Z18" s="41"/>
      <c r="AA18" s="41"/>
      <c r="AB18" s="41"/>
      <c r="AC18" s="41"/>
    </row>
    <row r="19" spans="2:33" x14ac:dyDescent="0.25">
      <c r="D19" s="40"/>
      <c r="E19" s="40"/>
      <c r="F19" s="40"/>
      <c r="G19" s="40"/>
      <c r="H19" s="40"/>
      <c r="I19" s="40"/>
      <c r="J19" s="40"/>
      <c r="K19" s="40"/>
      <c r="L19" s="40"/>
      <c r="M19" s="40"/>
      <c r="N19" s="40"/>
      <c r="O19" s="40"/>
      <c r="P19" s="40"/>
      <c r="Q19" s="40"/>
      <c r="R19" s="40"/>
      <c r="S19" s="40"/>
      <c r="T19" s="40"/>
      <c r="U19" s="40"/>
      <c r="W19" s="40"/>
      <c r="X19" s="40"/>
      <c r="Y19" s="40"/>
      <c r="Z19" s="40"/>
      <c r="AA19" s="40"/>
      <c r="AB19" s="40"/>
      <c r="AC19" s="40"/>
    </row>
    <row r="20" spans="2:33" x14ac:dyDescent="0.25">
      <c r="B20" t="s">
        <v>544</v>
      </c>
      <c r="D20" s="40"/>
      <c r="E20" s="40"/>
      <c r="F20" s="40"/>
      <c r="G20" s="40"/>
      <c r="H20" s="40"/>
      <c r="I20" s="40"/>
      <c r="J20" s="40"/>
      <c r="K20" s="40"/>
      <c r="L20" s="40"/>
      <c r="M20" s="40"/>
      <c r="N20" s="40"/>
      <c r="O20" s="40"/>
      <c r="P20" s="40"/>
      <c r="Q20" s="40"/>
      <c r="R20" s="40"/>
      <c r="S20" s="40"/>
      <c r="T20" s="40"/>
      <c r="U20" s="40"/>
      <c r="W20" s="39"/>
      <c r="X20" s="39"/>
      <c r="Y20" s="39"/>
      <c r="Z20" s="39"/>
      <c r="AA20" s="39"/>
      <c r="AB20" s="39"/>
      <c r="AC20" s="39">
        <v>1129</v>
      </c>
      <c r="AD20" s="39">
        <v>1323</v>
      </c>
      <c r="AE20" s="39">
        <v>1164</v>
      </c>
    </row>
    <row r="21" spans="2:33" x14ac:dyDescent="0.25">
      <c r="D21" s="40"/>
      <c r="E21" s="40"/>
      <c r="F21" s="40"/>
      <c r="G21" s="40"/>
      <c r="H21" s="40"/>
      <c r="I21" s="40"/>
      <c r="J21" s="40"/>
      <c r="K21" s="40"/>
      <c r="L21" s="40"/>
      <c r="M21" s="40"/>
      <c r="N21" s="40"/>
      <c r="O21" s="40"/>
      <c r="P21" s="40"/>
      <c r="Q21" s="40"/>
      <c r="R21" s="40"/>
      <c r="S21" s="40"/>
      <c r="T21" s="40"/>
      <c r="U21" s="40"/>
      <c r="W21" s="40"/>
      <c r="X21" s="40"/>
      <c r="Y21" s="40"/>
      <c r="Z21" s="40"/>
      <c r="AA21" s="40"/>
      <c r="AB21" s="40"/>
      <c r="AC21" s="40"/>
    </row>
    <row r="22" spans="2:33" x14ac:dyDescent="0.25">
      <c r="B22" t="s">
        <v>501</v>
      </c>
      <c r="D22" s="40"/>
      <c r="E22" s="40"/>
      <c r="F22" s="40"/>
      <c r="G22" s="40"/>
      <c r="H22" s="40"/>
      <c r="I22" s="40"/>
      <c r="J22" s="40"/>
      <c r="K22" s="171">
        <v>0.42599999999999999</v>
      </c>
      <c r="L22" s="40"/>
      <c r="M22" s="40"/>
      <c r="N22" s="40"/>
      <c r="O22" s="40"/>
      <c r="P22" s="40"/>
      <c r="Q22" s="40"/>
      <c r="R22" s="40"/>
      <c r="S22" s="40"/>
      <c r="T22" s="40"/>
      <c r="U22" s="40"/>
      <c r="W22" s="171">
        <v>0.224</v>
      </c>
      <c r="X22" s="171">
        <v>0.27800000000000002</v>
      </c>
      <c r="Y22" s="171">
        <v>0.30299999999999999</v>
      </c>
      <c r="Z22" s="171">
        <v>0.40300000000000002</v>
      </c>
      <c r="AA22" s="171"/>
      <c r="AB22" s="171"/>
      <c r="AC22" s="40"/>
    </row>
    <row r="23" spans="2:33" x14ac:dyDescent="0.25">
      <c r="B23" t="s">
        <v>502</v>
      </c>
      <c r="D23" s="40"/>
      <c r="E23" s="40"/>
      <c r="F23" s="40"/>
      <c r="G23" s="40"/>
      <c r="H23" s="40"/>
      <c r="I23" s="40"/>
      <c r="J23" s="40"/>
      <c r="K23" s="40"/>
      <c r="L23" s="40"/>
      <c r="M23" s="40"/>
      <c r="N23" s="40"/>
      <c r="O23" s="40"/>
      <c r="P23" s="40"/>
      <c r="Q23" s="40"/>
      <c r="R23" s="40"/>
      <c r="S23" s="40"/>
      <c r="T23" s="40"/>
      <c r="U23" s="40"/>
      <c r="W23" s="171"/>
      <c r="Y23" s="171">
        <v>0.43</v>
      </c>
      <c r="Z23" s="171">
        <v>0.46</v>
      </c>
      <c r="AA23" s="171">
        <v>0.5</v>
      </c>
      <c r="AB23" s="171">
        <v>0.48</v>
      </c>
      <c r="AC23" s="171">
        <v>0.45</v>
      </c>
    </row>
    <row r="24" spans="2:33" x14ac:dyDescent="0.25">
      <c r="B24" t="s">
        <v>503</v>
      </c>
      <c r="D24" s="40"/>
      <c r="E24" s="40"/>
      <c r="F24" s="40"/>
      <c r="G24" s="40"/>
      <c r="H24" s="40"/>
      <c r="I24" s="40"/>
      <c r="J24" s="40"/>
      <c r="L24" s="40"/>
      <c r="M24" s="40"/>
      <c r="N24" s="40"/>
      <c r="O24" s="40"/>
      <c r="P24" s="40"/>
      <c r="Q24" s="40"/>
      <c r="R24" s="40"/>
      <c r="S24" s="40"/>
      <c r="T24" s="40"/>
      <c r="U24" s="40"/>
      <c r="W24" s="171">
        <v>0.25</v>
      </c>
      <c r="X24" s="171">
        <v>0.26</v>
      </c>
      <c r="Y24" s="171">
        <v>0.27</v>
      </c>
      <c r="Z24" s="171"/>
      <c r="AA24" s="171"/>
      <c r="AB24" s="171"/>
      <c r="AC24" s="40"/>
    </row>
    <row r="25" spans="2:33" x14ac:dyDescent="0.25">
      <c r="D25" s="40"/>
      <c r="E25" s="40"/>
      <c r="F25" s="40"/>
      <c r="G25" s="40"/>
      <c r="H25" s="40"/>
      <c r="I25" s="40"/>
      <c r="J25" s="40"/>
      <c r="L25" s="40"/>
      <c r="M25" s="40"/>
      <c r="N25" s="40"/>
      <c r="O25" s="40"/>
      <c r="P25" s="40"/>
      <c r="Q25" s="40"/>
      <c r="R25" s="40"/>
      <c r="S25" s="40"/>
      <c r="T25" s="40"/>
      <c r="U25" s="40"/>
      <c r="AA25" s="171"/>
      <c r="AB25" s="171"/>
      <c r="AC25" s="40"/>
    </row>
    <row r="26" spans="2:33" x14ac:dyDescent="0.25">
      <c r="B26" s="34" t="s">
        <v>104</v>
      </c>
      <c r="C26" s="46" t="s">
        <v>543</v>
      </c>
      <c r="D26" s="40"/>
      <c r="E26" s="40"/>
      <c r="F26" s="40"/>
      <c r="G26" s="40"/>
      <c r="H26" s="40"/>
      <c r="I26" s="40"/>
      <c r="J26" s="40"/>
      <c r="L26" s="40"/>
      <c r="M26" s="40"/>
      <c r="N26" s="40"/>
      <c r="O26" s="40"/>
      <c r="P26" s="40"/>
      <c r="Q26" s="39"/>
      <c r="R26" s="39"/>
      <c r="S26" s="39"/>
      <c r="T26" s="39"/>
      <c r="U26" s="39"/>
      <c r="AA26" s="39">
        <v>16084</v>
      </c>
      <c r="AB26" s="39">
        <v>13908</v>
      </c>
      <c r="AC26" s="39">
        <v>12050.555861386405</v>
      </c>
      <c r="AD26" s="39">
        <v>10813</v>
      </c>
      <c r="AE26" s="39"/>
      <c r="AF26" s="39"/>
      <c r="AG26" s="342" t="s">
        <v>777</v>
      </c>
    </row>
    <row r="27" spans="2:33" s="35" customFormat="1" x14ac:dyDescent="0.25">
      <c r="B27" s="37" t="s">
        <v>105</v>
      </c>
      <c r="C27" s="47" t="s">
        <v>118</v>
      </c>
      <c r="D27" s="40"/>
      <c r="E27" s="40"/>
      <c r="F27" s="40"/>
      <c r="G27" s="40"/>
      <c r="H27" s="40"/>
      <c r="I27" s="40"/>
      <c r="J27" s="40"/>
      <c r="K27"/>
      <c r="L27" s="40"/>
      <c r="M27" s="40"/>
      <c r="N27" s="40"/>
      <c r="O27" s="40"/>
      <c r="P27" s="40"/>
      <c r="Q27" s="44"/>
      <c r="R27" s="44"/>
      <c r="S27" s="44"/>
      <c r="T27" s="44"/>
      <c r="U27" s="45"/>
      <c r="AA27" s="44">
        <v>0.111</v>
      </c>
      <c r="AB27" s="44">
        <v>0.112</v>
      </c>
      <c r="AC27" s="44">
        <v>0.12010438755048455</v>
      </c>
      <c r="AD27" s="44">
        <v>0.129</v>
      </c>
      <c r="AE27" s="44"/>
      <c r="AF27" s="44"/>
    </row>
    <row r="28" spans="2:33" x14ac:dyDescent="0.25">
      <c r="B28" s="34" t="s">
        <v>106</v>
      </c>
      <c r="C28" s="46" t="s">
        <v>543</v>
      </c>
      <c r="D28" s="40"/>
      <c r="E28" s="40"/>
      <c r="F28" s="40"/>
      <c r="G28" s="40"/>
      <c r="H28" s="40"/>
      <c r="I28" s="40"/>
      <c r="J28" s="40"/>
      <c r="L28" s="40"/>
      <c r="M28" s="40"/>
      <c r="N28" s="40"/>
      <c r="O28" s="40"/>
      <c r="P28" s="40"/>
      <c r="Q28" s="39"/>
      <c r="R28" s="39"/>
      <c r="S28" s="39"/>
      <c r="T28" s="39"/>
      <c r="U28" s="39"/>
      <c r="AA28" s="39">
        <v>1782</v>
      </c>
      <c r="AB28" s="39">
        <v>1558</v>
      </c>
      <c r="AC28" s="39">
        <v>1447</v>
      </c>
      <c r="AD28" s="39">
        <v>1397</v>
      </c>
      <c r="AE28" s="344">
        <v>1315</v>
      </c>
      <c r="AF28" s="39"/>
    </row>
    <row r="29" spans="2:33" x14ac:dyDescent="0.25">
      <c r="B29" s="34" t="s">
        <v>116</v>
      </c>
      <c r="C29" s="46" t="s">
        <v>543</v>
      </c>
      <c r="D29" s="40"/>
      <c r="E29" s="40"/>
      <c r="F29" s="40"/>
      <c r="G29" s="40"/>
      <c r="H29" s="40"/>
      <c r="I29" s="40"/>
      <c r="J29" s="40"/>
      <c r="L29" s="40"/>
      <c r="M29" s="40"/>
      <c r="N29" s="40"/>
      <c r="O29" s="40"/>
      <c r="P29" s="40"/>
      <c r="Q29" s="38"/>
      <c r="R29" s="38"/>
      <c r="S29" s="38"/>
      <c r="T29" s="38"/>
      <c r="U29" s="38"/>
      <c r="AA29" s="38">
        <v>599</v>
      </c>
      <c r="AB29" s="38">
        <v>477</v>
      </c>
      <c r="AC29" s="38">
        <v>348</v>
      </c>
      <c r="AD29" s="38">
        <v>295</v>
      </c>
      <c r="AE29" s="343">
        <f>AD29-62</f>
        <v>233</v>
      </c>
      <c r="AF29" s="38"/>
    </row>
    <row r="30" spans="2:33" s="35" customFormat="1" x14ac:dyDescent="0.25">
      <c r="B30" s="37" t="s">
        <v>113</v>
      </c>
      <c r="C30" s="47" t="s">
        <v>118</v>
      </c>
      <c r="D30" s="40"/>
      <c r="E30" s="40"/>
      <c r="F30" s="40"/>
      <c r="G30" s="40"/>
      <c r="H30" s="40"/>
      <c r="I30" s="40"/>
      <c r="J30" s="40"/>
      <c r="K30"/>
      <c r="L30" s="40"/>
      <c r="M30" s="40"/>
      <c r="N30" s="40"/>
      <c r="O30" s="40"/>
      <c r="P30" s="40"/>
      <c r="Q30" s="44"/>
      <c r="R30" s="44"/>
      <c r="S30" s="44"/>
      <c r="T30" s="44"/>
      <c r="U30" s="44"/>
      <c r="AA30" s="44">
        <v>0.33961189258918251</v>
      </c>
      <c r="AB30" s="44">
        <v>0.31142010888522192</v>
      </c>
      <c r="AC30" s="44">
        <v>0.247</v>
      </c>
      <c r="AD30" s="44">
        <v>0.21099999999999999</v>
      </c>
      <c r="AE30" s="44">
        <v>0.21099999999999999</v>
      </c>
      <c r="AF30" s="44"/>
    </row>
    <row r="32" spans="2:33" x14ac:dyDescent="0.25">
      <c r="B32" s="34" t="s">
        <v>104</v>
      </c>
      <c r="C32" s="46" t="s">
        <v>103</v>
      </c>
      <c r="D32" s="39">
        <v>1935</v>
      </c>
      <c r="E32" s="43">
        <f>W32-D32</f>
        <v>1773</v>
      </c>
      <c r="F32" s="39">
        <v>2114</v>
      </c>
      <c r="G32" s="43">
        <f>X32-F32</f>
        <v>2194</v>
      </c>
      <c r="H32" s="39">
        <v>3312</v>
      </c>
      <c r="I32" s="43">
        <f>Y32-H32</f>
        <v>3439</v>
      </c>
      <c r="J32" s="39">
        <v>3723</v>
      </c>
      <c r="K32" s="43">
        <f>Z32-J32</f>
        <v>5990</v>
      </c>
      <c r="L32" s="39">
        <v>5000</v>
      </c>
      <c r="M32" s="43">
        <f>AA32-L32</f>
        <v>6702</v>
      </c>
      <c r="N32" s="39">
        <v>5209</v>
      </c>
      <c r="O32" s="43">
        <f>AB32-N32</f>
        <v>6087</v>
      </c>
      <c r="P32" s="39">
        <v>4953</v>
      </c>
      <c r="Q32" s="39"/>
      <c r="R32" s="39"/>
      <c r="S32" s="39"/>
      <c r="T32" s="39"/>
      <c r="U32" s="39"/>
      <c r="W32" s="39">
        <v>3708</v>
      </c>
      <c r="X32" s="39">
        <v>4308</v>
      </c>
      <c r="Y32" s="39">
        <v>6751</v>
      </c>
      <c r="Z32" s="39">
        <v>9713</v>
      </c>
      <c r="AA32" s="39">
        <v>11702</v>
      </c>
      <c r="AB32" s="39">
        <v>11296</v>
      </c>
    </row>
    <row r="33" spans="2:31" s="35" customFormat="1" x14ac:dyDescent="0.25">
      <c r="B33" s="37" t="s">
        <v>105</v>
      </c>
      <c r="C33" s="47" t="s">
        <v>118</v>
      </c>
      <c r="D33" s="44">
        <v>9.4E-2</v>
      </c>
      <c r="E33" s="45">
        <f>E34/E32</f>
        <v>0.12521150592216582</v>
      </c>
      <c r="F33" s="44">
        <v>9.8000000000000004E-2</v>
      </c>
      <c r="G33" s="45">
        <f>G34/G32</f>
        <v>8.9334548769371011E-2</v>
      </c>
      <c r="H33" s="44">
        <v>9.5000000000000001E-2</v>
      </c>
      <c r="I33" s="45">
        <f>I34/I32</f>
        <v>0.10671706891538238</v>
      </c>
      <c r="J33" s="44">
        <v>0.11700000000000001</v>
      </c>
      <c r="K33" s="45">
        <f>K34/K32</f>
        <v>0.10684474123539232</v>
      </c>
      <c r="L33" s="44">
        <v>0.11700000000000001</v>
      </c>
      <c r="M33" s="45">
        <f>M34/M32</f>
        <v>0.10578931662190391</v>
      </c>
      <c r="N33" s="44">
        <v>0.11799999999999999</v>
      </c>
      <c r="O33" s="45">
        <f>O34/O32</f>
        <v>0.10694923607688517</v>
      </c>
      <c r="P33" s="44">
        <v>0.121</v>
      </c>
      <c r="Q33" s="44"/>
      <c r="R33" s="44"/>
      <c r="S33" s="44"/>
      <c r="T33" s="44"/>
      <c r="U33" s="45"/>
      <c r="W33" s="44">
        <v>0.109</v>
      </c>
      <c r="X33" s="44">
        <v>9.4E-2</v>
      </c>
      <c r="Y33" s="44">
        <v>0.10100000000000001</v>
      </c>
      <c r="Z33" s="44">
        <v>0.111</v>
      </c>
      <c r="AA33" s="44">
        <v>0.111</v>
      </c>
      <c r="AB33" s="44">
        <v>0.112</v>
      </c>
      <c r="AC33" s="45"/>
      <c r="AD33" s="45"/>
      <c r="AE33" s="45"/>
    </row>
    <row r="34" spans="2:31" x14ac:dyDescent="0.25">
      <c r="B34" s="34" t="s">
        <v>106</v>
      </c>
      <c r="C34" s="46" t="s">
        <v>103</v>
      </c>
      <c r="D34" s="38">
        <v>182</v>
      </c>
      <c r="E34" s="43">
        <f>W34-D34</f>
        <v>222</v>
      </c>
      <c r="F34" s="38">
        <v>207</v>
      </c>
      <c r="G34" s="43">
        <f>X34-F34</f>
        <v>196</v>
      </c>
      <c r="H34" s="39">
        <v>314</v>
      </c>
      <c r="I34" s="43">
        <f>Y34-H34</f>
        <v>367</v>
      </c>
      <c r="J34" s="39">
        <v>435</v>
      </c>
      <c r="K34" s="43">
        <f>Z34-J34</f>
        <v>640</v>
      </c>
      <c r="L34" s="39">
        <v>585</v>
      </c>
      <c r="M34" s="43">
        <f>AA34-L34</f>
        <v>709</v>
      </c>
      <c r="N34" s="39">
        <v>612</v>
      </c>
      <c r="O34" s="43">
        <f>AB34-N34</f>
        <v>651</v>
      </c>
      <c r="P34" s="39">
        <v>601</v>
      </c>
      <c r="Q34" s="39"/>
      <c r="R34" s="39"/>
      <c r="S34" s="39"/>
      <c r="T34" s="39"/>
      <c r="U34" s="39"/>
      <c r="W34" s="38">
        <v>404</v>
      </c>
      <c r="X34" s="38">
        <v>403</v>
      </c>
      <c r="Y34" s="38">
        <v>681</v>
      </c>
      <c r="Z34" s="39">
        <v>1075</v>
      </c>
      <c r="AA34" s="39">
        <v>1294</v>
      </c>
      <c r="AB34" s="39">
        <v>1263</v>
      </c>
    </row>
    <row r="35" spans="2:31" x14ac:dyDescent="0.25">
      <c r="B35" s="36" t="s">
        <v>107</v>
      </c>
      <c r="C35" s="40" t="s">
        <v>103</v>
      </c>
      <c r="D35" s="38">
        <v>-51</v>
      </c>
      <c r="E35" s="43">
        <f>W35-D35</f>
        <v>-60</v>
      </c>
      <c r="F35" s="38">
        <v>-83</v>
      </c>
      <c r="G35" s="43">
        <f>X35-F35</f>
        <v>-38</v>
      </c>
      <c r="H35" s="38">
        <v>-140</v>
      </c>
      <c r="I35" s="43">
        <f>Y35-H35</f>
        <v>-159</v>
      </c>
      <c r="J35" s="38">
        <v>-200</v>
      </c>
      <c r="K35" s="43">
        <f>Z35-J35</f>
        <v>-320</v>
      </c>
      <c r="L35" s="38">
        <v>-275</v>
      </c>
      <c r="M35" s="43">
        <f>AA35-L35</f>
        <v>-361</v>
      </c>
      <c r="N35" s="38">
        <v>-290</v>
      </c>
      <c r="O35" s="43">
        <f>AB35-N35</f>
        <v>-345</v>
      </c>
      <c r="P35" s="38">
        <v>-317</v>
      </c>
      <c r="Q35" s="38"/>
      <c r="R35" s="38"/>
      <c r="S35" s="38"/>
      <c r="T35" s="38"/>
      <c r="U35" s="38"/>
      <c r="W35" s="38">
        <v>-111</v>
      </c>
      <c r="X35" s="38">
        <v>-121</v>
      </c>
      <c r="Y35" s="38">
        <v>-299</v>
      </c>
      <c r="Z35" s="38">
        <v>-520</v>
      </c>
      <c r="AA35" s="38">
        <v>-636</v>
      </c>
      <c r="AB35" s="38">
        <v>-635</v>
      </c>
    </row>
    <row r="36" spans="2:31" s="35" customFormat="1" x14ac:dyDescent="0.25">
      <c r="B36" s="37" t="s">
        <v>108</v>
      </c>
      <c r="C36" s="47" t="s">
        <v>118</v>
      </c>
      <c r="D36" s="45">
        <f>-D35/D34</f>
        <v>0.28021978021978022</v>
      </c>
      <c r="E36" s="45">
        <f>-E35/E34</f>
        <v>0.27027027027027029</v>
      </c>
      <c r="F36" s="45">
        <f>-F35/F34</f>
        <v>0.40096618357487923</v>
      </c>
      <c r="G36" s="45">
        <f>-G35/G34</f>
        <v>0.19387755102040816</v>
      </c>
      <c r="H36" s="44">
        <v>0.44500000000000001</v>
      </c>
      <c r="I36" s="45">
        <f>-I35/I34</f>
        <v>0.43324250681198911</v>
      </c>
      <c r="J36" s="44">
        <v>0.45900000000000002</v>
      </c>
      <c r="K36" s="45">
        <f>-K35/K34</f>
        <v>0.5</v>
      </c>
      <c r="L36" s="44">
        <v>0.47</v>
      </c>
      <c r="M36" s="45">
        <f>-M35/M34</f>
        <v>0.5091678420310296</v>
      </c>
      <c r="N36" s="44">
        <v>0.47299999999999998</v>
      </c>
      <c r="O36" s="45">
        <f>-O35/O34</f>
        <v>0.52995391705069128</v>
      </c>
      <c r="P36" s="44">
        <v>0.52800000000000002</v>
      </c>
      <c r="Q36" s="44"/>
      <c r="R36" s="44"/>
      <c r="S36" s="44"/>
      <c r="T36" s="44"/>
      <c r="U36" s="44"/>
      <c r="W36" s="45">
        <f>-W35/W34</f>
        <v>0.27475247524752477</v>
      </c>
      <c r="X36" s="44">
        <v>0.30099999999999999</v>
      </c>
      <c r="Y36" s="44">
        <v>0.439</v>
      </c>
      <c r="Z36" s="44">
        <v>0.48399999999999999</v>
      </c>
      <c r="AA36" s="44">
        <v>0.49199999999999999</v>
      </c>
      <c r="AB36" s="44">
        <v>0.503</v>
      </c>
    </row>
    <row r="37" spans="2:31" x14ac:dyDescent="0.25">
      <c r="B37" s="34" t="s">
        <v>109</v>
      </c>
      <c r="C37" s="46" t="s">
        <v>103</v>
      </c>
      <c r="D37" s="38">
        <v>131</v>
      </c>
      <c r="E37" s="43">
        <f>W37-D37</f>
        <v>161</v>
      </c>
      <c r="F37" s="38">
        <v>124</v>
      </c>
      <c r="G37" s="43">
        <f>X37-F37</f>
        <v>158</v>
      </c>
      <c r="H37" s="38">
        <v>174</v>
      </c>
      <c r="I37" s="43">
        <f>Y37-H37</f>
        <v>208</v>
      </c>
      <c r="J37" s="38">
        <v>235</v>
      </c>
      <c r="K37" s="43">
        <f>Z37-J37</f>
        <v>320</v>
      </c>
      <c r="L37" s="38">
        <v>310</v>
      </c>
      <c r="M37" s="43">
        <f>AA37-L37</f>
        <v>348</v>
      </c>
      <c r="N37" s="38">
        <v>322</v>
      </c>
      <c r="O37" s="43">
        <f>AB37-N37</f>
        <v>306</v>
      </c>
      <c r="P37" s="38">
        <v>284</v>
      </c>
      <c r="Q37" s="38"/>
      <c r="R37" s="38"/>
      <c r="S37" s="38"/>
      <c r="T37" s="38"/>
      <c r="U37" s="38"/>
      <c r="W37" s="38">
        <v>292</v>
      </c>
      <c r="X37" s="38">
        <v>282</v>
      </c>
      <c r="Y37" s="38">
        <v>382</v>
      </c>
      <c r="Z37" s="38">
        <v>555</v>
      </c>
      <c r="AA37" s="38">
        <v>658</v>
      </c>
      <c r="AB37" s="38">
        <v>628</v>
      </c>
    </row>
    <row r="38" spans="2:31" x14ac:dyDescent="0.25">
      <c r="B38" s="36" t="s">
        <v>110</v>
      </c>
      <c r="C38" s="40" t="s">
        <v>103</v>
      </c>
      <c r="D38" s="38">
        <v>-40</v>
      </c>
      <c r="E38" s="43">
        <f>W38-D38</f>
        <v>-42</v>
      </c>
      <c r="F38" s="38">
        <v>-34</v>
      </c>
      <c r="G38" s="43">
        <f>X38-F38</f>
        <v>-48</v>
      </c>
      <c r="H38" s="38">
        <v>-56</v>
      </c>
      <c r="I38" s="43">
        <f>Y38-H38</f>
        <v>-68</v>
      </c>
      <c r="J38" s="38">
        <v>-59</v>
      </c>
      <c r="K38" s="43">
        <f>Z38-J38</f>
        <v>-70</v>
      </c>
      <c r="L38" s="38">
        <v>-59</v>
      </c>
      <c r="M38" s="43">
        <f>AA38-L38</f>
        <v>-60</v>
      </c>
      <c r="N38" s="38">
        <v>-54</v>
      </c>
      <c r="O38" s="43">
        <f>AB38-N38</f>
        <v>-80</v>
      </c>
      <c r="P38" s="38">
        <v>-64</v>
      </c>
      <c r="Q38" s="38"/>
      <c r="R38" s="38"/>
      <c r="S38" s="38"/>
      <c r="T38" s="38"/>
      <c r="U38" s="38"/>
      <c r="W38" s="38">
        <v>-82</v>
      </c>
      <c r="X38" s="38">
        <v>-82</v>
      </c>
      <c r="Y38" s="38">
        <v>-124</v>
      </c>
      <c r="Z38" s="38">
        <v>-129</v>
      </c>
      <c r="AA38" s="38">
        <v>-119</v>
      </c>
      <c r="AB38" s="38">
        <v>-134</v>
      </c>
    </row>
    <row r="39" spans="2:31" x14ac:dyDescent="0.25">
      <c r="B39" s="34" t="s">
        <v>111</v>
      </c>
      <c r="C39" s="46" t="s">
        <v>103</v>
      </c>
      <c r="D39">
        <f>D37+D38</f>
        <v>91</v>
      </c>
      <c r="E39" s="43">
        <f>W39-D39</f>
        <v>119</v>
      </c>
      <c r="F39">
        <f>F37+F38</f>
        <v>90</v>
      </c>
      <c r="G39" s="43">
        <f>X39-F39</f>
        <v>109</v>
      </c>
      <c r="H39" s="38">
        <v>118</v>
      </c>
      <c r="I39" s="43">
        <f>Y39-H39</f>
        <v>140</v>
      </c>
      <c r="J39" s="38">
        <v>176</v>
      </c>
      <c r="K39" s="43">
        <f>Z39-J39</f>
        <v>250</v>
      </c>
      <c r="L39" s="38">
        <v>252</v>
      </c>
      <c r="M39" s="43">
        <f>AA39-L39</f>
        <v>287</v>
      </c>
      <c r="N39" s="38">
        <v>269</v>
      </c>
      <c r="O39" s="43">
        <f>AB39-N39</f>
        <v>225</v>
      </c>
      <c r="P39" s="38">
        <v>219</v>
      </c>
      <c r="Q39" s="38"/>
      <c r="R39" s="38"/>
      <c r="S39" s="38"/>
      <c r="T39" s="38"/>
      <c r="U39" s="38"/>
      <c r="W39">
        <f>W37+W38</f>
        <v>210</v>
      </c>
      <c r="X39" s="38">
        <v>199</v>
      </c>
      <c r="Y39" s="38">
        <v>258</v>
      </c>
      <c r="Z39" s="38">
        <v>426</v>
      </c>
      <c r="AA39" s="38">
        <v>539</v>
      </c>
      <c r="AB39" s="38">
        <v>494</v>
      </c>
    </row>
    <row r="40" spans="2:31" x14ac:dyDescent="0.25">
      <c r="B40" s="36" t="s">
        <v>112</v>
      </c>
      <c r="C40" s="40" t="s">
        <v>103</v>
      </c>
      <c r="D40">
        <f>D41-D39</f>
        <v>-22</v>
      </c>
      <c r="E40" s="43">
        <f>W40-D40</f>
        <v>-49</v>
      </c>
      <c r="F40">
        <f>F41-F39</f>
        <v>-21</v>
      </c>
      <c r="G40" s="43">
        <f>X40-F40</f>
        <v>-41</v>
      </c>
      <c r="H40" s="38">
        <v>-49</v>
      </c>
      <c r="I40" s="43">
        <f>Y40-H40</f>
        <v>-47</v>
      </c>
      <c r="J40" s="38">
        <v>-55</v>
      </c>
      <c r="K40" s="43">
        <f>Z40-J40</f>
        <v>-53</v>
      </c>
      <c r="L40" s="38">
        <v>-51</v>
      </c>
      <c r="M40" s="43">
        <f>AA40-L40</f>
        <v>-51</v>
      </c>
      <c r="N40" s="38">
        <v>-50</v>
      </c>
      <c r="O40" s="43">
        <f>AB40-N40</f>
        <v>-54</v>
      </c>
      <c r="P40" s="38">
        <v>-61</v>
      </c>
      <c r="Q40" s="38"/>
      <c r="R40" s="38"/>
      <c r="S40" s="38"/>
      <c r="T40" s="38"/>
      <c r="U40" s="38"/>
      <c r="W40">
        <f>W41-W39</f>
        <v>-71</v>
      </c>
      <c r="X40" s="38">
        <v>-62</v>
      </c>
      <c r="Y40" s="38">
        <v>-96</v>
      </c>
      <c r="Z40" s="38">
        <v>-108</v>
      </c>
      <c r="AA40" s="38">
        <v>-102</v>
      </c>
      <c r="AB40" s="38">
        <v>-104</v>
      </c>
    </row>
    <row r="41" spans="2:31" x14ac:dyDescent="0.25">
      <c r="B41" s="34" t="s">
        <v>116</v>
      </c>
      <c r="C41" s="46" t="s">
        <v>103</v>
      </c>
      <c r="D41" s="38">
        <v>69</v>
      </c>
      <c r="E41" s="43">
        <f>W41-D41</f>
        <v>70</v>
      </c>
      <c r="F41" s="38">
        <v>69</v>
      </c>
      <c r="G41" s="43">
        <f>X41-F41</f>
        <v>68</v>
      </c>
      <c r="H41" s="38">
        <v>69</v>
      </c>
      <c r="I41" s="43">
        <f>Y41-H41</f>
        <v>92</v>
      </c>
      <c r="J41" s="38">
        <v>121</v>
      </c>
      <c r="K41" s="43">
        <f>Z41-J41</f>
        <v>197</v>
      </c>
      <c r="L41" s="38">
        <v>201</v>
      </c>
      <c r="M41" s="43">
        <f>AA41-L41</f>
        <v>236</v>
      </c>
      <c r="N41" s="38">
        <v>219</v>
      </c>
      <c r="O41" s="43">
        <f>AB41-N41</f>
        <v>171</v>
      </c>
      <c r="P41" s="38">
        <v>158</v>
      </c>
      <c r="Q41" s="38"/>
      <c r="R41" s="38"/>
      <c r="S41" s="38"/>
      <c r="T41" s="38"/>
      <c r="U41" s="38"/>
      <c r="W41" s="38">
        <v>139</v>
      </c>
      <c r="X41" s="38">
        <v>137</v>
      </c>
      <c r="Y41" s="38">
        <v>161</v>
      </c>
      <c r="Z41" s="38">
        <v>318</v>
      </c>
      <c r="AA41" s="38">
        <v>437</v>
      </c>
      <c r="AB41" s="38">
        <v>390</v>
      </c>
    </row>
    <row r="42" spans="2:31" s="35" customFormat="1" x14ac:dyDescent="0.25">
      <c r="B42" s="37" t="s">
        <v>113</v>
      </c>
      <c r="C42" s="47" t="s">
        <v>118</v>
      </c>
      <c r="D42" s="45">
        <f>D41/D34</f>
        <v>0.37912087912087911</v>
      </c>
      <c r="E42" s="45">
        <f>E41/E34</f>
        <v>0.31531531531531531</v>
      </c>
      <c r="F42" s="45">
        <f>F41/F34</f>
        <v>0.33333333333333331</v>
      </c>
      <c r="G42" s="45">
        <f>G41/G34</f>
        <v>0.34693877551020408</v>
      </c>
      <c r="H42" s="44">
        <v>0.219</v>
      </c>
      <c r="I42" s="45">
        <f>I41/I34</f>
        <v>0.25068119891008173</v>
      </c>
      <c r="J42" s="44">
        <v>0.27900000000000003</v>
      </c>
      <c r="K42" s="45">
        <f>K41/K34</f>
        <v>0.30781249999999999</v>
      </c>
      <c r="L42" s="44">
        <v>0.34300000000000003</v>
      </c>
      <c r="M42" s="45">
        <f>M41/M34</f>
        <v>0.33286318758815231</v>
      </c>
      <c r="N42" s="44">
        <v>0.35799999999999998</v>
      </c>
      <c r="O42" s="45">
        <f>O41/O34</f>
        <v>0.26267281105990781</v>
      </c>
      <c r="P42" s="44">
        <v>0.26400000000000001</v>
      </c>
      <c r="Q42" s="44"/>
      <c r="R42" s="44"/>
      <c r="S42" s="44"/>
      <c r="T42" s="44"/>
      <c r="U42" s="44"/>
      <c r="W42" s="45">
        <f>W41/W34</f>
        <v>0.34405940594059403</v>
      </c>
      <c r="X42" s="44">
        <v>0.34</v>
      </c>
      <c r="Y42" s="44">
        <v>0.23699999999999999</v>
      </c>
      <c r="Z42" s="44">
        <v>0.29599999999999999</v>
      </c>
      <c r="AA42" s="44">
        <v>0.33700000000000002</v>
      </c>
      <c r="AB42" s="44">
        <v>0.309</v>
      </c>
    </row>
    <row r="43" spans="2:31" x14ac:dyDescent="0.25">
      <c r="B43" s="36" t="s">
        <v>114</v>
      </c>
      <c r="C43" s="40" t="s">
        <v>103</v>
      </c>
      <c r="D43" s="38">
        <v>-8</v>
      </c>
      <c r="E43" s="43">
        <f>W43-D43</f>
        <v>-7</v>
      </c>
      <c r="F43" s="38">
        <v>-10</v>
      </c>
      <c r="G43" s="43">
        <f>X43-F43</f>
        <v>-8</v>
      </c>
      <c r="H43" s="38">
        <v>-15</v>
      </c>
      <c r="I43" s="43">
        <f>Y43-H43</f>
        <v>-15</v>
      </c>
      <c r="J43" s="38">
        <v>-14</v>
      </c>
      <c r="K43" s="43">
        <f>Z43-J43</f>
        <v>-16</v>
      </c>
      <c r="L43" s="38">
        <v>-13</v>
      </c>
      <c r="M43" s="43">
        <f>AA43-L43</f>
        <v>-13</v>
      </c>
      <c r="N43" s="38">
        <v>-14</v>
      </c>
      <c r="O43" s="43">
        <f>AB43-N43</f>
        <v>-15</v>
      </c>
      <c r="P43" s="38">
        <v>-16</v>
      </c>
      <c r="Q43" s="38"/>
      <c r="R43" s="38"/>
      <c r="S43" s="38"/>
      <c r="T43" s="38"/>
      <c r="U43" s="38"/>
      <c r="W43" s="38">
        <v>-15</v>
      </c>
      <c r="X43" s="38">
        <v>-18</v>
      </c>
      <c r="Y43" s="38">
        <v>-30</v>
      </c>
      <c r="Z43" s="38">
        <v>-30</v>
      </c>
      <c r="AA43" s="38">
        <v>-26</v>
      </c>
      <c r="AB43" s="38">
        <v>-29</v>
      </c>
    </row>
    <row r="44" spans="2:31" x14ac:dyDescent="0.25">
      <c r="B44" s="34" t="s">
        <v>115</v>
      </c>
      <c r="C44" s="46" t="s">
        <v>103</v>
      </c>
      <c r="D44" s="38">
        <v>51</v>
      </c>
      <c r="E44" s="43">
        <f>W44-D44</f>
        <v>74</v>
      </c>
      <c r="F44" s="38">
        <v>47</v>
      </c>
      <c r="G44" s="43">
        <f>X44-F44</f>
        <v>72</v>
      </c>
      <c r="H44" s="38">
        <v>54</v>
      </c>
      <c r="I44" s="43">
        <f>Y44-H44</f>
        <v>77</v>
      </c>
      <c r="J44" s="38">
        <v>107</v>
      </c>
      <c r="K44" s="43">
        <f>Z44-J44</f>
        <v>181</v>
      </c>
      <c r="L44" s="38">
        <v>188</v>
      </c>
      <c r="M44" s="43">
        <f>AA44-L44</f>
        <v>223</v>
      </c>
      <c r="N44" s="38">
        <v>206</v>
      </c>
      <c r="O44" s="43">
        <f>AB44-N44</f>
        <v>155</v>
      </c>
      <c r="P44" s="38">
        <v>142</v>
      </c>
      <c r="Q44" s="38"/>
      <c r="R44" s="38"/>
      <c r="S44" s="38"/>
      <c r="T44" s="38"/>
      <c r="U44" s="38"/>
      <c r="W44" s="38">
        <v>125</v>
      </c>
      <c r="X44" s="38">
        <v>119</v>
      </c>
      <c r="Y44" s="38">
        <v>131</v>
      </c>
      <c r="Z44" s="38">
        <v>288</v>
      </c>
      <c r="AA44" s="38">
        <v>411</v>
      </c>
      <c r="AB44" s="38">
        <v>361</v>
      </c>
    </row>
    <row r="46" spans="2:31" x14ac:dyDescent="0.25">
      <c r="B46" t="s">
        <v>119</v>
      </c>
      <c r="C46" s="40" t="s">
        <v>120</v>
      </c>
      <c r="D46" s="48"/>
      <c r="E46" s="48"/>
      <c r="F46" s="48">
        <v>0.77129153846153864</v>
      </c>
      <c r="G46" s="48">
        <v>0.724136641221374</v>
      </c>
      <c r="H46" s="48">
        <v>0.70631085271317851</v>
      </c>
      <c r="I46" s="48">
        <v>0.684584090909091</v>
      </c>
      <c r="J46" s="48">
        <v>0.6580469230769227</v>
      </c>
      <c r="K46" s="48">
        <v>0.72349848484848489</v>
      </c>
      <c r="L46" s="48">
        <v>0.77128449612403083</v>
      </c>
      <c r="M46" s="48">
        <v>0.73170530303030357</v>
      </c>
      <c r="N46" s="48">
        <v>0.71934728682170557</v>
      </c>
      <c r="O46" s="48">
        <v>0.67042595419847295</v>
      </c>
      <c r="P46" s="48">
        <v>0.67579846153846135</v>
      </c>
      <c r="Q46" s="48">
        <v>0.65296692307692294</v>
      </c>
      <c r="R46" s="48"/>
      <c r="S46" s="48"/>
      <c r="T46" s="48"/>
      <c r="U46" s="48"/>
      <c r="W46" s="48"/>
      <c r="X46" s="48">
        <v>0.78601576923076932</v>
      </c>
      <c r="Y46" s="48">
        <v>0.75657030769230738</v>
      </c>
      <c r="Z46" s="48">
        <v>0.7314702307692309</v>
      </c>
      <c r="AA46" s="48">
        <v>0.71691333333333351</v>
      </c>
      <c r="AB46" s="48">
        <v>0.71251328124999991</v>
      </c>
      <c r="AC46" s="48">
        <v>0.70020330769230765</v>
      </c>
      <c r="AD46" s="48">
        <v>0.68542265151515169</v>
      </c>
      <c r="AE46" s="48">
        <v>0.6837476515151516</v>
      </c>
    </row>
    <row r="47" spans="2:31" x14ac:dyDescent="0.25">
      <c r="B47" t="s">
        <v>119</v>
      </c>
      <c r="C47" s="40" t="s">
        <v>120</v>
      </c>
      <c r="D47" s="48">
        <v>0.59926384615384631</v>
      </c>
      <c r="E47" s="48">
        <v>0.59131153846153828</v>
      </c>
      <c r="F47" s="48">
        <v>0.56072538461538468</v>
      </c>
      <c r="G47" s="48">
        <v>0.55946106870228995</v>
      </c>
      <c r="H47" s="48">
        <v>0.54597674418604658</v>
      </c>
      <c r="I47" s="48">
        <v>0.54362424242424223</v>
      </c>
      <c r="J47" s="48">
        <v>0.52194615384615395</v>
      </c>
      <c r="K47" s="48">
        <v>0.55356590909090919</v>
      </c>
      <c r="L47" s="48">
        <v>0.55545503875969016</v>
      </c>
      <c r="M47" s="48">
        <v>0.53686136363636372</v>
      </c>
      <c r="N47" s="48">
        <v>0.55461860465116286</v>
      </c>
      <c r="O47" s="48">
        <v>0.57040839694656442</v>
      </c>
      <c r="P47" s="48">
        <v>0.54797692307692325</v>
      </c>
      <c r="Q47" s="48">
        <v>0.5207046153846151</v>
      </c>
      <c r="R47" s="48"/>
      <c r="S47" s="48"/>
      <c r="T47" s="48"/>
      <c r="U47" s="48"/>
      <c r="W47" s="48">
        <v>0.59528769230769252</v>
      </c>
      <c r="X47" s="48">
        <v>0.56009080459770133</v>
      </c>
      <c r="Y47" s="48">
        <v>0.54478697318007752</v>
      </c>
      <c r="Z47" s="48">
        <v>0.53787671755725175</v>
      </c>
      <c r="AA47" s="48">
        <v>0.54605134099616859</v>
      </c>
      <c r="AB47" s="48">
        <v>0.56257423076923119</v>
      </c>
      <c r="AC47" s="48">
        <v>0.53434076923076956</v>
      </c>
      <c r="AD47" s="48"/>
    </row>
    <row r="48" spans="2:31" x14ac:dyDescent="0.25">
      <c r="D48" s="38"/>
      <c r="E48" s="38"/>
      <c r="F48" s="38"/>
    </row>
    <row r="49" spans="2:31" x14ac:dyDescent="0.25">
      <c r="B49" s="98" t="s">
        <v>545</v>
      </c>
      <c r="D49" s="38"/>
      <c r="E49" s="38"/>
      <c r="F49" s="38"/>
    </row>
    <row r="50" spans="2:31" x14ac:dyDescent="0.25">
      <c r="B50" s="34" t="s">
        <v>549</v>
      </c>
      <c r="C50" s="46" t="s">
        <v>550</v>
      </c>
      <c r="G50" s="38"/>
      <c r="H50" s="39"/>
      <c r="I50" s="39"/>
      <c r="J50" s="39">
        <v>596</v>
      </c>
      <c r="K50" s="39"/>
      <c r="L50" s="39">
        <v>906</v>
      </c>
      <c r="M50" s="39"/>
      <c r="N50" s="39">
        <v>993</v>
      </c>
      <c r="O50" s="43"/>
      <c r="P50" s="39">
        <v>1066</v>
      </c>
      <c r="Q50" s="39"/>
      <c r="R50" s="39"/>
      <c r="S50" s="39"/>
      <c r="T50" s="39"/>
      <c r="U50" s="39"/>
      <c r="Z50" s="38">
        <v>794</v>
      </c>
      <c r="AA50" s="39">
        <v>1008</v>
      </c>
      <c r="AB50" s="39">
        <v>1090</v>
      </c>
      <c r="AC50" s="39">
        <v>1111</v>
      </c>
      <c r="AD50" s="39">
        <v>1165</v>
      </c>
    </row>
    <row r="51" spans="2:31" x14ac:dyDescent="0.25">
      <c r="B51" s="34" t="s">
        <v>104</v>
      </c>
      <c r="C51" s="46" t="s">
        <v>123</v>
      </c>
      <c r="D51" s="40"/>
      <c r="E51" s="40"/>
      <c r="F51" s="40"/>
      <c r="G51" s="40"/>
      <c r="H51" s="40"/>
      <c r="I51" s="40"/>
      <c r="J51" s="40"/>
      <c r="L51" s="40"/>
      <c r="M51" s="40"/>
      <c r="N51" s="40"/>
      <c r="O51" s="40"/>
      <c r="P51" s="40"/>
      <c r="Q51" s="39"/>
      <c r="R51" s="39"/>
      <c r="S51" s="39"/>
      <c r="T51" s="39"/>
      <c r="U51" s="39"/>
      <c r="AA51" s="43">
        <f>AA26/AA$46</f>
        <v>22435.068860020267</v>
      </c>
      <c r="AB51" s="43">
        <f>AB26/AB$46</f>
        <v>19519.636147133224</v>
      </c>
      <c r="AC51" s="43">
        <f>AC26/AC$46</f>
        <v>17210.08131352875</v>
      </c>
      <c r="AD51" s="43">
        <f>AD26/AD$46</f>
        <v>15775.66772282397</v>
      </c>
    </row>
    <row r="52" spans="2:31" s="35" customFormat="1" x14ac:dyDescent="0.25">
      <c r="B52" s="37" t="s">
        <v>105</v>
      </c>
      <c r="C52" s="47" t="s">
        <v>118</v>
      </c>
      <c r="D52" s="40"/>
      <c r="E52" s="40"/>
      <c r="F52" s="40"/>
      <c r="G52" s="40"/>
      <c r="H52" s="40"/>
      <c r="I52" s="40"/>
      <c r="J52" s="40"/>
      <c r="K52"/>
      <c r="L52" s="40"/>
      <c r="M52" s="40"/>
      <c r="N52" s="40"/>
      <c r="O52" s="40"/>
      <c r="P52" s="40"/>
      <c r="Q52" s="44"/>
      <c r="R52" s="44"/>
      <c r="S52" s="44"/>
      <c r="T52" s="44"/>
      <c r="U52" s="45"/>
      <c r="AA52" s="45">
        <f>AA53/AA51</f>
        <v>0.11079333499129569</v>
      </c>
      <c r="AB52" s="45">
        <f>AB53/AB51</f>
        <v>0.11202185792349727</v>
      </c>
      <c r="AC52" s="45">
        <f>AC53/AC51</f>
        <v>0.12007744843012776</v>
      </c>
      <c r="AD52" s="45">
        <f>AD53/AD51</f>
        <v>0.12919633774160733</v>
      </c>
      <c r="AE52" s="45"/>
    </row>
    <row r="53" spans="2:31" x14ac:dyDescent="0.25">
      <c r="B53" s="34" t="s">
        <v>106</v>
      </c>
      <c r="C53" s="46" t="s">
        <v>123</v>
      </c>
      <c r="D53" s="40"/>
      <c r="E53" s="40"/>
      <c r="F53" s="40"/>
      <c r="G53" s="40"/>
      <c r="H53" s="40"/>
      <c r="I53" s="40"/>
      <c r="J53" s="40"/>
      <c r="L53" s="40"/>
      <c r="M53" s="40"/>
      <c r="N53" s="40"/>
      <c r="O53" s="40"/>
      <c r="P53" s="40"/>
      <c r="Q53" s="39"/>
      <c r="R53" s="39"/>
      <c r="S53" s="39"/>
      <c r="T53" s="39"/>
      <c r="U53" s="39"/>
      <c r="AA53" s="43">
        <f t="shared" ref="AA53:AE54" si="8">AA28/AA$46</f>
        <v>2485.6560997610118</v>
      </c>
      <c r="AB53" s="43">
        <f t="shared" si="8"/>
        <v>2186.6259071925197</v>
      </c>
      <c r="AC53" s="43">
        <f t="shared" si="8"/>
        <v>2066.5426514035539</v>
      </c>
      <c r="AD53" s="43">
        <f t="shared" si="8"/>
        <v>2038.1584952173389</v>
      </c>
      <c r="AE53" s="43">
        <f t="shared" si="8"/>
        <v>1923.2241559967686</v>
      </c>
    </row>
    <row r="54" spans="2:31" x14ac:dyDescent="0.25">
      <c r="B54" s="34" t="s">
        <v>116</v>
      </c>
      <c r="C54" s="46" t="s">
        <v>123</v>
      </c>
      <c r="D54" s="40"/>
      <c r="E54" s="40"/>
      <c r="F54" s="40"/>
      <c r="G54" s="40"/>
      <c r="H54" s="40"/>
      <c r="I54" s="40"/>
      <c r="J54" s="40"/>
      <c r="L54" s="40"/>
      <c r="M54" s="40"/>
      <c r="N54" s="40"/>
      <c r="O54" s="40"/>
      <c r="P54" s="40"/>
      <c r="Q54" s="38"/>
      <c r="R54" s="38"/>
      <c r="S54" s="38"/>
      <c r="T54" s="38"/>
      <c r="U54" s="38"/>
      <c r="AA54" s="43">
        <f t="shared" si="8"/>
        <v>835.52637696792715</v>
      </c>
      <c r="AB54" s="43">
        <f t="shared" si="8"/>
        <v>669.46120521876242</v>
      </c>
      <c r="AC54" s="43">
        <f t="shared" si="8"/>
        <v>496.99850911433089</v>
      </c>
      <c r="AD54" s="43">
        <f t="shared" si="8"/>
        <v>430.39137873236575</v>
      </c>
      <c r="AE54" s="43">
        <f t="shared" si="8"/>
        <v>340.76899494087229</v>
      </c>
    </row>
    <row r="55" spans="2:31" s="35" customFormat="1" x14ac:dyDescent="0.25">
      <c r="B55" s="37" t="s">
        <v>113</v>
      </c>
      <c r="C55" s="47" t="s">
        <v>118</v>
      </c>
      <c r="D55" s="40"/>
      <c r="E55" s="40"/>
      <c r="F55" s="40"/>
      <c r="G55" s="40"/>
      <c r="H55" s="40"/>
      <c r="I55" s="40"/>
      <c r="J55" s="40"/>
      <c r="K55"/>
      <c r="L55" s="40"/>
      <c r="M55" s="40"/>
      <c r="N55" s="40"/>
      <c r="O55" s="40"/>
      <c r="P55" s="40"/>
      <c r="Q55" s="44"/>
      <c r="R55" s="44"/>
      <c r="S55" s="44"/>
      <c r="T55" s="44"/>
      <c r="U55" s="44"/>
      <c r="AA55" s="45">
        <f>AA54/AA53</f>
        <v>0.33613916947250283</v>
      </c>
      <c r="AB55" s="45">
        <f>AB54/AB53</f>
        <v>0.30616174582798461</v>
      </c>
      <c r="AC55" s="45">
        <f>AC54/AC53</f>
        <v>0.2404975812024879</v>
      </c>
      <c r="AD55" s="45">
        <f>AD54/AD53</f>
        <v>0.21116678596993557</v>
      </c>
      <c r="AE55" s="45">
        <f>AE54/AE53</f>
        <v>0.17718631178707223</v>
      </c>
    </row>
    <row r="57" spans="2:31" x14ac:dyDescent="0.25">
      <c r="B57" s="98" t="s">
        <v>980</v>
      </c>
    </row>
    <row r="58" spans="2:31" s="34" customFormat="1" x14ac:dyDescent="0.25">
      <c r="B58" s="34" t="s">
        <v>104</v>
      </c>
      <c r="C58" s="46" t="s">
        <v>123</v>
      </c>
      <c r="W58" s="346"/>
      <c r="X58" s="346"/>
      <c r="Y58" s="346"/>
      <c r="Z58" s="346">
        <f>SUMIF('SBET QTR'!$9:$9,SBET!Z$12,'SBET QTR'!$56:$56)</f>
        <v>0</v>
      </c>
      <c r="AA58" s="346">
        <f>SUMIF('SBET QTR'!$9:$9,SBET!AA$12,'SBET QTR'!$56:$56)</f>
        <v>0</v>
      </c>
      <c r="AB58" s="346">
        <f>SUMIF('SBET QTR'!$9:$9,SBET!AB$12,'SBET QTR'!$56:$56)</f>
        <v>0</v>
      </c>
      <c r="AC58" s="346">
        <f>SUMIF('SBET QTR'!$9:$9,SBET!AC$12,'SBET QTR'!$56:$56)</f>
        <v>0</v>
      </c>
      <c r="AD58" s="346">
        <f>SUMIF('SBET QTR'!$9:$9,SBET!AD$12,'SBET QTR'!$56:$56)</f>
        <v>0</v>
      </c>
      <c r="AE58" s="346"/>
    </row>
    <row r="59" spans="2:31" x14ac:dyDescent="0.25">
      <c r="B59" s="37" t="s">
        <v>105</v>
      </c>
      <c r="C59" s="47" t="s">
        <v>118</v>
      </c>
    </row>
    <row r="60" spans="2:31" s="34" customFormat="1" x14ac:dyDescent="0.25">
      <c r="B60" s="34" t="s">
        <v>106</v>
      </c>
      <c r="C60" s="46" t="s">
        <v>123</v>
      </c>
      <c r="Z60" s="346"/>
      <c r="AA60" s="346">
        <f>SUMIF('SBET QTR'!$9:$9,SBET!AA$12,'SBET QTR'!$59:$59)</f>
        <v>0</v>
      </c>
      <c r="AB60" s="346">
        <f>SUMIF('SBET QTR'!$9:$9,SBET!AB$12,'SBET QTR'!$59:$59)</f>
        <v>0</v>
      </c>
      <c r="AC60" s="346">
        <f>SUMIF('SBET QTR'!$9:$9,SBET!AC$12,'SBET QTR'!$59:$59)</f>
        <v>0</v>
      </c>
      <c r="AD60" s="346">
        <f>SUMIF('SBET QTR'!$9:$9,SBET!AD$12,'SBET QTR'!$59:$59)</f>
        <v>0</v>
      </c>
    </row>
    <row r="61" spans="2:31" x14ac:dyDescent="0.25">
      <c r="B61" s="36" t="s">
        <v>107</v>
      </c>
      <c r="C61" s="40" t="s">
        <v>123</v>
      </c>
      <c r="Z61" s="181"/>
      <c r="AA61" s="181">
        <f>SUMIF('SBET QTR'!$9:$9,SBET!AA$12,'SBET QTR'!$68:$68)</f>
        <v>0</v>
      </c>
      <c r="AB61" s="181">
        <f>SUMIF('SBET QTR'!$9:$9,SBET!AB$12,'SBET QTR'!$68:$68)</f>
        <v>0</v>
      </c>
      <c r="AC61" s="181">
        <f>SUMIF('SBET QTR'!$9:$9,SBET!AC$12,'SBET QTR'!$68:$68)</f>
        <v>0</v>
      </c>
      <c r="AD61" s="181">
        <f>SUMIF('SBET QTR'!$9:$9,SBET!AD$12,'SBET QTR'!$68:$68)</f>
        <v>0</v>
      </c>
    </row>
    <row r="62" spans="2:31" x14ac:dyDescent="0.25">
      <c r="B62" s="37" t="s">
        <v>108</v>
      </c>
      <c r="C62" s="47" t="s">
        <v>118</v>
      </c>
      <c r="AA62" s="45" t="e">
        <f>-AA61/AA60</f>
        <v>#DIV/0!</v>
      </c>
      <c r="AB62" s="45" t="e">
        <f>-AB61/AB60</f>
        <v>#DIV/0!</v>
      </c>
      <c r="AC62" s="45" t="e">
        <f>-AC61/AC60</f>
        <v>#DIV/0!</v>
      </c>
      <c r="AD62" s="45" t="e">
        <f>-AD61/AD60</f>
        <v>#DIV/0!</v>
      </c>
    </row>
    <row r="63" spans="2:31" x14ac:dyDescent="0.25">
      <c r="B63" s="34" t="s">
        <v>109</v>
      </c>
      <c r="C63" s="46" t="s">
        <v>123</v>
      </c>
      <c r="AA63" s="181">
        <f>AA60-AA61</f>
        <v>0</v>
      </c>
      <c r="AB63" s="181">
        <f>AB60-AB61</f>
        <v>0</v>
      </c>
      <c r="AC63" s="181">
        <f>AC60-AC61</f>
        <v>0</v>
      </c>
      <c r="AD63" s="181">
        <f>AD60-AD61</f>
        <v>0</v>
      </c>
    </row>
    <row r="64" spans="2:31" x14ac:dyDescent="0.25">
      <c r="B64" s="36" t="s">
        <v>110</v>
      </c>
      <c r="C64" s="40" t="s">
        <v>123</v>
      </c>
      <c r="AA64" s="181">
        <f>SUMIF('SBET QTR'!$9:$9,SBET!AA$12,'SBET QTR'!$70:$70)</f>
        <v>0</v>
      </c>
      <c r="AB64" s="181">
        <f>SUMIF('SBET QTR'!$9:$9,SBET!AB$12,'SBET QTR'!$70:$70)</f>
        <v>0</v>
      </c>
      <c r="AC64" s="181">
        <f>SUMIF('SBET QTR'!$9:$9,SBET!AC$12,'SBET QTR'!$70:$70)</f>
        <v>0</v>
      </c>
      <c r="AD64" s="181">
        <f>SUMIF('SBET QTR'!$9:$9,SBET!AD$12,'SBET QTR'!$70:$70)</f>
        <v>0</v>
      </c>
    </row>
    <row r="65" spans="2:30" x14ac:dyDescent="0.25">
      <c r="B65" s="34" t="s">
        <v>111</v>
      </c>
      <c r="C65" s="46" t="s">
        <v>123</v>
      </c>
      <c r="AA65" s="181">
        <f>AA63-AA64</f>
        <v>0</v>
      </c>
      <c r="AB65" s="181">
        <f>AB63-AB64</f>
        <v>0</v>
      </c>
      <c r="AC65" s="181">
        <f>AC63-AC64</f>
        <v>0</v>
      </c>
      <c r="AD65" s="181">
        <f>AD63-AD64</f>
        <v>0</v>
      </c>
    </row>
    <row r="66" spans="2:30" x14ac:dyDescent="0.25">
      <c r="B66" s="36" t="s">
        <v>112</v>
      </c>
      <c r="C66" s="40" t="s">
        <v>123</v>
      </c>
      <c r="AA66" s="181">
        <f>AA65-AA67</f>
        <v>0</v>
      </c>
      <c r="AB66" s="181">
        <f>AB65-AB67</f>
        <v>0</v>
      </c>
      <c r="AC66" s="181">
        <f>AC65-AC67</f>
        <v>0</v>
      </c>
      <c r="AD66" s="181">
        <f>AD65-AD67</f>
        <v>0</v>
      </c>
    </row>
    <row r="67" spans="2:30" s="34" customFormat="1" x14ac:dyDescent="0.25">
      <c r="B67" s="34" t="s">
        <v>116</v>
      </c>
      <c r="C67" s="46" t="s">
        <v>123</v>
      </c>
      <c r="AA67" s="345">
        <f>SUMIF('SBET QTR'!$9:$9,SBET!AA$12,'SBET QTR'!$64:$64)</f>
        <v>0</v>
      </c>
      <c r="AB67" s="345">
        <f>SUMIF('SBET QTR'!$9:$9,SBET!AB$12,'SBET QTR'!$64:$64)</f>
        <v>0</v>
      </c>
      <c r="AC67" s="345">
        <f>SUMIF('SBET QTR'!$9:$9,SBET!AC$12,'SBET QTR'!$64:$64)</f>
        <v>0</v>
      </c>
      <c r="AD67" s="345">
        <f>SUMIF('SBET QTR'!$9:$9,SBET!AD$12,'SBET QTR'!$64:$64)</f>
        <v>0</v>
      </c>
    </row>
    <row r="68" spans="2:30" x14ac:dyDescent="0.25">
      <c r="B68" s="37" t="s">
        <v>113</v>
      </c>
      <c r="C68" s="47" t="s">
        <v>118</v>
      </c>
      <c r="AA68" s="45" t="e">
        <f>AA67/AA60</f>
        <v>#DIV/0!</v>
      </c>
      <c r="AB68" s="45" t="e">
        <f>AB67/AB60</f>
        <v>#DIV/0!</v>
      </c>
      <c r="AC68" s="45" t="e">
        <f>AC67/AC60</f>
        <v>#DIV/0!</v>
      </c>
      <c r="AD68" s="45" t="e">
        <f>AD67/AD60</f>
        <v>#DIV/0!</v>
      </c>
    </row>
    <row r="69" spans="2:30" x14ac:dyDescent="0.25">
      <c r="B69" s="36" t="s">
        <v>114</v>
      </c>
      <c r="C69" s="40" t="s">
        <v>123</v>
      </c>
    </row>
    <row r="70" spans="2:30" x14ac:dyDescent="0.25">
      <c r="B70" s="34" t="s">
        <v>115</v>
      </c>
      <c r="C70" s="46" t="s">
        <v>123</v>
      </c>
    </row>
    <row r="77" spans="2:30" x14ac:dyDescent="0.25">
      <c r="B77" s="98" t="s">
        <v>546</v>
      </c>
    </row>
    <row r="78" spans="2:30" x14ac:dyDescent="0.25">
      <c r="B78" s="34" t="s">
        <v>104</v>
      </c>
      <c r="C78" s="46" t="s">
        <v>123</v>
      </c>
      <c r="D78" s="43">
        <f t="shared" ref="D78:P78" si="9">D32/D$47</f>
        <v>3228.9616876090272</v>
      </c>
      <c r="E78" s="43">
        <f t="shared" si="9"/>
        <v>2998.4194196733479</v>
      </c>
      <c r="F78" s="43">
        <f t="shared" si="9"/>
        <v>3770.1164562935642</v>
      </c>
      <c r="G78" s="43">
        <f t="shared" si="9"/>
        <v>3921.6312318015985</v>
      </c>
      <c r="H78" s="43">
        <f t="shared" si="9"/>
        <v>6066.1924436682702</v>
      </c>
      <c r="I78" s="43">
        <f t="shared" si="9"/>
        <v>6326.0607817342661</v>
      </c>
      <c r="J78" s="43">
        <f t="shared" si="9"/>
        <v>7132.9196940444772</v>
      </c>
      <c r="K78" s="43">
        <f t="shared" si="9"/>
        <v>10820.753051496698</v>
      </c>
      <c r="L78" s="43">
        <f t="shared" si="9"/>
        <v>9001.6286667680761</v>
      </c>
      <c r="M78" s="43">
        <f t="shared" si="9"/>
        <v>12483.669814875177</v>
      </c>
      <c r="N78" s="43">
        <f t="shared" si="9"/>
        <v>9392.0397843059964</v>
      </c>
      <c r="O78" s="43">
        <f t="shared" si="9"/>
        <v>10671.301531646679</v>
      </c>
      <c r="P78" s="43">
        <f t="shared" si="9"/>
        <v>9038.7017982228299</v>
      </c>
      <c r="Q78" s="39"/>
      <c r="R78" s="39"/>
      <c r="S78" s="39"/>
      <c r="T78" s="39"/>
      <c r="U78" s="39"/>
      <c r="W78" s="43">
        <f t="shared" ref="W78:AB78" si="10">W32/W$47</f>
        <v>6228.9209871374387</v>
      </c>
      <c r="X78" s="43">
        <f t="shared" si="10"/>
        <v>7691.6099400959183</v>
      </c>
      <c r="Y78" s="43">
        <f t="shared" si="10"/>
        <v>12391.999684927267</v>
      </c>
      <c r="Z78" s="43">
        <f t="shared" si="10"/>
        <v>18058.041337262654</v>
      </c>
      <c r="AA78" s="43">
        <f t="shared" si="10"/>
        <v>21430.219324527046</v>
      </c>
      <c r="AB78" s="43">
        <f t="shared" si="10"/>
        <v>20079.128019345124</v>
      </c>
    </row>
    <row r="79" spans="2:30" x14ac:dyDescent="0.25">
      <c r="B79" s="37" t="s">
        <v>105</v>
      </c>
      <c r="C79" s="47" t="s">
        <v>118</v>
      </c>
      <c r="D79" s="45">
        <f>D80/D78</f>
        <v>9.4056847545219632E-2</v>
      </c>
      <c r="E79" s="45">
        <f t="shared" ref="E79:P79" si="11">E80/E78</f>
        <v>0.12521150592216582</v>
      </c>
      <c r="F79" s="45">
        <f t="shared" si="11"/>
        <v>9.7918637653736998E-2</v>
      </c>
      <c r="G79" s="45">
        <f t="shared" si="11"/>
        <v>8.9334548769371011E-2</v>
      </c>
      <c r="H79" s="45">
        <f t="shared" si="11"/>
        <v>9.4806763285024159E-2</v>
      </c>
      <c r="I79" s="45">
        <f t="shared" si="11"/>
        <v>0.10671706891538238</v>
      </c>
      <c r="J79" s="45">
        <f t="shared" si="11"/>
        <v>0.11684125705076551</v>
      </c>
      <c r="K79" s="45">
        <f t="shared" si="11"/>
        <v>0.10684474123539232</v>
      </c>
      <c r="L79" s="45">
        <f t="shared" si="11"/>
        <v>0.11700000000000002</v>
      </c>
      <c r="M79" s="45">
        <f t="shared" si="11"/>
        <v>0.10578931662190391</v>
      </c>
      <c r="N79" s="45">
        <f t="shared" si="11"/>
        <v>0.11748896141293913</v>
      </c>
      <c r="O79" s="45">
        <f t="shared" si="11"/>
        <v>0.10694923607688517</v>
      </c>
      <c r="P79" s="45">
        <f t="shared" si="11"/>
        <v>0.12134060165556229</v>
      </c>
      <c r="Q79" s="44"/>
      <c r="R79" s="44"/>
      <c r="S79" s="44"/>
      <c r="T79" s="44"/>
      <c r="U79" s="44"/>
      <c r="V79" s="35"/>
      <c r="W79" s="45">
        <f t="shared" ref="W79:AB79" si="12">W80/W78</f>
        <v>0.10895361380798273</v>
      </c>
      <c r="X79" s="45">
        <f t="shared" si="12"/>
        <v>9.3546889507892292E-2</v>
      </c>
      <c r="Y79" s="45">
        <f t="shared" si="12"/>
        <v>0.10087394460079988</v>
      </c>
      <c r="Z79" s="45">
        <f t="shared" si="12"/>
        <v>0.11067641305466899</v>
      </c>
      <c r="AA79" s="45">
        <f t="shared" si="12"/>
        <v>0.1105793881387797</v>
      </c>
      <c r="AB79" s="45">
        <f t="shared" si="12"/>
        <v>0.11180949008498584</v>
      </c>
    </row>
    <row r="80" spans="2:30" x14ac:dyDescent="0.25">
      <c r="B80" s="34" t="s">
        <v>106</v>
      </c>
      <c r="C80" s="46" t="s">
        <v>123</v>
      </c>
      <c r="D80" s="43">
        <f t="shared" ref="D80:P80" si="13">D34/D$47</f>
        <v>303.70595718079738</v>
      </c>
      <c r="E80" s="43">
        <f t="shared" si="13"/>
        <v>375.43661092356638</v>
      </c>
      <c r="F80" s="43">
        <f t="shared" si="13"/>
        <v>369.16466719620047</v>
      </c>
      <c r="G80" s="43">
        <f t="shared" si="13"/>
        <v>350.33715653286839</v>
      </c>
      <c r="H80" s="43">
        <f t="shared" si="13"/>
        <v>575.11607104825998</v>
      </c>
      <c r="I80" s="43">
        <f t="shared" si="13"/>
        <v>675.0986644072334</v>
      </c>
      <c r="J80" s="43">
        <f t="shared" si="13"/>
        <v>833.41930349431846</v>
      </c>
      <c r="K80" s="43">
        <f t="shared" si="13"/>
        <v>1156.1405597592466</v>
      </c>
      <c r="L80" s="43">
        <f t="shared" si="13"/>
        <v>1053.1905540118651</v>
      </c>
      <c r="M80" s="43">
        <f t="shared" si="13"/>
        <v>1320.6388986491347</v>
      </c>
      <c r="N80" s="43">
        <f t="shared" si="13"/>
        <v>1103.4609998071164</v>
      </c>
      <c r="O80" s="43">
        <f t="shared" si="13"/>
        <v>1141.2875467557069</v>
      </c>
      <c r="P80" s="43">
        <f t="shared" si="13"/>
        <v>1096.761514381571</v>
      </c>
      <c r="Q80" s="39"/>
      <c r="R80" s="39"/>
      <c r="S80" s="39"/>
      <c r="T80" s="39"/>
      <c r="U80" s="39"/>
      <c r="W80" s="43">
        <f t="shared" ref="W80:AB81" si="14">W34/W$47</f>
        <v>678.66345167301108</v>
      </c>
      <c r="X80" s="43">
        <f t="shared" si="14"/>
        <v>719.5261852039589</v>
      </c>
      <c r="Y80" s="43">
        <f t="shared" si="14"/>
        <v>1250.0298897104826</v>
      </c>
      <c r="Z80" s="43">
        <f t="shared" si="14"/>
        <v>1998.5992420011687</v>
      </c>
      <c r="AA80" s="43">
        <f t="shared" si="14"/>
        <v>2369.7405405860536</v>
      </c>
      <c r="AB80" s="43">
        <f t="shared" si="14"/>
        <v>2245.0370651941298</v>
      </c>
    </row>
    <row r="81" spans="2:31" x14ac:dyDescent="0.25">
      <c r="B81" s="36" t="s">
        <v>107</v>
      </c>
      <c r="C81" s="40" t="s">
        <v>123</v>
      </c>
      <c r="D81" s="43">
        <f t="shared" ref="D81:P81" si="15">D35/D$47</f>
        <v>-85.104416572641028</v>
      </c>
      <c r="E81" s="43">
        <f t="shared" si="15"/>
        <v>-101.46935430366659</v>
      </c>
      <c r="F81" s="43">
        <f t="shared" si="15"/>
        <v>-148.02254771635091</v>
      </c>
      <c r="G81" s="43">
        <f t="shared" si="15"/>
        <v>-67.922509940045913</v>
      </c>
      <c r="H81" s="43">
        <f t="shared" si="15"/>
        <v>-256.42117817438339</v>
      </c>
      <c r="I81" s="43">
        <f t="shared" si="15"/>
        <v>-292.48143771321554</v>
      </c>
      <c r="J81" s="43">
        <f t="shared" si="15"/>
        <v>-383.181288962905</v>
      </c>
      <c r="K81" s="43">
        <f t="shared" si="15"/>
        <v>-578.07027987962329</v>
      </c>
      <c r="L81" s="43">
        <f t="shared" si="15"/>
        <v>-495.08957667224422</v>
      </c>
      <c r="M81" s="43">
        <f t="shared" si="15"/>
        <v>-672.42685812741558</v>
      </c>
      <c r="N81" s="43">
        <f t="shared" si="15"/>
        <v>-522.88184631382967</v>
      </c>
      <c r="O81" s="43">
        <f t="shared" si="15"/>
        <v>-604.82980588436078</v>
      </c>
      <c r="P81" s="43">
        <f t="shared" si="15"/>
        <v>-578.49151424119475</v>
      </c>
      <c r="Q81" s="38"/>
      <c r="R81" s="38"/>
      <c r="S81" s="38"/>
      <c r="T81" s="38"/>
      <c r="U81" s="38"/>
      <c r="W81" s="43">
        <f t="shared" si="14"/>
        <v>-186.46446320718871</v>
      </c>
      <c r="X81" s="43">
        <f t="shared" si="14"/>
        <v>-216.03639803890576</v>
      </c>
      <c r="Y81" s="43">
        <f t="shared" si="14"/>
        <v>-548.83838035746601</v>
      </c>
      <c r="Z81" s="43">
        <f t="shared" si="14"/>
        <v>-966.76428450289086</v>
      </c>
      <c r="AA81" s="43">
        <f t="shared" si="14"/>
        <v>-1164.7256443684157</v>
      </c>
      <c r="AB81" s="43">
        <f t="shared" si="14"/>
        <v>-1128.739933807025</v>
      </c>
    </row>
    <row r="82" spans="2:31" x14ac:dyDescent="0.25">
      <c r="B82" s="37" t="s">
        <v>108</v>
      </c>
      <c r="C82" s="47" t="s">
        <v>118</v>
      </c>
      <c r="D82" s="45">
        <f>-D81/D80</f>
        <v>0.28021978021978022</v>
      </c>
      <c r="E82" s="45">
        <f t="shared" ref="E82:P82" si="16">-E81/E80</f>
        <v>0.27027027027027029</v>
      </c>
      <c r="F82" s="45">
        <f t="shared" si="16"/>
        <v>0.40096618357487923</v>
      </c>
      <c r="G82" s="45">
        <f t="shared" si="16"/>
        <v>0.19387755102040816</v>
      </c>
      <c r="H82" s="45">
        <f t="shared" si="16"/>
        <v>0.44585987261146487</v>
      </c>
      <c r="I82" s="45">
        <f t="shared" si="16"/>
        <v>0.43324250681198906</v>
      </c>
      <c r="J82" s="45">
        <f t="shared" si="16"/>
        <v>0.45977011494252867</v>
      </c>
      <c r="K82" s="45">
        <f t="shared" si="16"/>
        <v>0.5</v>
      </c>
      <c r="L82" s="45">
        <f t="shared" si="16"/>
        <v>0.47008547008547003</v>
      </c>
      <c r="M82" s="45">
        <f t="shared" si="16"/>
        <v>0.5091678420310296</v>
      </c>
      <c r="N82" s="45">
        <f t="shared" si="16"/>
        <v>0.47385620915032678</v>
      </c>
      <c r="O82" s="45">
        <f t="shared" si="16"/>
        <v>0.52995391705069128</v>
      </c>
      <c r="P82" s="45">
        <f t="shared" si="16"/>
        <v>0.52745424292845267</v>
      </c>
      <c r="Q82" s="44"/>
      <c r="R82" s="44"/>
      <c r="S82" s="44"/>
      <c r="T82" s="44"/>
      <c r="U82" s="44"/>
      <c r="V82" s="35"/>
      <c r="W82" s="45">
        <f t="shared" ref="W82:AB82" si="17">-W81/W80</f>
        <v>0.27475247524752477</v>
      </c>
      <c r="X82" s="45">
        <f t="shared" si="17"/>
        <v>0.30024813895781638</v>
      </c>
      <c r="Y82" s="45">
        <f t="shared" si="17"/>
        <v>0.43906020558002945</v>
      </c>
      <c r="Z82" s="45">
        <f t="shared" si="17"/>
        <v>0.48372093023255813</v>
      </c>
      <c r="AA82" s="45">
        <f t="shared" si="17"/>
        <v>0.49149922720247291</v>
      </c>
      <c r="AB82" s="45">
        <f t="shared" si="17"/>
        <v>0.50277117973079977</v>
      </c>
    </row>
    <row r="83" spans="2:31" x14ac:dyDescent="0.25">
      <c r="B83" s="34" t="s">
        <v>109</v>
      </c>
      <c r="C83" s="46" t="s">
        <v>123</v>
      </c>
      <c r="D83" s="43">
        <f t="shared" ref="D83:P83" si="18">D37/D$47</f>
        <v>218.60154060815637</v>
      </c>
      <c r="E83" s="43">
        <f t="shared" si="18"/>
        <v>272.27610071483866</v>
      </c>
      <c r="F83" s="43">
        <f t="shared" si="18"/>
        <v>221.14211947984955</v>
      </c>
      <c r="G83" s="43">
        <f t="shared" si="18"/>
        <v>282.41464659282246</v>
      </c>
      <c r="H83" s="43">
        <f t="shared" si="18"/>
        <v>318.69489287387654</v>
      </c>
      <c r="I83" s="43">
        <f t="shared" si="18"/>
        <v>382.61722669401786</v>
      </c>
      <c r="J83" s="43">
        <f t="shared" si="18"/>
        <v>450.2380145314134</v>
      </c>
      <c r="K83" s="43">
        <f t="shared" si="18"/>
        <v>578.07027987962329</v>
      </c>
      <c r="L83" s="43">
        <f t="shared" si="18"/>
        <v>558.10097733962073</v>
      </c>
      <c r="M83" s="43">
        <f t="shared" si="18"/>
        <v>648.21204052171913</v>
      </c>
      <c r="N83" s="43">
        <f t="shared" si="18"/>
        <v>580.57915349328675</v>
      </c>
      <c r="O83" s="43">
        <f t="shared" si="18"/>
        <v>536.45774087134612</v>
      </c>
      <c r="P83" s="43">
        <f t="shared" si="18"/>
        <v>518.27000014037628</v>
      </c>
      <c r="Q83" s="38"/>
      <c r="R83" s="38"/>
      <c r="S83" s="38"/>
      <c r="T83" s="38"/>
      <c r="U83" s="38"/>
      <c r="W83" s="43">
        <f t="shared" ref="W83:AB87" si="19">W37/W$47</f>
        <v>490.51912843692884</v>
      </c>
      <c r="X83" s="43">
        <f t="shared" si="19"/>
        <v>503.48978716505314</v>
      </c>
      <c r="Y83" s="43">
        <f t="shared" si="19"/>
        <v>701.19150935301673</v>
      </c>
      <c r="Z83" s="43">
        <f t="shared" si="19"/>
        <v>1031.8349574982778</v>
      </c>
      <c r="AA83" s="43">
        <f t="shared" si="19"/>
        <v>1205.0148962176377</v>
      </c>
      <c r="AB83" s="43">
        <f t="shared" si="19"/>
        <v>1116.2971313871051</v>
      </c>
    </row>
    <row r="84" spans="2:31" x14ac:dyDescent="0.25">
      <c r="B84" s="36" t="s">
        <v>110</v>
      </c>
      <c r="C84" s="40" t="s">
        <v>123</v>
      </c>
      <c r="D84" s="43">
        <f t="shared" ref="D84:P84" si="20">D38/D$47</f>
        <v>-66.748562017757664</v>
      </c>
      <c r="E84" s="43">
        <f t="shared" si="20"/>
        <v>-71.028548012566617</v>
      </c>
      <c r="F84" s="43">
        <f t="shared" si="20"/>
        <v>-60.635742438023264</v>
      </c>
      <c r="G84" s="43">
        <f t="shared" si="20"/>
        <v>-85.796854661110629</v>
      </c>
      <c r="H84" s="43">
        <f t="shared" si="20"/>
        <v>-102.56847126975336</v>
      </c>
      <c r="I84" s="43">
        <f t="shared" si="20"/>
        <v>-125.08640103458275</v>
      </c>
      <c r="J84" s="43">
        <f t="shared" si="20"/>
        <v>-113.03848024405698</v>
      </c>
      <c r="K84" s="43">
        <f t="shared" si="20"/>
        <v>-126.45287372366761</v>
      </c>
      <c r="L84" s="43">
        <f t="shared" si="20"/>
        <v>-106.2192182678633</v>
      </c>
      <c r="M84" s="43">
        <f t="shared" si="20"/>
        <v>-111.76069664167572</v>
      </c>
      <c r="N84" s="43">
        <f t="shared" si="20"/>
        <v>-97.364205865333801</v>
      </c>
      <c r="O84" s="43">
        <f t="shared" si="20"/>
        <v>-140.25038977028657</v>
      </c>
      <c r="P84" s="43">
        <f t="shared" si="20"/>
        <v>-116.79323946825382</v>
      </c>
      <c r="Q84" s="38"/>
      <c r="R84" s="38"/>
      <c r="S84" s="38"/>
      <c r="T84" s="38"/>
      <c r="U84" s="38"/>
      <c r="W84" s="43">
        <f>W38/W$47</f>
        <v>-137.74852236927453</v>
      </c>
      <c r="X84" s="43">
        <f t="shared" si="19"/>
        <v>-146.40483172884524</v>
      </c>
      <c r="Y84" s="43">
        <f t="shared" si="19"/>
        <v>-227.61190355961799</v>
      </c>
      <c r="Z84" s="43">
        <f t="shared" si="19"/>
        <v>-239.83190904014023</v>
      </c>
      <c r="AA84" s="43">
        <f t="shared" si="19"/>
        <v>-217.92822591170045</v>
      </c>
      <c r="AB84" s="43">
        <f t="shared" si="19"/>
        <v>-238.19078918132496</v>
      </c>
    </row>
    <row r="85" spans="2:31" x14ac:dyDescent="0.25">
      <c r="B85" s="34" t="s">
        <v>111</v>
      </c>
      <c r="C85" s="46" t="s">
        <v>123</v>
      </c>
      <c r="D85" s="43">
        <f t="shared" ref="D85:P85" si="21">D39/D$47</f>
        <v>151.85297859039869</v>
      </c>
      <c r="E85" s="43">
        <f t="shared" si="21"/>
        <v>201.24755270227206</v>
      </c>
      <c r="F85" s="43">
        <f t="shared" si="21"/>
        <v>160.50637704182628</v>
      </c>
      <c r="G85" s="43">
        <f t="shared" si="21"/>
        <v>194.83035745960538</v>
      </c>
      <c r="H85" s="43">
        <f t="shared" si="21"/>
        <v>216.12642160412315</v>
      </c>
      <c r="I85" s="43">
        <f t="shared" si="21"/>
        <v>257.5308256594351</v>
      </c>
      <c r="J85" s="43">
        <f t="shared" si="21"/>
        <v>337.19953428735641</v>
      </c>
      <c r="K85" s="43">
        <f t="shared" si="21"/>
        <v>451.61740615595573</v>
      </c>
      <c r="L85" s="43">
        <f t="shared" si="21"/>
        <v>453.68208480511106</v>
      </c>
      <c r="M85" s="43">
        <f t="shared" si="21"/>
        <v>534.58866560268223</v>
      </c>
      <c r="N85" s="43">
        <f t="shared" si="21"/>
        <v>485.01798847731095</v>
      </c>
      <c r="O85" s="43">
        <f t="shared" si="21"/>
        <v>394.45422122893098</v>
      </c>
      <c r="P85" s="43">
        <f t="shared" si="21"/>
        <v>399.65186630543104</v>
      </c>
      <c r="Q85" s="38"/>
      <c r="R85" s="38"/>
      <c r="S85" s="38"/>
      <c r="T85" s="38"/>
      <c r="U85" s="38"/>
      <c r="W85" s="43">
        <f t="shared" si="19"/>
        <v>352.77060606765428</v>
      </c>
      <c r="X85" s="43">
        <f t="shared" si="19"/>
        <v>355.29953065902686</v>
      </c>
      <c r="Y85" s="43">
        <f t="shared" si="19"/>
        <v>473.57960579339874</v>
      </c>
      <c r="Z85" s="43">
        <f t="shared" si="19"/>
        <v>792.00304845813753</v>
      </c>
      <c r="AA85" s="43">
        <f t="shared" si="19"/>
        <v>987.08667030593733</v>
      </c>
      <c r="AB85" s="43">
        <f t="shared" si="19"/>
        <v>878.10634220578004</v>
      </c>
    </row>
    <row r="86" spans="2:31" x14ac:dyDescent="0.25">
      <c r="B86" s="36" t="s">
        <v>112</v>
      </c>
      <c r="C86" s="40" t="s">
        <v>123</v>
      </c>
      <c r="D86" s="43">
        <f t="shared" ref="D86:P86" si="22">D40/D$47</f>
        <v>-36.711709109766716</v>
      </c>
      <c r="E86" s="43">
        <f t="shared" si="22"/>
        <v>-82.866639347994379</v>
      </c>
      <c r="F86" s="43">
        <f t="shared" si="22"/>
        <v>-37.451487976426137</v>
      </c>
      <c r="G86" s="43">
        <f t="shared" si="22"/>
        <v>-73.284813356365333</v>
      </c>
      <c r="H86" s="43">
        <f t="shared" si="22"/>
        <v>-89.747412361034193</v>
      </c>
      <c r="I86" s="43">
        <f t="shared" si="22"/>
        <v>-86.456777185667491</v>
      </c>
      <c r="J86" s="43">
        <f t="shared" si="22"/>
        <v>-105.37485446479889</v>
      </c>
      <c r="K86" s="43">
        <f t="shared" si="22"/>
        <v>-95.742890105062614</v>
      </c>
      <c r="L86" s="43">
        <f t="shared" si="22"/>
        <v>-91.816612401034376</v>
      </c>
      <c r="M86" s="43">
        <f t="shared" si="22"/>
        <v>-94.996592145424358</v>
      </c>
      <c r="N86" s="43">
        <f t="shared" si="22"/>
        <v>-90.152042467901666</v>
      </c>
      <c r="O86" s="43">
        <f t="shared" si="22"/>
        <v>-94.669013094943438</v>
      </c>
      <c r="P86" s="43">
        <f t="shared" si="22"/>
        <v>-111.31855636817942</v>
      </c>
      <c r="Q86" s="38"/>
      <c r="R86" s="38"/>
      <c r="S86" s="38"/>
      <c r="T86" s="38"/>
      <c r="U86" s="38"/>
      <c r="W86" s="43">
        <f t="shared" si="19"/>
        <v>-119.27006205144502</v>
      </c>
      <c r="X86" s="43">
        <f t="shared" si="19"/>
        <v>-110.69633618522444</v>
      </c>
      <c r="Y86" s="43">
        <f t="shared" si="19"/>
        <v>-176.21566727196233</v>
      </c>
      <c r="Z86" s="43">
        <f t="shared" si="19"/>
        <v>-200.78950524290809</v>
      </c>
      <c r="AA86" s="43">
        <f t="shared" si="19"/>
        <v>-186.79562221002894</v>
      </c>
      <c r="AB86" s="43">
        <f t="shared" si="19"/>
        <v>-184.86449309595369</v>
      </c>
    </row>
    <row r="87" spans="2:31" x14ac:dyDescent="0.25">
      <c r="B87" s="34" t="s">
        <v>116</v>
      </c>
      <c r="C87" s="46" t="s">
        <v>123</v>
      </c>
      <c r="D87" s="43">
        <f t="shared" ref="D87:P87" si="23">D41/D$47</f>
        <v>115.14126948063198</v>
      </c>
      <c r="E87" s="43">
        <f t="shared" si="23"/>
        <v>118.38091335427768</v>
      </c>
      <c r="F87" s="43">
        <f t="shared" si="23"/>
        <v>123.05488906540016</v>
      </c>
      <c r="G87" s="43">
        <f t="shared" si="23"/>
        <v>121.54554410324006</v>
      </c>
      <c r="H87" s="43">
        <f t="shared" si="23"/>
        <v>126.37900924308896</v>
      </c>
      <c r="I87" s="43">
        <f t="shared" si="23"/>
        <v>169.2345425762002</v>
      </c>
      <c r="J87" s="43">
        <f t="shared" si="23"/>
        <v>231.82467982255756</v>
      </c>
      <c r="K87" s="43">
        <f t="shared" si="23"/>
        <v>355.87451605089313</v>
      </c>
      <c r="L87" s="43">
        <f t="shared" si="23"/>
        <v>361.86547240407668</v>
      </c>
      <c r="M87" s="43">
        <f t="shared" si="23"/>
        <v>439.59207345725781</v>
      </c>
      <c r="N87" s="43">
        <f t="shared" si="23"/>
        <v>394.8659460094093</v>
      </c>
      <c r="O87" s="43">
        <f t="shared" si="23"/>
        <v>299.78520813398757</v>
      </c>
      <c r="P87" s="43">
        <f t="shared" si="23"/>
        <v>288.33330993725161</v>
      </c>
      <c r="Q87" s="38"/>
      <c r="R87" s="38"/>
      <c r="S87" s="38"/>
      <c r="T87" s="38"/>
      <c r="U87" s="38"/>
      <c r="W87" s="43">
        <f t="shared" si="19"/>
        <v>233.50054401620926</v>
      </c>
      <c r="X87" s="43">
        <f t="shared" si="19"/>
        <v>244.6031944738024</v>
      </c>
      <c r="Y87" s="43">
        <f t="shared" si="19"/>
        <v>295.52835865402017</v>
      </c>
      <c r="Z87" s="43">
        <f t="shared" si="19"/>
        <v>591.21354321522938</v>
      </c>
      <c r="AA87" s="43">
        <f t="shared" si="19"/>
        <v>800.29104809590831</v>
      </c>
      <c r="AB87" s="43">
        <f t="shared" si="19"/>
        <v>693.24184910982638</v>
      </c>
    </row>
    <row r="88" spans="2:31" x14ac:dyDescent="0.25">
      <c r="B88" s="37" t="s">
        <v>113</v>
      </c>
      <c r="C88" s="47" t="s">
        <v>118</v>
      </c>
      <c r="D88" s="45">
        <f>D103/D96</f>
        <v>0.37912087912087911</v>
      </c>
      <c r="E88" s="45">
        <f>E103/E96</f>
        <v>0.31531531531531531</v>
      </c>
      <c r="F88" s="45">
        <f>F87/F80</f>
        <v>0.33333333333333337</v>
      </c>
      <c r="G88" s="45">
        <f t="shared" ref="G88:P88" si="24">G87/G80</f>
        <v>0.34693877551020408</v>
      </c>
      <c r="H88" s="45">
        <f t="shared" si="24"/>
        <v>0.21974522292993628</v>
      </c>
      <c r="I88" s="45">
        <f t="shared" si="24"/>
        <v>0.25068119891008173</v>
      </c>
      <c r="J88" s="45">
        <f t="shared" si="24"/>
        <v>0.27816091954022992</v>
      </c>
      <c r="K88" s="45">
        <f t="shared" si="24"/>
        <v>0.30781250000000004</v>
      </c>
      <c r="L88" s="45">
        <f t="shared" si="24"/>
        <v>0.34358974358974353</v>
      </c>
      <c r="M88" s="45">
        <f t="shared" si="24"/>
        <v>0.33286318758815231</v>
      </c>
      <c r="N88" s="45">
        <f t="shared" si="24"/>
        <v>0.35784313725490197</v>
      </c>
      <c r="O88" s="45">
        <f t="shared" si="24"/>
        <v>0.26267281105990786</v>
      </c>
      <c r="P88" s="45">
        <f t="shared" si="24"/>
        <v>0.26289517470881862</v>
      </c>
      <c r="Q88" s="44"/>
      <c r="R88" s="44"/>
      <c r="S88" s="44"/>
      <c r="T88" s="44"/>
      <c r="U88" s="44"/>
      <c r="V88" s="35"/>
      <c r="W88" s="45">
        <f t="shared" ref="W88:AB88" si="25">W87/W80</f>
        <v>0.34405940594059409</v>
      </c>
      <c r="X88" s="45">
        <f t="shared" si="25"/>
        <v>0.33995037220843671</v>
      </c>
      <c r="Y88" s="45">
        <f t="shared" si="25"/>
        <v>0.236417033773862</v>
      </c>
      <c r="Z88" s="45">
        <f t="shared" si="25"/>
        <v>0.29581395348837208</v>
      </c>
      <c r="AA88" s="45">
        <f t="shared" si="25"/>
        <v>0.33771251931993818</v>
      </c>
      <c r="AB88" s="45">
        <f t="shared" si="25"/>
        <v>0.30878859857482188</v>
      </c>
    </row>
    <row r="89" spans="2:31" x14ac:dyDescent="0.25">
      <c r="B89" s="36" t="s">
        <v>114</v>
      </c>
      <c r="C89" s="40" t="s">
        <v>123</v>
      </c>
      <c r="D89" s="43">
        <f t="shared" ref="D89:P89" si="26">D43/D$47</f>
        <v>-13.349712403551534</v>
      </c>
      <c r="E89" s="43">
        <f t="shared" si="26"/>
        <v>-11.838091335427768</v>
      </c>
      <c r="F89" s="43">
        <f t="shared" si="26"/>
        <v>-17.834041893536256</v>
      </c>
      <c r="G89" s="43">
        <f t="shared" si="26"/>
        <v>-14.299475776851772</v>
      </c>
      <c r="H89" s="43">
        <f t="shared" si="26"/>
        <v>-27.473697661541078</v>
      </c>
      <c r="I89" s="43">
        <f t="shared" si="26"/>
        <v>-27.592588463510904</v>
      </c>
      <c r="J89" s="43">
        <f t="shared" si="26"/>
        <v>-26.822690227403353</v>
      </c>
      <c r="K89" s="43">
        <f t="shared" si="26"/>
        <v>-28.903513993981168</v>
      </c>
      <c r="L89" s="43">
        <f t="shared" si="26"/>
        <v>-23.404234533596998</v>
      </c>
      <c r="M89" s="43">
        <f t="shared" si="26"/>
        <v>-24.214817605696407</v>
      </c>
      <c r="N89" s="43">
        <f t="shared" si="26"/>
        <v>-25.242571891012467</v>
      </c>
      <c r="O89" s="43">
        <f t="shared" si="26"/>
        <v>-26.296948081928733</v>
      </c>
      <c r="P89" s="43">
        <f t="shared" si="26"/>
        <v>-29.198309867063454</v>
      </c>
      <c r="Q89" s="38"/>
      <c r="R89" s="38"/>
      <c r="S89" s="38"/>
      <c r="T89" s="38"/>
      <c r="U89" s="38"/>
      <c r="W89" s="43">
        <f t="shared" ref="W89:AB90" si="27">W43/W$47</f>
        <v>-25.197900433403877</v>
      </c>
      <c r="X89" s="43">
        <f t="shared" si="27"/>
        <v>-32.137645989258708</v>
      </c>
      <c r="Y89" s="43">
        <f t="shared" si="27"/>
        <v>-55.067396022488225</v>
      </c>
      <c r="Z89" s="43">
        <f t="shared" si="27"/>
        <v>-55.774862567474472</v>
      </c>
      <c r="AA89" s="43">
        <f t="shared" si="27"/>
        <v>-47.614570367262282</v>
      </c>
      <c r="AB89" s="43">
        <f t="shared" si="27"/>
        <v>-51.548752882525548</v>
      </c>
    </row>
    <row r="90" spans="2:31" x14ac:dyDescent="0.25">
      <c r="B90" s="34" t="s">
        <v>115</v>
      </c>
      <c r="C90" s="46" t="s">
        <v>123</v>
      </c>
      <c r="D90" s="43">
        <f t="shared" ref="D90:P90" si="28">D44/D$47</f>
        <v>85.104416572641028</v>
      </c>
      <c r="E90" s="43">
        <f t="shared" si="28"/>
        <v>125.14553697452213</v>
      </c>
      <c r="F90" s="43">
        <f t="shared" si="28"/>
        <v>83.819996899620406</v>
      </c>
      <c r="G90" s="43">
        <f t="shared" si="28"/>
        <v>128.69528199166595</v>
      </c>
      <c r="H90" s="43">
        <f t="shared" si="28"/>
        <v>98.905311581547892</v>
      </c>
      <c r="I90" s="43">
        <f t="shared" si="28"/>
        <v>141.64195411268929</v>
      </c>
      <c r="J90" s="43">
        <f t="shared" si="28"/>
        <v>205.00198959515419</v>
      </c>
      <c r="K90" s="43">
        <f t="shared" si="28"/>
        <v>326.97100205691197</v>
      </c>
      <c r="L90" s="43">
        <f t="shared" si="28"/>
        <v>338.46123787047969</v>
      </c>
      <c r="M90" s="43">
        <f t="shared" si="28"/>
        <v>415.37725585156142</v>
      </c>
      <c r="N90" s="43">
        <f t="shared" si="28"/>
        <v>371.42641496775485</v>
      </c>
      <c r="O90" s="43">
        <f t="shared" si="28"/>
        <v>271.73513017993025</v>
      </c>
      <c r="P90" s="43">
        <f t="shared" si="28"/>
        <v>259.13500007018814</v>
      </c>
      <c r="Q90" s="38"/>
      <c r="R90" s="38"/>
      <c r="S90" s="38"/>
      <c r="T90" s="38"/>
      <c r="U90" s="38"/>
      <c r="W90" s="43">
        <f t="shared" si="27"/>
        <v>209.982503611699</v>
      </c>
      <c r="X90" s="43">
        <f t="shared" si="27"/>
        <v>212.46554848454369</v>
      </c>
      <c r="Y90" s="43">
        <f t="shared" si="27"/>
        <v>240.46096263153191</v>
      </c>
      <c r="Z90" s="43">
        <f t="shared" si="27"/>
        <v>535.43868064775495</v>
      </c>
      <c r="AA90" s="43">
        <f t="shared" si="27"/>
        <v>752.67647772864609</v>
      </c>
      <c r="AB90" s="43">
        <f t="shared" si="27"/>
        <v>641.69309622730077</v>
      </c>
    </row>
    <row r="91" spans="2:31" x14ac:dyDescent="0.25">
      <c r="B91" s="34"/>
      <c r="C91" s="46"/>
      <c r="D91" s="43"/>
      <c r="E91" s="43"/>
      <c r="F91" s="43"/>
      <c r="G91" s="43"/>
      <c r="H91" s="43"/>
      <c r="I91" s="43"/>
      <c r="J91" s="43"/>
      <c r="K91" s="43"/>
      <c r="L91" s="43"/>
      <c r="M91" s="43"/>
      <c r="N91" s="43"/>
      <c r="O91" s="43"/>
      <c r="P91" s="43"/>
      <c r="Q91" s="38"/>
      <c r="R91" s="38"/>
      <c r="S91" s="38"/>
      <c r="T91" s="38"/>
      <c r="U91" s="38"/>
      <c r="W91" s="43"/>
      <c r="X91" s="43"/>
      <c r="Y91" s="43"/>
      <c r="Z91" s="43"/>
      <c r="AA91" s="43"/>
      <c r="AB91" s="43"/>
    </row>
    <row r="92" spans="2:31" x14ac:dyDescent="0.25">
      <c r="B92" s="98" t="s">
        <v>547</v>
      </c>
      <c r="D92" s="40" t="s">
        <v>546</v>
      </c>
      <c r="E92" s="40" t="s">
        <v>546</v>
      </c>
      <c r="F92" s="40" t="s">
        <v>546</v>
      </c>
      <c r="G92" s="40" t="s">
        <v>546</v>
      </c>
      <c r="H92" s="40" t="s">
        <v>546</v>
      </c>
      <c r="I92" s="40" t="s">
        <v>546</v>
      </c>
      <c r="J92" s="40" t="s">
        <v>546</v>
      </c>
      <c r="K92" s="40" t="s">
        <v>546</v>
      </c>
      <c r="L92" s="182" t="s">
        <v>546</v>
      </c>
      <c r="M92" s="182" t="s">
        <v>546</v>
      </c>
      <c r="N92" s="182" t="s">
        <v>546</v>
      </c>
      <c r="O92" s="182" t="s">
        <v>546</v>
      </c>
      <c r="P92" s="182" t="s">
        <v>546</v>
      </c>
      <c r="Q92" s="180" t="s">
        <v>548</v>
      </c>
      <c r="W92" s="40" t="s">
        <v>546</v>
      </c>
      <c r="X92" s="40" t="s">
        <v>546</v>
      </c>
      <c r="Y92" s="40" t="s">
        <v>546</v>
      </c>
      <c r="Z92" s="40" t="s">
        <v>546</v>
      </c>
      <c r="AA92" s="182" t="s">
        <v>546</v>
      </c>
      <c r="AB92" s="182" t="s">
        <v>546</v>
      </c>
      <c r="AC92" s="40" t="s">
        <v>545</v>
      </c>
      <c r="AD92" s="40" t="s">
        <v>545</v>
      </c>
      <c r="AE92" s="40" t="s">
        <v>545</v>
      </c>
    </row>
    <row r="93" spans="2:31" x14ac:dyDescent="0.25">
      <c r="B93" s="34" t="s">
        <v>549</v>
      </c>
      <c r="C93" s="46" t="s">
        <v>550</v>
      </c>
      <c r="D93" s="40"/>
      <c r="E93" s="40"/>
      <c r="F93" s="40"/>
      <c r="G93" s="40"/>
      <c r="H93" s="40"/>
      <c r="I93" s="40"/>
      <c r="J93" s="40">
        <f>J50</f>
        <v>596</v>
      </c>
      <c r="K93" s="40"/>
      <c r="L93" s="40">
        <f>L50</f>
        <v>906</v>
      </c>
      <c r="M93" s="40"/>
      <c r="N93" s="40">
        <f>N50</f>
        <v>993</v>
      </c>
      <c r="O93" s="40"/>
      <c r="P93" s="40">
        <f>P50</f>
        <v>1066</v>
      </c>
      <c r="Q93" s="40"/>
      <c r="W93" s="43"/>
      <c r="X93" s="43"/>
      <c r="Y93" s="43"/>
      <c r="Z93" s="43">
        <f>Z50</f>
        <v>794</v>
      </c>
      <c r="AA93" s="43">
        <f>AA50</f>
        <v>1008</v>
      </c>
      <c r="AB93" s="43">
        <f>AB50</f>
        <v>1090</v>
      </c>
      <c r="AC93" s="43">
        <f>AC50</f>
        <v>1111</v>
      </c>
      <c r="AD93" s="43">
        <f>AD50</f>
        <v>1165</v>
      </c>
      <c r="AE93" s="43"/>
    </row>
    <row r="94" spans="2:31" x14ac:dyDescent="0.25">
      <c r="B94" s="34" t="s">
        <v>104</v>
      </c>
      <c r="C94" s="46" t="s">
        <v>123</v>
      </c>
      <c r="D94" s="43">
        <f>D78</f>
        <v>3228.9616876090272</v>
      </c>
      <c r="E94" s="43">
        <f t="shared" ref="E94:P94" si="29">E78</f>
        <v>2998.4194196733479</v>
      </c>
      <c r="F94" s="43">
        <f t="shared" si="29"/>
        <v>3770.1164562935642</v>
      </c>
      <c r="G94" s="43">
        <f t="shared" si="29"/>
        <v>3921.6312318015985</v>
      </c>
      <c r="H94" s="43">
        <f t="shared" si="29"/>
        <v>6066.1924436682702</v>
      </c>
      <c r="I94" s="43">
        <f t="shared" si="29"/>
        <v>6326.0607817342661</v>
      </c>
      <c r="J94" s="43">
        <f t="shared" si="29"/>
        <v>7132.9196940444772</v>
      </c>
      <c r="K94" s="43">
        <f t="shared" si="29"/>
        <v>10820.753051496698</v>
      </c>
      <c r="L94" s="43">
        <f t="shared" si="29"/>
        <v>9001.6286667680761</v>
      </c>
      <c r="M94" s="43">
        <f t="shared" si="29"/>
        <v>12483.669814875177</v>
      </c>
      <c r="N94" s="43">
        <f t="shared" si="29"/>
        <v>9392.0397843059964</v>
      </c>
      <c r="O94" s="43">
        <f t="shared" si="29"/>
        <v>10671.301531646679</v>
      </c>
      <c r="P94" s="43">
        <f t="shared" si="29"/>
        <v>9038.7017982228299</v>
      </c>
      <c r="Q94" s="43">
        <f>AC94-P94</f>
        <v>8171.37951530592</v>
      </c>
      <c r="R94" s="39"/>
      <c r="S94" s="39"/>
      <c r="T94" s="39"/>
      <c r="U94" s="39"/>
      <c r="W94" s="43">
        <f t="shared" ref="W94:AB94" si="30">W78</f>
        <v>6228.9209871374387</v>
      </c>
      <c r="X94" s="43">
        <f t="shared" si="30"/>
        <v>7691.6099400959183</v>
      </c>
      <c r="Y94" s="43">
        <f t="shared" si="30"/>
        <v>12391.999684927267</v>
      </c>
      <c r="Z94" s="43">
        <f t="shared" si="30"/>
        <v>18058.041337262654</v>
      </c>
      <c r="AA94" s="43">
        <f t="shared" si="30"/>
        <v>21430.219324527046</v>
      </c>
      <c r="AB94" s="43">
        <f t="shared" si="30"/>
        <v>20079.128019345124</v>
      </c>
      <c r="AC94" s="181">
        <f t="shared" ref="AC94:AD96" si="31">AC51</f>
        <v>17210.08131352875</v>
      </c>
      <c r="AD94" s="181">
        <f t="shared" si="31"/>
        <v>15775.66772282397</v>
      </c>
      <c r="AE94" s="181"/>
    </row>
    <row r="95" spans="2:31" x14ac:dyDescent="0.25">
      <c r="B95" s="37" t="s">
        <v>105</v>
      </c>
      <c r="C95" s="47" t="s">
        <v>118</v>
      </c>
      <c r="D95" s="45">
        <f t="shared" ref="D95:P106" si="32">D79</f>
        <v>9.4056847545219632E-2</v>
      </c>
      <c r="E95" s="45">
        <f t="shared" si="32"/>
        <v>0.12521150592216582</v>
      </c>
      <c r="F95" s="45">
        <f t="shared" si="32"/>
        <v>9.7918637653736998E-2</v>
      </c>
      <c r="G95" s="45">
        <f t="shared" si="32"/>
        <v>8.9334548769371011E-2</v>
      </c>
      <c r="H95" s="45">
        <f t="shared" si="32"/>
        <v>9.4806763285024159E-2</v>
      </c>
      <c r="I95" s="45">
        <f t="shared" si="32"/>
        <v>0.10671706891538238</v>
      </c>
      <c r="J95" s="45">
        <f t="shared" si="32"/>
        <v>0.11684125705076551</v>
      </c>
      <c r="K95" s="45">
        <f t="shared" si="32"/>
        <v>0.10684474123539232</v>
      </c>
      <c r="L95" s="45">
        <f t="shared" si="32"/>
        <v>0.11700000000000002</v>
      </c>
      <c r="M95" s="45">
        <f t="shared" si="32"/>
        <v>0.10578931662190391</v>
      </c>
      <c r="N95" s="45">
        <f t="shared" si="32"/>
        <v>0.11748896141293913</v>
      </c>
      <c r="O95" s="45">
        <f t="shared" si="32"/>
        <v>0.10694923607688517</v>
      </c>
      <c r="P95" s="45">
        <f t="shared" si="32"/>
        <v>0.12134060165556229</v>
      </c>
      <c r="Q95" s="45">
        <f>Q96/Q94</f>
        <v>0.11868022225689957</v>
      </c>
      <c r="R95" s="44"/>
      <c r="S95" s="44"/>
      <c r="T95" s="44"/>
      <c r="U95" s="44"/>
      <c r="V95" s="35"/>
      <c r="W95" s="45">
        <f t="shared" ref="W95:AB95" si="33">W79</f>
        <v>0.10895361380798273</v>
      </c>
      <c r="X95" s="45">
        <f t="shared" si="33"/>
        <v>9.3546889507892292E-2</v>
      </c>
      <c r="Y95" s="45">
        <f t="shared" si="33"/>
        <v>0.10087394460079988</v>
      </c>
      <c r="Z95" s="45">
        <f t="shared" si="33"/>
        <v>0.11067641305466899</v>
      </c>
      <c r="AA95" s="45">
        <f t="shared" si="33"/>
        <v>0.1105793881387797</v>
      </c>
      <c r="AB95" s="45">
        <f t="shared" si="33"/>
        <v>0.11180949008498584</v>
      </c>
      <c r="AC95" s="183">
        <f t="shared" si="31"/>
        <v>0.12007744843012776</v>
      </c>
      <c r="AD95" s="183">
        <f t="shared" si="31"/>
        <v>0.12919633774160733</v>
      </c>
      <c r="AE95" s="183"/>
    </row>
    <row r="96" spans="2:31" x14ac:dyDescent="0.25">
      <c r="B96" s="34" t="s">
        <v>106</v>
      </c>
      <c r="C96" s="46" t="s">
        <v>123</v>
      </c>
      <c r="D96" s="43">
        <f t="shared" si="32"/>
        <v>303.70595718079738</v>
      </c>
      <c r="E96" s="43">
        <f t="shared" si="32"/>
        <v>375.43661092356638</v>
      </c>
      <c r="F96" s="43">
        <f t="shared" si="32"/>
        <v>369.16466719620047</v>
      </c>
      <c r="G96" s="43">
        <f t="shared" si="32"/>
        <v>350.33715653286839</v>
      </c>
      <c r="H96" s="43">
        <f t="shared" si="32"/>
        <v>575.11607104825998</v>
      </c>
      <c r="I96" s="43">
        <f t="shared" si="32"/>
        <v>675.0986644072334</v>
      </c>
      <c r="J96" s="43">
        <f t="shared" si="32"/>
        <v>833.41930349431846</v>
      </c>
      <c r="K96" s="43">
        <f t="shared" si="32"/>
        <v>1156.1405597592466</v>
      </c>
      <c r="L96" s="43">
        <f t="shared" si="32"/>
        <v>1053.1905540118651</v>
      </c>
      <c r="M96" s="43">
        <f t="shared" si="32"/>
        <v>1320.6388986491347</v>
      </c>
      <c r="N96" s="43">
        <f t="shared" si="32"/>
        <v>1103.4609998071164</v>
      </c>
      <c r="O96" s="43">
        <f t="shared" si="32"/>
        <v>1141.2875467557069</v>
      </c>
      <c r="P96" s="43">
        <f t="shared" si="32"/>
        <v>1096.761514381571</v>
      </c>
      <c r="Q96" s="43">
        <f>AC96-P96</f>
        <v>969.78113702198289</v>
      </c>
      <c r="R96" s="39"/>
      <c r="S96" s="39"/>
      <c r="T96" s="39"/>
      <c r="U96" s="39"/>
      <c r="W96" s="43">
        <f t="shared" ref="W96:AB96" si="34">W80</f>
        <v>678.66345167301108</v>
      </c>
      <c r="X96" s="43">
        <f t="shared" si="34"/>
        <v>719.5261852039589</v>
      </c>
      <c r="Y96" s="43">
        <f t="shared" si="34"/>
        <v>1250.0298897104826</v>
      </c>
      <c r="Z96" s="43">
        <f t="shared" si="34"/>
        <v>1998.5992420011687</v>
      </c>
      <c r="AA96" s="43">
        <f t="shared" si="34"/>
        <v>2369.7405405860536</v>
      </c>
      <c r="AB96" s="43">
        <f t="shared" si="34"/>
        <v>2245.0370651941298</v>
      </c>
      <c r="AC96" s="181">
        <f t="shared" si="31"/>
        <v>2066.5426514035539</v>
      </c>
      <c r="AD96" s="181">
        <f t="shared" si="31"/>
        <v>2038.1584952173389</v>
      </c>
      <c r="AE96" s="181">
        <f>AE53</f>
        <v>1923.2241559967686</v>
      </c>
    </row>
    <row r="97" spans="2:31" x14ac:dyDescent="0.25">
      <c r="B97" s="36" t="s">
        <v>107</v>
      </c>
      <c r="C97" s="40" t="s">
        <v>123</v>
      </c>
      <c r="D97" s="43">
        <f t="shared" si="32"/>
        <v>-85.104416572641028</v>
      </c>
      <c r="E97" s="43">
        <f t="shared" si="32"/>
        <v>-101.46935430366659</v>
      </c>
      <c r="F97" s="43">
        <f t="shared" si="32"/>
        <v>-148.02254771635091</v>
      </c>
      <c r="G97" s="43">
        <f t="shared" si="32"/>
        <v>-67.922509940045913</v>
      </c>
      <c r="H97" s="43">
        <f t="shared" si="32"/>
        <v>-256.42117817438339</v>
      </c>
      <c r="I97" s="43">
        <f t="shared" si="32"/>
        <v>-292.48143771321554</v>
      </c>
      <c r="J97" s="43">
        <f t="shared" si="32"/>
        <v>-383.181288962905</v>
      </c>
      <c r="K97" s="43">
        <f t="shared" si="32"/>
        <v>-578.07027987962329</v>
      </c>
      <c r="L97" s="43">
        <f t="shared" si="32"/>
        <v>-495.08957667224422</v>
      </c>
      <c r="M97" s="43">
        <f t="shared" si="32"/>
        <v>-672.42685812741558</v>
      </c>
      <c r="N97" s="43">
        <f t="shared" si="32"/>
        <v>-522.88184631382967</v>
      </c>
      <c r="O97" s="43">
        <f t="shared" si="32"/>
        <v>-604.82980588436078</v>
      </c>
      <c r="P97" s="43">
        <f t="shared" si="32"/>
        <v>-578.49151424119475</v>
      </c>
      <c r="Q97" s="38"/>
      <c r="R97" s="38"/>
      <c r="S97" s="38"/>
      <c r="T97" s="38"/>
      <c r="U97" s="38"/>
      <c r="W97" s="43">
        <f t="shared" ref="W97:AB97" si="35">W81</f>
        <v>-186.46446320718871</v>
      </c>
      <c r="X97" s="43">
        <f t="shared" si="35"/>
        <v>-216.03639803890576</v>
      </c>
      <c r="Y97" s="43">
        <f t="shared" si="35"/>
        <v>-548.83838035746601</v>
      </c>
      <c r="Z97" s="43">
        <f t="shared" si="35"/>
        <v>-966.76428450289086</v>
      </c>
      <c r="AA97" s="43">
        <f t="shared" si="35"/>
        <v>-1164.7256443684157</v>
      </c>
      <c r="AB97" s="43">
        <f t="shared" si="35"/>
        <v>-1128.739933807025</v>
      </c>
    </row>
    <row r="98" spans="2:31" x14ac:dyDescent="0.25">
      <c r="B98" s="37" t="s">
        <v>108</v>
      </c>
      <c r="C98" s="47" t="s">
        <v>118</v>
      </c>
      <c r="D98" s="45">
        <f t="shared" si="32"/>
        <v>0.28021978021978022</v>
      </c>
      <c r="E98" s="45">
        <f t="shared" si="32"/>
        <v>0.27027027027027029</v>
      </c>
      <c r="F98" s="45">
        <f t="shared" si="32"/>
        <v>0.40096618357487923</v>
      </c>
      <c r="G98" s="45">
        <f t="shared" si="32"/>
        <v>0.19387755102040816</v>
      </c>
      <c r="H98" s="45">
        <f t="shared" si="32"/>
        <v>0.44585987261146487</v>
      </c>
      <c r="I98" s="45">
        <f t="shared" si="32"/>
        <v>0.43324250681198906</v>
      </c>
      <c r="J98" s="45">
        <f t="shared" si="32"/>
        <v>0.45977011494252867</v>
      </c>
      <c r="K98" s="45">
        <f t="shared" si="32"/>
        <v>0.5</v>
      </c>
      <c r="L98" s="45">
        <f t="shared" si="32"/>
        <v>0.47008547008547003</v>
      </c>
      <c r="M98" s="45">
        <f t="shared" si="32"/>
        <v>0.5091678420310296</v>
      </c>
      <c r="N98" s="45">
        <f t="shared" si="32"/>
        <v>0.47385620915032678</v>
      </c>
      <c r="O98" s="45">
        <f t="shared" si="32"/>
        <v>0.52995391705069128</v>
      </c>
      <c r="P98" s="45">
        <f t="shared" si="32"/>
        <v>0.52745424292845267</v>
      </c>
      <c r="Q98" s="44"/>
      <c r="R98" s="44"/>
      <c r="S98" s="44"/>
      <c r="T98" s="44"/>
      <c r="U98" s="44"/>
      <c r="V98" s="35"/>
      <c r="W98" s="45">
        <f t="shared" ref="W98:AB98" si="36">W82</f>
        <v>0.27475247524752477</v>
      </c>
      <c r="X98" s="45">
        <f t="shared" si="36"/>
        <v>0.30024813895781638</v>
      </c>
      <c r="Y98" s="45">
        <f t="shared" si="36"/>
        <v>0.43906020558002945</v>
      </c>
      <c r="Z98" s="45">
        <f t="shared" si="36"/>
        <v>0.48372093023255813</v>
      </c>
      <c r="AA98" s="45">
        <f t="shared" si="36"/>
        <v>0.49149922720247291</v>
      </c>
      <c r="AB98" s="45">
        <f t="shared" si="36"/>
        <v>0.50277117973079977</v>
      </c>
    </row>
    <row r="99" spans="2:31" x14ac:dyDescent="0.25">
      <c r="B99" s="34" t="s">
        <v>109</v>
      </c>
      <c r="C99" s="46" t="s">
        <v>123</v>
      </c>
      <c r="D99" s="43">
        <f t="shared" si="32"/>
        <v>218.60154060815637</v>
      </c>
      <c r="E99" s="43">
        <f t="shared" si="32"/>
        <v>272.27610071483866</v>
      </c>
      <c r="F99" s="43">
        <f t="shared" si="32"/>
        <v>221.14211947984955</v>
      </c>
      <c r="G99" s="43">
        <f t="shared" si="32"/>
        <v>282.41464659282246</v>
      </c>
      <c r="H99" s="43">
        <f t="shared" si="32"/>
        <v>318.69489287387654</v>
      </c>
      <c r="I99" s="43">
        <f t="shared" si="32"/>
        <v>382.61722669401786</v>
      </c>
      <c r="J99" s="43">
        <f t="shared" si="32"/>
        <v>450.2380145314134</v>
      </c>
      <c r="K99" s="43">
        <f t="shared" si="32"/>
        <v>578.07027987962329</v>
      </c>
      <c r="L99" s="43">
        <f t="shared" si="32"/>
        <v>558.10097733962073</v>
      </c>
      <c r="M99" s="43">
        <f t="shared" si="32"/>
        <v>648.21204052171913</v>
      </c>
      <c r="N99" s="43">
        <f t="shared" si="32"/>
        <v>580.57915349328675</v>
      </c>
      <c r="O99" s="43">
        <f t="shared" si="32"/>
        <v>536.45774087134612</v>
      </c>
      <c r="P99" s="43">
        <f t="shared" si="32"/>
        <v>518.27000014037628</v>
      </c>
      <c r="Q99" s="38"/>
      <c r="R99" s="38"/>
      <c r="S99" s="38"/>
      <c r="T99" s="38"/>
      <c r="U99" s="38"/>
      <c r="W99" s="43">
        <f t="shared" ref="W99:AB99" si="37">W83</f>
        <v>490.51912843692884</v>
      </c>
      <c r="X99" s="43">
        <f t="shared" si="37"/>
        <v>503.48978716505314</v>
      </c>
      <c r="Y99" s="43">
        <f t="shared" si="37"/>
        <v>701.19150935301673</v>
      </c>
      <c r="Z99" s="43">
        <f t="shared" si="37"/>
        <v>1031.8349574982778</v>
      </c>
      <c r="AA99" s="43">
        <f t="shared" si="37"/>
        <v>1205.0148962176377</v>
      </c>
      <c r="AB99" s="43">
        <f t="shared" si="37"/>
        <v>1116.2971313871051</v>
      </c>
    </row>
    <row r="100" spans="2:31" x14ac:dyDescent="0.25">
      <c r="B100" s="36" t="s">
        <v>110</v>
      </c>
      <c r="C100" s="40" t="s">
        <v>123</v>
      </c>
      <c r="D100" s="43">
        <f t="shared" si="32"/>
        <v>-66.748562017757664</v>
      </c>
      <c r="E100" s="43">
        <f t="shared" si="32"/>
        <v>-71.028548012566617</v>
      </c>
      <c r="F100" s="43">
        <f t="shared" si="32"/>
        <v>-60.635742438023264</v>
      </c>
      <c r="G100" s="43">
        <f t="shared" si="32"/>
        <v>-85.796854661110629</v>
      </c>
      <c r="H100" s="43">
        <f t="shared" si="32"/>
        <v>-102.56847126975336</v>
      </c>
      <c r="I100" s="43">
        <f t="shared" si="32"/>
        <v>-125.08640103458275</v>
      </c>
      <c r="J100" s="43">
        <f t="shared" si="32"/>
        <v>-113.03848024405698</v>
      </c>
      <c r="K100" s="43">
        <f t="shared" si="32"/>
        <v>-126.45287372366761</v>
      </c>
      <c r="L100" s="43">
        <f t="shared" si="32"/>
        <v>-106.2192182678633</v>
      </c>
      <c r="M100" s="43">
        <f t="shared" si="32"/>
        <v>-111.76069664167572</v>
      </c>
      <c r="N100" s="43">
        <f t="shared" si="32"/>
        <v>-97.364205865333801</v>
      </c>
      <c r="O100" s="43">
        <f t="shared" si="32"/>
        <v>-140.25038977028657</v>
      </c>
      <c r="P100" s="43">
        <f t="shared" si="32"/>
        <v>-116.79323946825382</v>
      </c>
      <c r="Q100" s="38"/>
      <c r="R100" s="38"/>
      <c r="S100" s="38"/>
      <c r="T100" s="38"/>
      <c r="U100" s="38"/>
      <c r="W100" s="43">
        <f t="shared" ref="W100:AB100" si="38">W84</f>
        <v>-137.74852236927453</v>
      </c>
      <c r="X100" s="43">
        <f t="shared" si="38"/>
        <v>-146.40483172884524</v>
      </c>
      <c r="Y100" s="43">
        <f t="shared" si="38"/>
        <v>-227.61190355961799</v>
      </c>
      <c r="Z100" s="43">
        <f t="shared" si="38"/>
        <v>-239.83190904014023</v>
      </c>
      <c r="AA100" s="43">
        <f t="shared" si="38"/>
        <v>-217.92822591170045</v>
      </c>
      <c r="AB100" s="43">
        <f t="shared" si="38"/>
        <v>-238.19078918132496</v>
      </c>
      <c r="AC100" s="181"/>
    </row>
    <row r="101" spans="2:31" x14ac:dyDescent="0.25">
      <c r="B101" s="34" t="s">
        <v>111</v>
      </c>
      <c r="C101" s="46" t="s">
        <v>123</v>
      </c>
      <c r="D101" s="43">
        <f t="shared" si="32"/>
        <v>151.85297859039869</v>
      </c>
      <c r="E101" s="43">
        <f t="shared" si="32"/>
        <v>201.24755270227206</v>
      </c>
      <c r="F101" s="43">
        <f t="shared" si="32"/>
        <v>160.50637704182628</v>
      </c>
      <c r="G101" s="43">
        <f t="shared" si="32"/>
        <v>194.83035745960538</v>
      </c>
      <c r="H101" s="43">
        <f t="shared" si="32"/>
        <v>216.12642160412315</v>
      </c>
      <c r="I101" s="43">
        <f t="shared" si="32"/>
        <v>257.5308256594351</v>
      </c>
      <c r="J101" s="43">
        <f t="shared" si="32"/>
        <v>337.19953428735641</v>
      </c>
      <c r="K101" s="43">
        <f t="shared" si="32"/>
        <v>451.61740615595573</v>
      </c>
      <c r="L101" s="43">
        <f t="shared" si="32"/>
        <v>453.68208480511106</v>
      </c>
      <c r="M101" s="43">
        <f t="shared" si="32"/>
        <v>534.58866560268223</v>
      </c>
      <c r="N101" s="43">
        <f t="shared" si="32"/>
        <v>485.01798847731095</v>
      </c>
      <c r="O101" s="43">
        <f t="shared" si="32"/>
        <v>394.45422122893098</v>
      </c>
      <c r="P101" s="43">
        <f t="shared" si="32"/>
        <v>399.65186630543104</v>
      </c>
      <c r="Q101" s="38"/>
      <c r="R101" s="38"/>
      <c r="S101" s="38"/>
      <c r="T101" s="38"/>
      <c r="U101" s="38"/>
      <c r="W101" s="43">
        <f t="shared" ref="W101:AB101" si="39">W85</f>
        <v>352.77060606765428</v>
      </c>
      <c r="X101" s="43">
        <f t="shared" si="39"/>
        <v>355.29953065902686</v>
      </c>
      <c r="Y101" s="43">
        <f t="shared" si="39"/>
        <v>473.57960579339874</v>
      </c>
      <c r="Z101" s="43">
        <f t="shared" si="39"/>
        <v>792.00304845813753</v>
      </c>
      <c r="AA101" s="43">
        <f t="shared" si="39"/>
        <v>987.08667030593733</v>
      </c>
      <c r="AB101" s="43">
        <f t="shared" si="39"/>
        <v>878.10634220578004</v>
      </c>
    </row>
    <row r="102" spans="2:31" x14ac:dyDescent="0.25">
      <c r="B102" s="36" t="s">
        <v>112</v>
      </c>
      <c r="C102" s="40" t="s">
        <v>123</v>
      </c>
      <c r="D102" s="43">
        <f t="shared" si="32"/>
        <v>-36.711709109766716</v>
      </c>
      <c r="E102" s="43">
        <f t="shared" si="32"/>
        <v>-82.866639347994379</v>
      </c>
      <c r="F102" s="43">
        <f t="shared" si="32"/>
        <v>-37.451487976426137</v>
      </c>
      <c r="G102" s="43">
        <f t="shared" si="32"/>
        <v>-73.284813356365333</v>
      </c>
      <c r="H102" s="43">
        <f t="shared" si="32"/>
        <v>-89.747412361034193</v>
      </c>
      <c r="I102" s="43">
        <f t="shared" si="32"/>
        <v>-86.456777185667491</v>
      </c>
      <c r="J102" s="43">
        <f t="shared" si="32"/>
        <v>-105.37485446479889</v>
      </c>
      <c r="K102" s="43">
        <f t="shared" si="32"/>
        <v>-95.742890105062614</v>
      </c>
      <c r="L102" s="43">
        <f t="shared" si="32"/>
        <v>-91.816612401034376</v>
      </c>
      <c r="M102" s="43">
        <f t="shared" si="32"/>
        <v>-94.996592145424358</v>
      </c>
      <c r="N102" s="43">
        <f t="shared" si="32"/>
        <v>-90.152042467901666</v>
      </c>
      <c r="O102" s="43">
        <f t="shared" si="32"/>
        <v>-94.669013094943438</v>
      </c>
      <c r="P102" s="43">
        <f t="shared" si="32"/>
        <v>-111.31855636817942</v>
      </c>
      <c r="Q102" s="38"/>
      <c r="R102" s="38"/>
      <c r="S102" s="38"/>
      <c r="T102" s="38"/>
      <c r="U102" s="38"/>
      <c r="W102" s="43">
        <f t="shared" ref="W102:AB102" si="40">W86</f>
        <v>-119.27006205144502</v>
      </c>
      <c r="X102" s="43">
        <f t="shared" si="40"/>
        <v>-110.69633618522444</v>
      </c>
      <c r="Y102" s="43">
        <f t="shared" si="40"/>
        <v>-176.21566727196233</v>
      </c>
      <c r="Z102" s="43">
        <f t="shared" si="40"/>
        <v>-200.78950524290809</v>
      </c>
      <c r="AA102" s="43">
        <f t="shared" si="40"/>
        <v>-186.79562221002894</v>
      </c>
      <c r="AB102" s="43">
        <f t="shared" si="40"/>
        <v>-184.86449309595369</v>
      </c>
    </row>
    <row r="103" spans="2:31" x14ac:dyDescent="0.25">
      <c r="B103" s="34" t="s">
        <v>116</v>
      </c>
      <c r="C103" s="46" t="s">
        <v>123</v>
      </c>
      <c r="D103" s="43">
        <f t="shared" si="32"/>
        <v>115.14126948063198</v>
      </c>
      <c r="E103" s="43">
        <f t="shared" si="32"/>
        <v>118.38091335427768</v>
      </c>
      <c r="F103" s="43">
        <f t="shared" si="32"/>
        <v>123.05488906540016</v>
      </c>
      <c r="G103" s="43">
        <f t="shared" si="32"/>
        <v>121.54554410324006</v>
      </c>
      <c r="H103" s="43">
        <f t="shared" si="32"/>
        <v>126.37900924308896</v>
      </c>
      <c r="I103" s="43">
        <f t="shared" si="32"/>
        <v>169.2345425762002</v>
      </c>
      <c r="J103" s="43">
        <f t="shared" si="32"/>
        <v>231.82467982255756</v>
      </c>
      <c r="K103" s="43">
        <f t="shared" si="32"/>
        <v>355.87451605089313</v>
      </c>
      <c r="L103" s="43">
        <f t="shared" si="32"/>
        <v>361.86547240407668</v>
      </c>
      <c r="M103" s="43">
        <f t="shared" si="32"/>
        <v>439.59207345725781</v>
      </c>
      <c r="N103" s="43">
        <f t="shared" si="32"/>
        <v>394.8659460094093</v>
      </c>
      <c r="O103" s="43">
        <f t="shared" si="32"/>
        <v>299.78520813398757</v>
      </c>
      <c r="P103" s="43">
        <f t="shared" si="32"/>
        <v>288.33330993725161</v>
      </c>
      <c r="Q103" s="43">
        <f>AC103-P103</f>
        <v>208.66519917707927</v>
      </c>
      <c r="R103" s="38"/>
      <c r="S103" s="38"/>
      <c r="T103" s="38"/>
      <c r="U103" s="38"/>
      <c r="W103" s="43">
        <f t="shared" ref="W103:AB103" si="41">W87</f>
        <v>233.50054401620926</v>
      </c>
      <c r="X103" s="43">
        <f t="shared" si="41"/>
        <v>244.6031944738024</v>
      </c>
      <c r="Y103" s="43">
        <f t="shared" si="41"/>
        <v>295.52835865402017</v>
      </c>
      <c r="Z103" s="43">
        <f t="shared" si="41"/>
        <v>591.21354321522938</v>
      </c>
      <c r="AA103" s="43">
        <f t="shared" si="41"/>
        <v>800.29104809590831</v>
      </c>
      <c r="AB103" s="43">
        <f t="shared" si="41"/>
        <v>693.24184910982638</v>
      </c>
      <c r="AC103" s="181">
        <f t="shared" ref="AC103:AE104" si="42">AC54</f>
        <v>496.99850911433089</v>
      </c>
      <c r="AD103" s="181">
        <f t="shared" si="42"/>
        <v>430.39137873236575</v>
      </c>
      <c r="AE103" s="181">
        <f t="shared" si="42"/>
        <v>340.76899494087229</v>
      </c>
    </row>
    <row r="104" spans="2:31" x14ac:dyDescent="0.25">
      <c r="B104" s="37" t="s">
        <v>113</v>
      </c>
      <c r="C104" s="47" t="s">
        <v>118</v>
      </c>
      <c r="D104" s="45">
        <f t="shared" si="32"/>
        <v>0.37912087912087911</v>
      </c>
      <c r="E104" s="45">
        <f t="shared" si="32"/>
        <v>0.31531531531531531</v>
      </c>
      <c r="F104" s="45">
        <f t="shared" si="32"/>
        <v>0.33333333333333337</v>
      </c>
      <c r="G104" s="45">
        <f t="shared" si="32"/>
        <v>0.34693877551020408</v>
      </c>
      <c r="H104" s="45">
        <f t="shared" si="32"/>
        <v>0.21974522292993628</v>
      </c>
      <c r="I104" s="45">
        <f t="shared" si="32"/>
        <v>0.25068119891008173</v>
      </c>
      <c r="J104" s="45">
        <f t="shared" si="32"/>
        <v>0.27816091954022992</v>
      </c>
      <c r="K104" s="45">
        <f t="shared" si="32"/>
        <v>0.30781250000000004</v>
      </c>
      <c r="L104" s="45">
        <f t="shared" si="32"/>
        <v>0.34358974358974353</v>
      </c>
      <c r="M104" s="45">
        <f t="shared" si="32"/>
        <v>0.33286318758815231</v>
      </c>
      <c r="N104" s="45">
        <f t="shared" si="32"/>
        <v>0.35784313725490197</v>
      </c>
      <c r="O104" s="45">
        <f t="shared" si="32"/>
        <v>0.26267281105990786</v>
      </c>
      <c r="P104" s="45">
        <f t="shared" si="32"/>
        <v>0.26289517470881862</v>
      </c>
      <c r="Q104" s="45">
        <f>Q103/Q96</f>
        <v>0.21516731065511463</v>
      </c>
      <c r="R104" s="44"/>
      <c r="S104" s="44"/>
      <c r="T104" s="44"/>
      <c r="U104" s="44"/>
      <c r="V104" s="35"/>
      <c r="W104" s="45">
        <f t="shared" ref="W104:AB104" si="43">W88</f>
        <v>0.34405940594059409</v>
      </c>
      <c r="X104" s="45">
        <f t="shared" si="43"/>
        <v>0.33995037220843671</v>
      </c>
      <c r="Y104" s="45">
        <f t="shared" si="43"/>
        <v>0.236417033773862</v>
      </c>
      <c r="Z104" s="45">
        <f t="shared" si="43"/>
        <v>0.29581395348837208</v>
      </c>
      <c r="AA104" s="45">
        <f t="shared" si="43"/>
        <v>0.33771251931993818</v>
      </c>
      <c r="AB104" s="45">
        <f t="shared" si="43"/>
        <v>0.30878859857482188</v>
      </c>
      <c r="AC104" s="183">
        <f t="shared" si="42"/>
        <v>0.2404975812024879</v>
      </c>
      <c r="AD104" s="183">
        <f t="shared" si="42"/>
        <v>0.21116678596993557</v>
      </c>
      <c r="AE104" s="183">
        <f t="shared" si="42"/>
        <v>0.17718631178707223</v>
      </c>
    </row>
    <row r="105" spans="2:31" x14ac:dyDescent="0.25">
      <c r="B105" s="36" t="s">
        <v>114</v>
      </c>
      <c r="C105" s="40" t="s">
        <v>123</v>
      </c>
      <c r="D105" s="43">
        <f t="shared" si="32"/>
        <v>-13.349712403551534</v>
      </c>
      <c r="E105" s="43">
        <f t="shared" si="32"/>
        <v>-11.838091335427768</v>
      </c>
      <c r="F105" s="43">
        <f t="shared" si="32"/>
        <v>-17.834041893536256</v>
      </c>
      <c r="G105" s="43">
        <f t="shared" si="32"/>
        <v>-14.299475776851772</v>
      </c>
      <c r="H105" s="43">
        <f t="shared" si="32"/>
        <v>-27.473697661541078</v>
      </c>
      <c r="I105" s="43">
        <f t="shared" si="32"/>
        <v>-27.592588463510904</v>
      </c>
      <c r="J105" s="43">
        <f t="shared" si="32"/>
        <v>-26.822690227403353</v>
      </c>
      <c r="K105" s="43">
        <f t="shared" si="32"/>
        <v>-28.903513993981168</v>
      </c>
      <c r="L105" s="43">
        <f t="shared" si="32"/>
        <v>-23.404234533596998</v>
      </c>
      <c r="M105" s="43">
        <f t="shared" si="32"/>
        <v>-24.214817605696407</v>
      </c>
      <c r="N105" s="43">
        <f t="shared" si="32"/>
        <v>-25.242571891012467</v>
      </c>
      <c r="O105" s="43">
        <f t="shared" si="32"/>
        <v>-26.296948081928733</v>
      </c>
      <c r="P105" s="43">
        <f t="shared" si="32"/>
        <v>-29.198309867063454</v>
      </c>
      <c r="Q105" s="38"/>
      <c r="R105" s="38"/>
      <c r="S105" s="38"/>
      <c r="T105" s="38"/>
      <c r="U105" s="38"/>
      <c r="W105" s="43">
        <f t="shared" ref="W105:AB105" si="44">W89</f>
        <v>-25.197900433403877</v>
      </c>
      <c r="X105" s="43">
        <f t="shared" si="44"/>
        <v>-32.137645989258708</v>
      </c>
      <c r="Y105" s="43">
        <f t="shared" si="44"/>
        <v>-55.067396022488225</v>
      </c>
      <c r="Z105" s="43">
        <f t="shared" si="44"/>
        <v>-55.774862567474472</v>
      </c>
      <c r="AA105" s="43">
        <f t="shared" si="44"/>
        <v>-47.614570367262282</v>
      </c>
      <c r="AB105" s="43">
        <f t="shared" si="44"/>
        <v>-51.548752882525548</v>
      </c>
    </row>
    <row r="106" spans="2:31" x14ac:dyDescent="0.25">
      <c r="B106" s="34" t="s">
        <v>115</v>
      </c>
      <c r="C106" s="46" t="s">
        <v>123</v>
      </c>
      <c r="D106" s="43">
        <f t="shared" si="32"/>
        <v>85.104416572641028</v>
      </c>
      <c r="E106" s="43">
        <f t="shared" si="32"/>
        <v>125.14553697452213</v>
      </c>
      <c r="F106" s="43">
        <f t="shared" si="32"/>
        <v>83.819996899620406</v>
      </c>
      <c r="G106" s="43">
        <f t="shared" si="32"/>
        <v>128.69528199166595</v>
      </c>
      <c r="H106" s="43">
        <f t="shared" si="32"/>
        <v>98.905311581547892</v>
      </c>
      <c r="I106" s="43">
        <f t="shared" si="32"/>
        <v>141.64195411268929</v>
      </c>
      <c r="J106" s="43">
        <f t="shared" si="32"/>
        <v>205.00198959515419</v>
      </c>
      <c r="K106" s="43">
        <f t="shared" si="32"/>
        <v>326.97100205691197</v>
      </c>
      <c r="L106" s="43">
        <f t="shared" si="32"/>
        <v>338.46123787047969</v>
      </c>
      <c r="M106" s="43">
        <f t="shared" si="32"/>
        <v>415.37725585156142</v>
      </c>
      <c r="N106" s="43">
        <f t="shared" si="32"/>
        <v>371.42641496775485</v>
      </c>
      <c r="O106" s="43">
        <f t="shared" si="32"/>
        <v>271.73513017993025</v>
      </c>
      <c r="P106" s="43">
        <f t="shared" si="32"/>
        <v>259.13500007018814</v>
      </c>
      <c r="Q106" s="38"/>
      <c r="R106" s="38"/>
      <c r="S106" s="38"/>
      <c r="T106" s="38"/>
      <c r="U106" s="38"/>
      <c r="W106" s="43">
        <f t="shared" ref="W106:AB106" si="45">W90</f>
        <v>209.982503611699</v>
      </c>
      <c r="X106" s="43">
        <f t="shared" si="45"/>
        <v>212.46554848454369</v>
      </c>
      <c r="Y106" s="43">
        <f t="shared" si="45"/>
        <v>240.46096263153191</v>
      </c>
      <c r="Z106" s="43">
        <f t="shared" si="45"/>
        <v>535.43868064775495</v>
      </c>
      <c r="AA106" s="43">
        <f t="shared" si="45"/>
        <v>752.67647772864609</v>
      </c>
      <c r="AB106" s="43">
        <f t="shared" si="45"/>
        <v>641.69309622730077</v>
      </c>
    </row>
    <row r="108" spans="2:31" x14ac:dyDescent="0.25">
      <c r="B108" s="98" t="s">
        <v>739</v>
      </c>
      <c r="C108" s="40"/>
    </row>
    <row r="109" spans="2:31" x14ac:dyDescent="0.25">
      <c r="B109" t="s">
        <v>143</v>
      </c>
      <c r="C109" s="40"/>
      <c r="AC109" s="181"/>
      <c r="AD109" s="181"/>
      <c r="AE109" s="39"/>
    </row>
    <row r="110" spans="2:31" x14ac:dyDescent="0.25">
      <c r="B110" t="s">
        <v>740</v>
      </c>
      <c r="C110" s="40"/>
    </row>
    <row r="111" spans="2:31" x14ac:dyDescent="0.25">
      <c r="B111" t="s">
        <v>37</v>
      </c>
      <c r="C111" s="40"/>
    </row>
    <row r="112" spans="2:31" x14ac:dyDescent="0.25">
      <c r="B112" t="s">
        <v>780</v>
      </c>
      <c r="C112" s="40"/>
      <c r="X112" s="181">
        <f>'SportsBet ASIC'!D8/1000</f>
        <v>-122.256</v>
      </c>
      <c r="Y112" s="181">
        <f>'SportsBet ASIC'!E8/1000</f>
        <v>-113.544</v>
      </c>
      <c r="Z112" s="181">
        <f>'SportsBet ASIC'!F8/1000</f>
        <v>-156.744</v>
      </c>
      <c r="AA112" s="181">
        <f>'SportsBet ASIC'!G8/1000</f>
        <v>-187.505</v>
      </c>
      <c r="AB112" s="181">
        <f>'SportsBet ASIC'!H8/1000</f>
        <v>-217.928</v>
      </c>
      <c r="AC112" s="181">
        <f>'SportsBet ASIC'!I8/1000</f>
        <v>-222.334</v>
      </c>
      <c r="AD112" s="181">
        <f>'SportsBet ASIC'!J8/1000</f>
        <v>-232.23</v>
      </c>
      <c r="AE112" s="181">
        <f>'SportsBet ASIC'!K8/1000</f>
        <v>-201.911</v>
      </c>
    </row>
    <row r="113" spans="2:31" x14ac:dyDescent="0.25">
      <c r="B113" t="s">
        <v>781</v>
      </c>
      <c r="C113" s="40"/>
      <c r="X113" s="181"/>
      <c r="Y113" s="181"/>
      <c r="Z113" s="181"/>
      <c r="AA113" s="181"/>
      <c r="AB113" s="181"/>
      <c r="AC113" s="181"/>
      <c r="AD113" s="181"/>
      <c r="AE113" s="181"/>
    </row>
    <row r="114" spans="2:31" x14ac:dyDescent="0.25">
      <c r="B114" t="s">
        <v>269</v>
      </c>
      <c r="C114" s="40"/>
      <c r="X114" s="181"/>
      <c r="Y114" s="181"/>
      <c r="Z114" s="181"/>
      <c r="AA114" s="181"/>
      <c r="AB114" s="181"/>
      <c r="AC114" s="181"/>
      <c r="AD114" s="181"/>
      <c r="AE114" s="181"/>
    </row>
    <row r="115" spans="2:31" x14ac:dyDescent="0.25">
      <c r="B115" t="s">
        <v>782</v>
      </c>
      <c r="C115" s="40"/>
      <c r="X115" s="181"/>
      <c r="Y115" s="181"/>
      <c r="Z115" s="181"/>
      <c r="AA115" s="181"/>
      <c r="AB115" s="181"/>
      <c r="AC115" s="181"/>
      <c r="AD115" s="181"/>
      <c r="AE115" s="181"/>
    </row>
    <row r="116" spans="2:31" x14ac:dyDescent="0.25">
      <c r="C116" s="40"/>
      <c r="X116" s="181"/>
      <c r="Y116" s="181"/>
      <c r="Z116" s="181"/>
      <c r="AA116" s="181"/>
      <c r="AB116" s="181"/>
      <c r="AC116" s="181"/>
      <c r="AD116" s="181"/>
      <c r="AE116" s="181"/>
    </row>
    <row r="117" spans="2:31" x14ac:dyDescent="0.25">
      <c r="B117" s="98" t="s">
        <v>997</v>
      </c>
      <c r="W117" s="204"/>
      <c r="X117" s="181"/>
      <c r="Y117" s="181"/>
      <c r="Z117" s="181"/>
      <c r="AA117" s="181"/>
      <c r="AB117" s="181"/>
      <c r="AC117" s="181"/>
      <c r="AD117" s="181"/>
      <c r="AE117" s="181"/>
    </row>
    <row r="118" spans="2:31" x14ac:dyDescent="0.25">
      <c r="W118" s="204"/>
      <c r="X118" s="181"/>
      <c r="Y118" s="181"/>
      <c r="Z118" s="181"/>
      <c r="AA118" s="181"/>
      <c r="AB118" s="181"/>
      <c r="AC118" s="181"/>
      <c r="AD118" s="181"/>
      <c r="AE118" s="181"/>
    </row>
    <row r="119" spans="2:31" x14ac:dyDescent="0.25">
      <c r="W119" s="204"/>
      <c r="X119" s="181"/>
      <c r="Y119" s="181"/>
      <c r="Z119" s="181"/>
      <c r="AA119" s="181"/>
      <c r="AB119" s="181"/>
      <c r="AC119" s="181"/>
      <c r="AD119" s="181"/>
      <c r="AE119" s="181"/>
    </row>
    <row r="120" spans="2:31" x14ac:dyDescent="0.25">
      <c r="B120" s="98" t="s">
        <v>998</v>
      </c>
      <c r="W120" s="204"/>
      <c r="X120" s="181"/>
      <c r="Y120" s="181"/>
      <c r="Z120" s="181"/>
      <c r="AA120" s="181"/>
      <c r="AB120" s="181"/>
      <c r="AC120" s="181"/>
      <c r="AD120" s="181"/>
      <c r="AE120" s="181"/>
    </row>
    <row r="121" spans="2:31" x14ac:dyDescent="0.25">
      <c r="B121" t="s">
        <v>3</v>
      </c>
      <c r="W121" s="204"/>
      <c r="X121" s="181">
        <f>X100</f>
        <v>-146.40483172884524</v>
      </c>
      <c r="Y121" s="181">
        <f t="shared" ref="Y121:AE121" si="46">Y100</f>
        <v>-227.61190355961799</v>
      </c>
      <c r="Z121" s="181">
        <f t="shared" si="46"/>
        <v>-239.83190904014023</v>
      </c>
      <c r="AA121" s="181">
        <f t="shared" si="46"/>
        <v>-217.92822591170045</v>
      </c>
      <c r="AB121" s="181">
        <f t="shared" si="46"/>
        <v>-238.19078918132496</v>
      </c>
      <c r="AC121" s="181">
        <f t="shared" si="46"/>
        <v>0</v>
      </c>
      <c r="AD121" s="181">
        <f t="shared" si="46"/>
        <v>0</v>
      </c>
      <c r="AE121" s="181">
        <f t="shared" si="46"/>
        <v>0</v>
      </c>
    </row>
    <row r="122" spans="2:31" x14ac:dyDescent="0.25">
      <c r="B122" t="s">
        <v>999</v>
      </c>
      <c r="W122" s="204"/>
      <c r="X122" s="181">
        <f>SUMIF('SBET QTR'!$6:$6,SBET!X$12,'SBET QTR'!$70:$70)</f>
        <v>0</v>
      </c>
      <c r="Y122" s="181">
        <f>SUMIF('SBET QTR'!$6:$6,SBET!Y$12,'SBET QTR'!$70:$70)</f>
        <v>0</v>
      </c>
      <c r="Z122" s="181">
        <f>SUMIF('SBET QTR'!$6:$6,SBET!Z$12,'SBET QTR'!$70:$70)</f>
        <v>0</v>
      </c>
      <c r="AA122" s="181">
        <f>SUMIF('SBET QTR'!$6:$6,SBET!AA$12,'SBET QTR'!$70:$70)</f>
        <v>309.14415322790279</v>
      </c>
      <c r="AB122" s="181">
        <f>SUMIF('SBET QTR'!$6:$6,SBET!AB$12,'SBET QTR'!$70:$70)</f>
        <v>331.52104863369772</v>
      </c>
      <c r="AC122" s="181">
        <f>SUMIF('SBET QTR'!$6:$6,SBET!AC$12,'SBET QTR'!$70:$70)</f>
        <v>339.70519323304404</v>
      </c>
      <c r="AD122" s="181">
        <f>SUMIF('SBET QTR'!$6:$6,SBET!AD$12,'SBET QTR'!$70:$70)</f>
        <v>337.83790647506487</v>
      </c>
      <c r="AE122" s="181">
        <f>SUMIF('SBET QTR'!$6:$6,SBET!AE$12,'SBET QTR'!$70:$70)</f>
        <v>0</v>
      </c>
    </row>
    <row r="123" spans="2:31" x14ac:dyDescent="0.25">
      <c r="B123" t="s">
        <v>739</v>
      </c>
      <c r="W123" s="204"/>
      <c r="X123" s="181">
        <f t="shared" ref="X123:AE123" si="47">X112</f>
        <v>-122.256</v>
      </c>
      <c r="Y123" s="181">
        <f t="shared" si="47"/>
        <v>-113.544</v>
      </c>
      <c r="Z123" s="181">
        <f t="shared" si="47"/>
        <v>-156.744</v>
      </c>
      <c r="AA123" s="181">
        <f t="shared" si="47"/>
        <v>-187.505</v>
      </c>
      <c r="AB123" s="181">
        <f t="shared" si="47"/>
        <v>-217.928</v>
      </c>
      <c r="AC123" s="181">
        <f t="shared" si="47"/>
        <v>-222.334</v>
      </c>
      <c r="AD123" s="181">
        <f t="shared" si="47"/>
        <v>-232.23</v>
      </c>
      <c r="AE123" s="181">
        <f t="shared" si="47"/>
        <v>-201.911</v>
      </c>
    </row>
    <row r="126" spans="2:31" x14ac:dyDescent="0.25">
      <c r="B126">
        <v>1294</v>
      </c>
    </row>
    <row r="127" spans="2:31" x14ac:dyDescent="0.25">
      <c r="B127">
        <v>6036</v>
      </c>
    </row>
    <row r="128" spans="2:31" x14ac:dyDescent="0.25">
      <c r="B128" s="672">
        <f>B126/B127</f>
        <v>0.21438038436050363</v>
      </c>
    </row>
    <row r="130" spans="2:2" x14ac:dyDescent="0.25">
      <c r="B130">
        <v>1315</v>
      </c>
    </row>
    <row r="131" spans="2:2" x14ac:dyDescent="0.25">
      <c r="B131">
        <v>16383</v>
      </c>
    </row>
    <row r="132" spans="2:2" x14ac:dyDescent="0.25">
      <c r="B132" s="656">
        <f>B130/B131</f>
        <v>8.026612952450711E-2</v>
      </c>
    </row>
  </sheetData>
  <phoneticPr fontId="4" type="noConversion"/>
  <hyperlinks>
    <hyperlink ref="W8" r:id="rId1" xr:uid="{B6DA35B6-789E-45BA-B587-F3C9A407E834}"/>
    <hyperlink ref="AB8" r:id="rId2" xr:uid="{FEBFD277-81CF-4DFC-835A-F65A1753D816}"/>
    <hyperlink ref="AA8" r:id="rId3" xr:uid="{17D7FBC4-5999-4AE7-8464-6B9431BCD4CF}"/>
    <hyperlink ref="Z8" r:id="rId4" xr:uid="{E43D2CF8-EBC5-4270-860E-05E4EF0BA146}"/>
    <hyperlink ref="X8" r:id="rId5" xr:uid="{C26F8D73-1B2B-4CE8-84E0-91B2F8DC2539}"/>
    <hyperlink ref="Y8" r:id="rId6" xr:uid="{24969983-8BDE-4130-800F-AFEB878BD99B}"/>
  </hyperlinks>
  <pageMargins left="0.7" right="0.7" top="0.75" bottom="0.75" header="0.3" footer="0.3"/>
  <pageSetup paperSize="9" orientation="portrait" r:id="rId7"/>
  <drawing r:id="rId8"/>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1171-0A8C-4C52-8D87-879AE505D50B}">
  <sheetPr>
    <tabColor theme="3" tint="0.79998168889431442"/>
  </sheetPr>
  <dimension ref="B3:AM41"/>
  <sheetViews>
    <sheetView zoomScaleNormal="100" workbookViewId="0">
      <pane xSplit="3" ySplit="17" topLeftCell="O18" activePane="bottomRight" state="frozen"/>
      <selection activeCell="I30" sqref="I30"/>
      <selection pane="topRight" activeCell="I30" sqref="I30"/>
      <selection pane="bottomLeft" activeCell="I30" sqref="I30"/>
      <selection pane="bottomRight" activeCell="Y33" sqref="Y33"/>
    </sheetView>
  </sheetViews>
  <sheetFormatPr defaultRowHeight="15" x14ac:dyDescent="0.25"/>
  <sheetData>
    <row r="3" spans="2:39" s="12" customFormat="1" ht="11.25" x14ac:dyDescent="0.2">
      <c r="C3" s="15"/>
      <c r="D3" s="15" t="str">
        <f>IF(MONTH(D11)&gt;6,RIGHT(YEAR(D11),2)+1,RIGHT(YEAR(D11),2))</f>
        <v>17</v>
      </c>
      <c r="E3" s="15">
        <f t="shared" ref="E3:U3" si="0">IF(MONTH(E11)&gt;6,RIGHT(YEAR(E11),2)+1,RIGHT(YEAR(E11),2))</f>
        <v>18</v>
      </c>
      <c r="F3" s="15" t="str">
        <f t="shared" si="0"/>
        <v>18</v>
      </c>
      <c r="G3" s="15">
        <f t="shared" si="0"/>
        <v>19</v>
      </c>
      <c r="H3" s="15" t="str">
        <f t="shared" si="0"/>
        <v>19</v>
      </c>
      <c r="I3" s="15">
        <f t="shared" si="0"/>
        <v>20</v>
      </c>
      <c r="J3" s="15" t="str">
        <f t="shared" si="0"/>
        <v>20</v>
      </c>
      <c r="K3" s="15">
        <f t="shared" si="0"/>
        <v>21</v>
      </c>
      <c r="L3" s="15" t="str">
        <f t="shared" si="0"/>
        <v>21</v>
      </c>
      <c r="M3" s="15">
        <f t="shared" si="0"/>
        <v>22</v>
      </c>
      <c r="N3" s="15" t="str">
        <f t="shared" si="0"/>
        <v>22</v>
      </c>
      <c r="O3" s="15">
        <f t="shared" si="0"/>
        <v>23</v>
      </c>
      <c r="P3" s="15" t="str">
        <f t="shared" si="0"/>
        <v>23</v>
      </c>
      <c r="Q3" s="15">
        <f t="shared" si="0"/>
        <v>24</v>
      </c>
      <c r="R3" s="15" t="str">
        <f t="shared" si="0"/>
        <v>24</v>
      </c>
      <c r="S3" s="15">
        <f t="shared" si="0"/>
        <v>25</v>
      </c>
      <c r="T3" s="15" t="str">
        <f t="shared" si="0"/>
        <v>25</v>
      </c>
      <c r="U3" s="15">
        <f t="shared" si="0"/>
        <v>26</v>
      </c>
      <c r="V3" s="15"/>
      <c r="W3" s="15"/>
      <c r="X3" s="15"/>
      <c r="Y3" s="15"/>
      <c r="Z3" s="15"/>
      <c r="AA3" s="15"/>
      <c r="AB3" s="15"/>
      <c r="AC3" s="15"/>
      <c r="AD3" s="15"/>
      <c r="AE3" s="15"/>
      <c r="AF3" s="15"/>
      <c r="AG3" s="15"/>
      <c r="AH3" s="15"/>
      <c r="AI3" s="15"/>
      <c r="AJ3" s="15"/>
      <c r="AK3" s="15"/>
      <c r="AL3" s="15"/>
      <c r="AM3" s="15"/>
    </row>
    <row r="4" spans="2:39" s="12" customFormat="1" ht="11.25" x14ac:dyDescent="0.2">
      <c r="C4" s="15"/>
      <c r="D4" s="15" t="str">
        <f t="shared" ref="D4:U4" si="1">RIGHT(YEAR(D$11),2)</f>
        <v>17</v>
      </c>
      <c r="E4" s="15" t="str">
        <f t="shared" si="1"/>
        <v>17</v>
      </c>
      <c r="F4" s="15" t="str">
        <f t="shared" si="1"/>
        <v>18</v>
      </c>
      <c r="G4" s="15" t="str">
        <f t="shared" si="1"/>
        <v>18</v>
      </c>
      <c r="H4" s="15" t="str">
        <f t="shared" si="1"/>
        <v>19</v>
      </c>
      <c r="I4" s="15" t="str">
        <f t="shared" si="1"/>
        <v>19</v>
      </c>
      <c r="J4" s="15" t="str">
        <f t="shared" si="1"/>
        <v>20</v>
      </c>
      <c r="K4" s="15" t="str">
        <f t="shared" si="1"/>
        <v>20</v>
      </c>
      <c r="L4" s="15" t="str">
        <f t="shared" si="1"/>
        <v>21</v>
      </c>
      <c r="M4" s="15" t="str">
        <f t="shared" si="1"/>
        <v>21</v>
      </c>
      <c r="N4" s="15" t="str">
        <f t="shared" si="1"/>
        <v>22</v>
      </c>
      <c r="O4" s="15" t="str">
        <f t="shared" si="1"/>
        <v>22</v>
      </c>
      <c r="P4" s="15" t="str">
        <f t="shared" si="1"/>
        <v>23</v>
      </c>
      <c r="Q4" s="15" t="str">
        <f t="shared" si="1"/>
        <v>23</v>
      </c>
      <c r="R4" s="15" t="str">
        <f t="shared" si="1"/>
        <v>24</v>
      </c>
      <c r="S4" s="15" t="str">
        <f t="shared" si="1"/>
        <v>24</v>
      </c>
      <c r="T4" s="15" t="str">
        <f t="shared" si="1"/>
        <v>25</v>
      </c>
      <c r="U4" s="15" t="str">
        <f t="shared" si="1"/>
        <v>25</v>
      </c>
      <c r="V4" s="15"/>
      <c r="W4" s="15"/>
      <c r="X4" s="15"/>
      <c r="Y4" s="15"/>
      <c r="Z4" s="15"/>
      <c r="AA4" s="15"/>
      <c r="AB4" s="15"/>
      <c r="AC4" s="15"/>
      <c r="AD4" s="15"/>
      <c r="AE4" s="15"/>
      <c r="AF4" s="15"/>
      <c r="AG4" s="15"/>
      <c r="AH4" s="15"/>
      <c r="AI4" s="15"/>
      <c r="AJ4" s="15"/>
      <c r="AK4" s="15"/>
      <c r="AL4" s="15"/>
      <c r="AM4" s="15"/>
    </row>
    <row r="5" spans="2:39" s="12" customFormat="1" ht="11.25" x14ac:dyDescent="0.2">
      <c r="C5" s="15"/>
      <c r="D5" s="15" t="str">
        <f t="shared" ref="D5:U5" si="2">"FY"&amp;TEXT(D$3,"00")</f>
        <v>FY17</v>
      </c>
      <c r="E5" s="15" t="str">
        <f t="shared" si="2"/>
        <v>FY18</v>
      </c>
      <c r="F5" s="15" t="str">
        <f t="shared" si="2"/>
        <v>FY18</v>
      </c>
      <c r="G5" s="15" t="str">
        <f t="shared" si="2"/>
        <v>FY19</v>
      </c>
      <c r="H5" s="15" t="str">
        <f t="shared" si="2"/>
        <v>FY19</v>
      </c>
      <c r="I5" s="15" t="str">
        <f t="shared" si="2"/>
        <v>FY20</v>
      </c>
      <c r="J5" s="15" t="str">
        <f t="shared" si="2"/>
        <v>FY20</v>
      </c>
      <c r="K5" s="15" t="str">
        <f t="shared" si="2"/>
        <v>FY21</v>
      </c>
      <c r="L5" s="15" t="str">
        <f t="shared" si="2"/>
        <v>FY21</v>
      </c>
      <c r="M5" s="15" t="str">
        <f t="shared" si="2"/>
        <v>FY22</v>
      </c>
      <c r="N5" s="15" t="str">
        <f t="shared" si="2"/>
        <v>FY22</v>
      </c>
      <c r="O5" s="15" t="str">
        <f t="shared" si="2"/>
        <v>FY23</v>
      </c>
      <c r="P5" s="15" t="str">
        <f t="shared" si="2"/>
        <v>FY23</v>
      </c>
      <c r="Q5" s="15" t="str">
        <f t="shared" si="2"/>
        <v>FY24</v>
      </c>
      <c r="R5" s="15" t="str">
        <f t="shared" si="2"/>
        <v>FY24</v>
      </c>
      <c r="S5" s="15" t="str">
        <f t="shared" si="2"/>
        <v>FY25</v>
      </c>
      <c r="T5" s="15" t="str">
        <f t="shared" si="2"/>
        <v>FY25</v>
      </c>
      <c r="U5" s="15" t="str">
        <f t="shared" si="2"/>
        <v>FY26</v>
      </c>
      <c r="V5" s="15"/>
      <c r="W5" s="15"/>
      <c r="X5" s="15"/>
      <c r="Y5" s="15"/>
      <c r="Z5" s="15"/>
      <c r="AA5" s="15"/>
      <c r="AB5" s="15"/>
      <c r="AC5" s="15"/>
      <c r="AD5" s="15"/>
      <c r="AE5" s="15"/>
      <c r="AF5" s="15"/>
      <c r="AG5" s="15"/>
      <c r="AH5" s="15"/>
      <c r="AI5" s="15"/>
      <c r="AJ5" s="15"/>
      <c r="AK5" s="15"/>
      <c r="AL5" s="15"/>
      <c r="AM5" s="15"/>
    </row>
    <row r="6" spans="2:39" s="12" customFormat="1" ht="11.25" x14ac:dyDescent="0.2">
      <c r="C6" s="15"/>
      <c r="D6" s="15" t="str">
        <f t="shared" ref="D6:U6" si="3">"CY"&amp;TEXT(D$4,"00")</f>
        <v>CY17</v>
      </c>
      <c r="E6" s="15" t="str">
        <f t="shared" si="3"/>
        <v>CY17</v>
      </c>
      <c r="F6" s="15" t="str">
        <f t="shared" si="3"/>
        <v>CY18</v>
      </c>
      <c r="G6" s="15" t="str">
        <f t="shared" si="3"/>
        <v>CY18</v>
      </c>
      <c r="H6" s="15" t="str">
        <f t="shared" si="3"/>
        <v>CY19</v>
      </c>
      <c r="I6" s="15" t="str">
        <f t="shared" si="3"/>
        <v>CY19</v>
      </c>
      <c r="J6" s="15" t="str">
        <f t="shared" si="3"/>
        <v>CY20</v>
      </c>
      <c r="K6" s="15" t="str">
        <f t="shared" si="3"/>
        <v>CY20</v>
      </c>
      <c r="L6" s="15" t="str">
        <f t="shared" si="3"/>
        <v>CY21</v>
      </c>
      <c r="M6" s="15" t="str">
        <f t="shared" si="3"/>
        <v>CY21</v>
      </c>
      <c r="N6" s="15" t="str">
        <f t="shared" si="3"/>
        <v>CY22</v>
      </c>
      <c r="O6" s="15" t="str">
        <f t="shared" si="3"/>
        <v>CY22</v>
      </c>
      <c r="P6" s="15" t="str">
        <f t="shared" si="3"/>
        <v>CY23</v>
      </c>
      <c r="Q6" s="15" t="str">
        <f t="shared" si="3"/>
        <v>CY23</v>
      </c>
      <c r="R6" s="15" t="str">
        <f t="shared" si="3"/>
        <v>CY24</v>
      </c>
      <c r="S6" s="15" t="str">
        <f t="shared" si="3"/>
        <v>CY24</v>
      </c>
      <c r="T6" s="15" t="str">
        <f t="shared" si="3"/>
        <v>CY25</v>
      </c>
      <c r="U6" s="15" t="str">
        <f t="shared" si="3"/>
        <v>CY25</v>
      </c>
      <c r="V6" s="15"/>
      <c r="W6" s="15"/>
      <c r="X6" s="15"/>
      <c r="Y6" s="15"/>
      <c r="Z6" s="15"/>
      <c r="AA6" s="15"/>
      <c r="AB6" s="15"/>
      <c r="AC6" s="15"/>
      <c r="AD6" s="15"/>
      <c r="AE6" s="15"/>
      <c r="AF6" s="15"/>
      <c r="AG6" s="15"/>
      <c r="AH6" s="15"/>
      <c r="AI6" s="15"/>
      <c r="AJ6" s="15"/>
      <c r="AK6" s="15"/>
      <c r="AL6" s="15"/>
      <c r="AM6" s="15"/>
    </row>
    <row r="7" spans="2:39" s="12" customFormat="1" ht="11.25" x14ac:dyDescent="0.2">
      <c r="C7" s="175"/>
      <c r="D7" s="175">
        <f>D11-EOMONTH(D11,-6)</f>
        <v>181</v>
      </c>
      <c r="E7" s="175">
        <f t="shared" ref="E7:U7" si="4">E11-EOMONTH(E11,-6)</f>
        <v>184</v>
      </c>
      <c r="F7" s="175">
        <f t="shared" si="4"/>
        <v>181</v>
      </c>
      <c r="G7" s="175">
        <f t="shared" si="4"/>
        <v>184</v>
      </c>
      <c r="H7" s="175">
        <f t="shared" si="4"/>
        <v>181</v>
      </c>
      <c r="I7" s="175">
        <f t="shared" si="4"/>
        <v>184</v>
      </c>
      <c r="J7" s="175">
        <f t="shared" si="4"/>
        <v>182</v>
      </c>
      <c r="K7" s="175">
        <f t="shared" si="4"/>
        <v>184</v>
      </c>
      <c r="L7" s="175">
        <f t="shared" si="4"/>
        <v>181</v>
      </c>
      <c r="M7" s="175">
        <f t="shared" si="4"/>
        <v>184</v>
      </c>
      <c r="N7" s="175">
        <f t="shared" si="4"/>
        <v>181</v>
      </c>
      <c r="O7" s="175">
        <f t="shared" si="4"/>
        <v>184</v>
      </c>
      <c r="P7" s="175">
        <f t="shared" si="4"/>
        <v>181</v>
      </c>
      <c r="Q7" s="175">
        <f t="shared" si="4"/>
        <v>184</v>
      </c>
      <c r="R7" s="175">
        <f t="shared" si="4"/>
        <v>182</v>
      </c>
      <c r="S7" s="175">
        <f t="shared" si="4"/>
        <v>184</v>
      </c>
      <c r="T7" s="175">
        <f t="shared" si="4"/>
        <v>181</v>
      </c>
      <c r="U7" s="175">
        <f t="shared" si="4"/>
        <v>184</v>
      </c>
      <c r="V7" s="175"/>
      <c r="W7" s="175"/>
      <c r="X7" s="175"/>
      <c r="Y7" s="175"/>
      <c r="Z7" s="175"/>
      <c r="AA7" s="175"/>
      <c r="AB7" s="175"/>
      <c r="AC7" s="175"/>
      <c r="AD7" s="175"/>
      <c r="AE7" s="175"/>
      <c r="AF7" s="175"/>
      <c r="AG7" s="175"/>
      <c r="AH7" s="175"/>
      <c r="AI7" s="175"/>
      <c r="AJ7" s="175"/>
      <c r="AK7" s="175"/>
      <c r="AL7" s="175"/>
      <c r="AM7" s="175"/>
    </row>
    <row r="8" spans="2:39" s="12" customFormat="1" ht="11.25" x14ac:dyDescent="0.2"/>
    <row r="11" spans="2:39" x14ac:dyDescent="0.25">
      <c r="D11" s="42">
        <v>42916</v>
      </c>
      <c r="E11" s="42">
        <f>EOMONTH(D11,6)</f>
        <v>43100</v>
      </c>
      <c r="F11" s="42">
        <f t="shared" ref="F11:U11" si="5">EOMONTH(E11,6)</f>
        <v>43281</v>
      </c>
      <c r="G11" s="42">
        <f t="shared" si="5"/>
        <v>43465</v>
      </c>
      <c r="H11" s="42">
        <f t="shared" si="5"/>
        <v>43646</v>
      </c>
      <c r="I11" s="42">
        <f t="shared" si="5"/>
        <v>43830</v>
      </c>
      <c r="J11" s="42">
        <f t="shared" si="5"/>
        <v>44012</v>
      </c>
      <c r="K11" s="42">
        <f t="shared" si="5"/>
        <v>44196</v>
      </c>
      <c r="L11" s="42">
        <f t="shared" si="5"/>
        <v>44377</v>
      </c>
      <c r="M11" s="42">
        <f t="shared" si="5"/>
        <v>44561</v>
      </c>
      <c r="N11" s="42">
        <f t="shared" si="5"/>
        <v>44742</v>
      </c>
      <c r="O11" s="42">
        <f t="shared" si="5"/>
        <v>44926</v>
      </c>
      <c r="P11" s="42">
        <f t="shared" si="5"/>
        <v>45107</v>
      </c>
      <c r="Q11" s="42">
        <f t="shared" si="5"/>
        <v>45291</v>
      </c>
      <c r="R11" s="42">
        <f t="shared" si="5"/>
        <v>45473</v>
      </c>
      <c r="S11" s="42">
        <f t="shared" si="5"/>
        <v>45657</v>
      </c>
      <c r="T11" s="42">
        <f t="shared" si="5"/>
        <v>45838</v>
      </c>
      <c r="U11" s="42">
        <f t="shared" si="5"/>
        <v>46022</v>
      </c>
      <c r="W11" s="42">
        <v>43100</v>
      </c>
      <c r="X11" s="42">
        <f t="shared" ref="X11:AC11" si="6">EOMONTH(W11,12)</f>
        <v>43465</v>
      </c>
      <c r="Y11" s="42">
        <f t="shared" si="6"/>
        <v>43830</v>
      </c>
      <c r="Z11" s="42">
        <f t="shared" si="6"/>
        <v>44196</v>
      </c>
      <c r="AA11" s="42">
        <f t="shared" si="6"/>
        <v>44561</v>
      </c>
      <c r="AB11" s="42">
        <f t="shared" si="6"/>
        <v>44926</v>
      </c>
      <c r="AC11" s="42">
        <f t="shared" si="6"/>
        <v>45291</v>
      </c>
    </row>
    <row r="13" spans="2:39" x14ac:dyDescent="0.25">
      <c r="B13" t="s">
        <v>148</v>
      </c>
      <c r="D13" s="40" t="s">
        <v>121</v>
      </c>
      <c r="E13" s="40" t="s">
        <v>122</v>
      </c>
      <c r="F13" s="40" t="s">
        <v>121</v>
      </c>
      <c r="G13" s="40" t="s">
        <v>122</v>
      </c>
      <c r="H13" s="40" t="s">
        <v>121</v>
      </c>
      <c r="I13" s="40" t="s">
        <v>122</v>
      </c>
      <c r="J13" s="40" t="s">
        <v>121</v>
      </c>
      <c r="K13" s="40" t="s">
        <v>122</v>
      </c>
      <c r="L13" s="40" t="s">
        <v>121</v>
      </c>
      <c r="M13" s="40" t="s">
        <v>122</v>
      </c>
      <c r="N13" s="40" t="s">
        <v>121</v>
      </c>
      <c r="O13" s="40" t="s">
        <v>122</v>
      </c>
      <c r="P13" s="40" t="s">
        <v>121</v>
      </c>
      <c r="Q13" s="40" t="s">
        <v>122</v>
      </c>
      <c r="R13" s="40" t="s">
        <v>121</v>
      </c>
      <c r="S13" s="40" t="s">
        <v>122</v>
      </c>
      <c r="T13" s="40" t="s">
        <v>121</v>
      </c>
      <c r="U13" s="40" t="s">
        <v>122</v>
      </c>
      <c r="W13" s="40" t="s">
        <v>3</v>
      </c>
      <c r="X13" s="40" t="s">
        <v>3</v>
      </c>
      <c r="Y13" s="40" t="s">
        <v>3</v>
      </c>
      <c r="Z13" s="40" t="s">
        <v>3</v>
      </c>
      <c r="AA13" s="40" t="s">
        <v>3</v>
      </c>
      <c r="AB13" s="40" t="s">
        <v>3</v>
      </c>
      <c r="AC13" s="40" t="s">
        <v>3</v>
      </c>
    </row>
    <row r="14" spans="2:39" x14ac:dyDescent="0.25">
      <c r="D14" s="40">
        <v>2017</v>
      </c>
      <c r="E14" s="40">
        <v>2017</v>
      </c>
      <c r="F14" s="40">
        <v>2018</v>
      </c>
      <c r="G14" s="40">
        <v>2018</v>
      </c>
      <c r="H14" s="40">
        <v>2019</v>
      </c>
      <c r="I14" s="40">
        <v>2019</v>
      </c>
      <c r="J14" s="40">
        <v>2020</v>
      </c>
      <c r="K14" s="40">
        <v>2020</v>
      </c>
      <c r="L14" s="40">
        <v>2021</v>
      </c>
      <c r="M14" s="40">
        <v>2021</v>
      </c>
      <c r="N14" s="40">
        <v>2022</v>
      </c>
      <c r="O14" s="40">
        <v>2022</v>
      </c>
      <c r="P14" s="40">
        <v>2023</v>
      </c>
      <c r="Q14" s="40">
        <v>2023</v>
      </c>
      <c r="R14" s="40">
        <v>2024</v>
      </c>
      <c r="S14" s="40">
        <v>2024</v>
      </c>
      <c r="T14" s="40">
        <v>2025</v>
      </c>
      <c r="U14" s="40">
        <v>2025</v>
      </c>
      <c r="W14" s="40">
        <v>2017</v>
      </c>
      <c r="X14" s="40">
        <v>2018</v>
      </c>
      <c r="Y14" s="40">
        <v>2019</v>
      </c>
      <c r="Z14" s="40">
        <v>2020</v>
      </c>
      <c r="AA14" s="40">
        <v>2021</v>
      </c>
      <c r="AB14" s="40">
        <v>2022</v>
      </c>
      <c r="AC14" s="40">
        <v>2023</v>
      </c>
    </row>
    <row r="15" spans="2:39" x14ac:dyDescent="0.25">
      <c r="D15" s="40"/>
      <c r="E15" s="40"/>
      <c r="F15" s="40"/>
      <c r="G15" s="40"/>
      <c r="H15" s="40"/>
      <c r="I15" s="40"/>
      <c r="J15" s="40"/>
      <c r="K15" s="40"/>
      <c r="L15" s="40"/>
      <c r="M15" s="40"/>
      <c r="N15" s="40"/>
      <c r="O15" s="40"/>
      <c r="P15" s="40"/>
      <c r="Q15" s="40"/>
      <c r="R15" s="40"/>
      <c r="S15" s="40"/>
      <c r="T15" s="40"/>
      <c r="U15" s="40"/>
      <c r="W15" s="40"/>
      <c r="X15" s="40"/>
      <c r="Y15" s="40"/>
      <c r="Z15" s="40"/>
      <c r="AA15" s="40"/>
      <c r="AB15" s="40"/>
      <c r="AC15" s="40"/>
    </row>
    <row r="16" spans="2:39" x14ac:dyDescent="0.25">
      <c r="D16" s="40"/>
      <c r="E16" s="40"/>
      <c r="F16" s="40"/>
      <c r="G16" s="40"/>
      <c r="H16" s="40"/>
      <c r="I16" s="40"/>
      <c r="J16" s="40"/>
      <c r="K16" s="40"/>
      <c r="L16" s="40"/>
      <c r="M16" s="40"/>
      <c r="N16" s="40"/>
      <c r="O16" s="40"/>
      <c r="P16" s="40"/>
      <c r="Q16" s="40"/>
      <c r="R16" s="40"/>
      <c r="S16" s="40"/>
      <c r="T16" s="40"/>
      <c r="U16" s="40"/>
      <c r="W16" s="40"/>
      <c r="X16" s="40"/>
      <c r="Y16" s="40"/>
      <c r="Z16" s="40"/>
      <c r="AA16" s="40"/>
      <c r="AB16" s="40"/>
      <c r="AC16" s="40"/>
    </row>
    <row r="17" spans="2:29" x14ac:dyDescent="0.25">
      <c r="B17" t="s">
        <v>125</v>
      </c>
      <c r="D17" s="41" t="str">
        <f>E13&amp;RIGHT(E$14,2)</f>
        <v>2H17</v>
      </c>
      <c r="E17" s="41" t="str">
        <f t="shared" ref="E17:P17" si="7">F13&amp;RIGHT(F$14,2)</f>
        <v>1H18</v>
      </c>
      <c r="F17" s="41" t="str">
        <f t="shared" si="7"/>
        <v>2H18</v>
      </c>
      <c r="G17" s="41" t="str">
        <f t="shared" si="7"/>
        <v>1H19</v>
      </c>
      <c r="H17" s="41" t="str">
        <f t="shared" si="7"/>
        <v>2H19</v>
      </c>
      <c r="I17" s="41" t="str">
        <f t="shared" si="7"/>
        <v>1H20</v>
      </c>
      <c r="J17" s="41" t="str">
        <f t="shared" si="7"/>
        <v>2H20</v>
      </c>
      <c r="K17" s="41" t="str">
        <f t="shared" si="7"/>
        <v>1H21</v>
      </c>
      <c r="L17" s="41" t="str">
        <f t="shared" si="7"/>
        <v>2H21</v>
      </c>
      <c r="M17" s="41" t="str">
        <f t="shared" si="7"/>
        <v>1H22</v>
      </c>
      <c r="N17" s="41" t="str">
        <f t="shared" si="7"/>
        <v>2H22</v>
      </c>
      <c r="O17" s="41" t="str">
        <f t="shared" si="7"/>
        <v>1H23</v>
      </c>
      <c r="P17" s="41" t="str">
        <f t="shared" si="7"/>
        <v>2H23</v>
      </c>
      <c r="Q17" s="41" t="s">
        <v>53</v>
      </c>
      <c r="R17" s="41"/>
      <c r="S17" s="41"/>
      <c r="T17" s="41"/>
      <c r="U17" s="41"/>
      <c r="V17" s="33"/>
      <c r="W17" s="41"/>
      <c r="X17" s="41"/>
      <c r="Y17" s="41"/>
      <c r="Z17" s="41"/>
      <c r="AA17" s="41"/>
      <c r="AB17" s="41"/>
      <c r="AC17" s="41"/>
    </row>
    <row r="19" spans="2:29" s="34" customFormat="1" x14ac:dyDescent="0.25">
      <c r="B19" s="34" t="s">
        <v>143</v>
      </c>
      <c r="C19" s="46" t="s">
        <v>103</v>
      </c>
      <c r="D19" s="58"/>
      <c r="E19" s="58"/>
      <c r="F19" s="58">
        <f>H19/(1+H20)</f>
        <v>88.10165060165059</v>
      </c>
      <c r="G19" s="58">
        <f>X19-F19</f>
        <v>114.5953351201897</v>
      </c>
      <c r="H19" s="58">
        <f>J19/(1+J20)</f>
        <v>112.77011277011276</v>
      </c>
      <c r="I19" s="58">
        <f>Y19-H19</f>
        <v>134.52020981053238</v>
      </c>
      <c r="J19" s="58">
        <f>L19/(1+L20)</f>
        <v>161.26126126126124</v>
      </c>
      <c r="K19" s="58">
        <f>Z19-J19</f>
        <v>222.03873873873877</v>
      </c>
      <c r="L19" s="60">
        <v>179</v>
      </c>
      <c r="M19" s="58">
        <f>AA19-L19</f>
        <v>237.7</v>
      </c>
      <c r="N19" s="60">
        <v>213.7</v>
      </c>
      <c r="O19" s="58">
        <f>AB19-N19</f>
        <v>249.3</v>
      </c>
      <c r="P19" s="60">
        <v>209.1</v>
      </c>
      <c r="Q19" s="58">
        <f>AC19-P19</f>
        <v>306</v>
      </c>
      <c r="R19" s="58"/>
      <c r="S19" s="58"/>
      <c r="T19" s="58"/>
      <c r="U19" s="58"/>
      <c r="V19" s="58"/>
      <c r="W19" s="58"/>
      <c r="X19" s="58">
        <f>Y19/(1+Y20)</f>
        <v>202.69698572184029</v>
      </c>
      <c r="Y19" s="58">
        <f>Z19/(1+Z20)</f>
        <v>247.29032258064515</v>
      </c>
      <c r="Z19" s="60">
        <v>383.3</v>
      </c>
      <c r="AA19" s="60">
        <v>416.7</v>
      </c>
      <c r="AB19" s="60">
        <v>463</v>
      </c>
      <c r="AC19" s="60">
        <v>515.1</v>
      </c>
    </row>
    <row r="20" spans="2:29" s="34" customFormat="1" x14ac:dyDescent="0.25">
      <c r="B20" s="50" t="s">
        <v>146</v>
      </c>
      <c r="C20" s="46"/>
      <c r="D20" s="58"/>
      <c r="E20" s="58"/>
      <c r="F20" s="61"/>
      <c r="G20" s="58"/>
      <c r="H20" s="61">
        <v>0.28000000000000003</v>
      </c>
      <c r="I20" s="58"/>
      <c r="J20" s="61">
        <v>0.43</v>
      </c>
      <c r="K20" s="58"/>
      <c r="L20" s="61">
        <v>0.11</v>
      </c>
      <c r="M20" s="58"/>
      <c r="N20" s="60"/>
      <c r="O20" s="58"/>
      <c r="P20" s="60"/>
      <c r="Q20" s="58"/>
      <c r="R20" s="58"/>
      <c r="S20" s="58"/>
      <c r="T20" s="58"/>
      <c r="U20" s="58"/>
      <c r="V20" s="58"/>
      <c r="W20" s="58"/>
      <c r="X20" s="61"/>
      <c r="Y20" s="61">
        <v>0.22</v>
      </c>
      <c r="Z20" s="61">
        <v>0.55000000000000004</v>
      </c>
      <c r="AA20" s="61"/>
      <c r="AB20" s="58"/>
      <c r="AC20" s="58"/>
    </row>
    <row r="21" spans="2:29" s="34" customFormat="1" x14ac:dyDescent="0.25">
      <c r="C21" s="46"/>
      <c r="D21" s="58"/>
      <c r="E21" s="58"/>
      <c r="F21" s="58"/>
      <c r="G21" s="58"/>
      <c r="I21" s="58"/>
      <c r="J21" s="58"/>
      <c r="K21" s="58"/>
      <c r="L21" s="60"/>
      <c r="M21" s="58"/>
      <c r="N21" s="60"/>
      <c r="O21" s="58"/>
      <c r="P21" s="60"/>
      <c r="Q21" s="58"/>
      <c r="R21" s="58"/>
      <c r="S21" s="58"/>
      <c r="T21" s="58"/>
      <c r="U21" s="58"/>
      <c r="V21" s="58"/>
      <c r="W21" s="58"/>
      <c r="X21" s="58"/>
      <c r="Y21" s="58"/>
      <c r="AA21" s="58"/>
      <c r="AB21" s="58"/>
      <c r="AC21" s="58"/>
    </row>
    <row r="22" spans="2:29" s="34" customFormat="1" x14ac:dyDescent="0.25">
      <c r="C22" s="46"/>
      <c r="D22" s="58"/>
      <c r="E22" s="58"/>
      <c r="F22" s="58"/>
      <c r="G22" s="58"/>
      <c r="H22" s="50"/>
      <c r="I22" s="58"/>
      <c r="J22" s="58"/>
      <c r="K22" s="58"/>
      <c r="L22" s="60"/>
      <c r="M22" s="58"/>
      <c r="N22" s="60"/>
      <c r="O22" s="58"/>
      <c r="P22" s="60"/>
      <c r="Q22" s="58"/>
      <c r="R22" s="58"/>
      <c r="S22" s="58"/>
      <c r="T22" s="58"/>
      <c r="U22" s="58"/>
      <c r="V22" s="58"/>
      <c r="W22" s="58"/>
      <c r="X22" s="58"/>
      <c r="Y22" s="58"/>
      <c r="AA22" s="58"/>
      <c r="AB22" s="58"/>
      <c r="AC22" s="58"/>
    </row>
    <row r="23" spans="2:29" s="34" customFormat="1" x14ac:dyDescent="0.25">
      <c r="B23" s="34" t="s">
        <v>147</v>
      </c>
      <c r="C23" s="46" t="s">
        <v>103</v>
      </c>
      <c r="D23" s="58">
        <f>F23/(1+F24)</f>
        <v>61.448404953200068</v>
      </c>
      <c r="E23" s="58">
        <f>W23-D23</f>
        <v>86.355266423672319</v>
      </c>
      <c r="F23" s="58">
        <f>H23/(1+H24)</f>
        <v>76.196022141968086</v>
      </c>
      <c r="G23" s="58">
        <f>X23-F23</f>
        <v>96.734273368972595</v>
      </c>
      <c r="H23" s="58">
        <f>J19/(1+J20)</f>
        <v>112.77011277011276</v>
      </c>
      <c r="I23" s="58">
        <f>Y23-H23</f>
        <v>134.52020981053238</v>
      </c>
      <c r="J23" s="58"/>
      <c r="K23" s="58"/>
      <c r="L23" s="60"/>
      <c r="M23" s="58"/>
      <c r="N23" s="60"/>
      <c r="O23" s="58"/>
      <c r="P23" s="60"/>
      <c r="Q23" s="58"/>
      <c r="R23" s="58"/>
      <c r="S23" s="58"/>
      <c r="T23" s="58"/>
      <c r="U23" s="58"/>
      <c r="V23" s="58"/>
      <c r="W23" s="58">
        <f>X23/(1+X24)</f>
        <v>147.80367137687239</v>
      </c>
      <c r="X23" s="58">
        <f>Y23/(1+Y24)</f>
        <v>172.93029551094068</v>
      </c>
      <c r="Y23" s="58">
        <f>Z19/(1+Z20)</f>
        <v>247.29032258064515</v>
      </c>
      <c r="AA23" s="58"/>
      <c r="AB23" s="58"/>
      <c r="AC23" s="58"/>
    </row>
    <row r="24" spans="2:29" s="34" customFormat="1" x14ac:dyDescent="0.25">
      <c r="C24" s="46"/>
      <c r="D24" s="58"/>
      <c r="E24" s="58"/>
      <c r="F24" s="61">
        <v>0.24</v>
      </c>
      <c r="G24" s="58"/>
      <c r="H24" s="61">
        <v>0.48</v>
      </c>
      <c r="I24" s="58"/>
      <c r="J24" s="58"/>
      <c r="K24" s="58"/>
      <c r="L24" s="60"/>
      <c r="M24" s="58"/>
      <c r="N24" s="60"/>
      <c r="O24" s="58"/>
      <c r="P24" s="60"/>
      <c r="Q24" s="58"/>
      <c r="R24" s="58"/>
      <c r="S24" s="58"/>
      <c r="T24" s="58"/>
      <c r="U24" s="58"/>
      <c r="V24" s="58"/>
      <c r="W24" s="58"/>
      <c r="X24" s="61">
        <v>0.17</v>
      </c>
      <c r="Y24" s="61">
        <v>0.43</v>
      </c>
      <c r="AA24" s="58"/>
      <c r="AB24" s="58"/>
      <c r="AC24" s="58"/>
    </row>
    <row r="25" spans="2:29" s="34" customFormat="1" x14ac:dyDescent="0.25">
      <c r="C25" s="46"/>
      <c r="D25" s="58"/>
      <c r="E25" s="58"/>
      <c r="F25" s="58"/>
      <c r="G25" s="58"/>
      <c r="H25" s="58"/>
      <c r="I25" s="58"/>
      <c r="J25" s="58"/>
      <c r="K25" s="58"/>
      <c r="L25" s="60"/>
      <c r="M25" s="58"/>
      <c r="N25" s="60"/>
      <c r="O25" s="58"/>
      <c r="P25" s="60"/>
      <c r="Q25" s="58"/>
      <c r="R25" s="58"/>
      <c r="S25" s="58"/>
      <c r="T25" s="58"/>
      <c r="U25" s="58"/>
      <c r="V25" s="58"/>
      <c r="W25" s="58"/>
      <c r="X25" s="58"/>
      <c r="Y25" s="58"/>
      <c r="Z25" s="58"/>
      <c r="AA25" s="58"/>
      <c r="AB25" s="58"/>
      <c r="AC25" s="58"/>
    </row>
    <row r="26" spans="2:29" x14ac:dyDescent="0.25">
      <c r="B26" t="s">
        <v>119</v>
      </c>
      <c r="C26" s="40" t="s">
        <v>120</v>
      </c>
      <c r="D26" s="48">
        <v>0.59926384615384631</v>
      </c>
      <c r="E26" s="48">
        <v>0.59131153846153828</v>
      </c>
      <c r="F26" s="48">
        <v>0.56072538461538468</v>
      </c>
      <c r="G26" s="48">
        <v>0.55946106870228995</v>
      </c>
      <c r="H26" s="48">
        <v>0.54597674418604658</v>
      </c>
      <c r="I26" s="48">
        <v>0.54362424242424223</v>
      </c>
      <c r="J26" s="48">
        <v>0.52194615384615395</v>
      </c>
      <c r="K26" s="48">
        <v>0.55356590909090919</v>
      </c>
      <c r="L26" s="48">
        <v>0.55545503875969016</v>
      </c>
      <c r="M26" s="48">
        <v>0.53686136363636372</v>
      </c>
      <c r="N26" s="48">
        <v>0.55461860465116286</v>
      </c>
      <c r="O26" s="48">
        <v>0.57040839694656442</v>
      </c>
      <c r="P26" s="48">
        <v>0.54797692307692325</v>
      </c>
      <c r="Q26" s="48">
        <v>0.5207046153846151</v>
      </c>
      <c r="R26" s="48"/>
      <c r="S26" s="48"/>
      <c r="T26" s="48"/>
      <c r="U26" s="48"/>
      <c r="W26" s="48">
        <v>0.59528769230769252</v>
      </c>
      <c r="X26" s="59">
        <f>1/1.781</f>
        <v>0.56148231330713083</v>
      </c>
      <c r="Y26" s="59">
        <f>1/1.831</f>
        <v>0.54614964500273078</v>
      </c>
      <c r="Z26" s="59">
        <f>1/1.876</f>
        <v>0.53304904051172708</v>
      </c>
      <c r="AA26" s="59">
        <f>1/1.832</f>
        <v>0.54585152838427942</v>
      </c>
      <c r="AB26" s="59">
        <f>1/1.788</f>
        <v>0.5592841163310962</v>
      </c>
      <c r="AC26" s="59">
        <f>1/1.873</f>
        <v>0.53390282968499736</v>
      </c>
    </row>
    <row r="27" spans="2:29" x14ac:dyDescent="0.25">
      <c r="C27" s="40"/>
      <c r="D27" s="48"/>
      <c r="E27" s="48"/>
      <c r="F27" s="48"/>
      <c r="G27" s="48"/>
      <c r="H27" s="48"/>
      <c r="I27" s="48"/>
      <c r="J27" s="48"/>
      <c r="K27" s="48"/>
      <c r="L27" s="48"/>
      <c r="M27" s="48"/>
      <c r="N27" s="48"/>
      <c r="O27" s="48"/>
      <c r="P27" s="48"/>
      <c r="Q27" s="48"/>
      <c r="R27" s="48"/>
      <c r="S27" s="48"/>
      <c r="T27" s="48"/>
      <c r="U27" s="48"/>
      <c r="W27" s="48"/>
      <c r="X27" s="48"/>
      <c r="Y27" s="48"/>
      <c r="Z27" s="48"/>
      <c r="AA27" s="48"/>
      <c r="AB27" s="48"/>
      <c r="AC27" s="48"/>
    </row>
    <row r="28" spans="2:29" x14ac:dyDescent="0.25">
      <c r="B28" s="34" t="s">
        <v>143</v>
      </c>
      <c r="C28" s="46" t="s">
        <v>123</v>
      </c>
      <c r="D28" s="48"/>
      <c r="E28" s="48"/>
      <c r="F28" s="62">
        <f>F19/F$26</f>
        <v>157.12085277195303</v>
      </c>
      <c r="G28" s="62">
        <f t="shared" ref="G28:Q28" si="8">G19/G$26</f>
        <v>204.83165233642046</v>
      </c>
      <c r="H28" s="62">
        <f t="shared" si="8"/>
        <v>206.54746556693138</v>
      </c>
      <c r="I28" s="62">
        <f t="shared" si="8"/>
        <v>247.45071928847744</v>
      </c>
      <c r="J28" s="62">
        <f t="shared" si="8"/>
        <v>308.96148974936932</v>
      </c>
      <c r="K28" s="62">
        <f t="shared" si="8"/>
        <v>401.10623702131653</v>
      </c>
      <c r="L28" s="62">
        <f t="shared" si="8"/>
        <v>322.25830627029717</v>
      </c>
      <c r="M28" s="62">
        <f t="shared" si="8"/>
        <v>442.75862652877191</v>
      </c>
      <c r="N28" s="62">
        <f t="shared" si="8"/>
        <v>385.30982950781168</v>
      </c>
      <c r="O28" s="62">
        <f t="shared" si="8"/>
        <v>437.05527712165554</v>
      </c>
      <c r="P28" s="62">
        <f t="shared" si="8"/>
        <v>381.5854120751855</v>
      </c>
      <c r="Q28" s="62">
        <f t="shared" si="8"/>
        <v>587.66523468199932</v>
      </c>
      <c r="R28" s="48"/>
      <c r="S28" s="48"/>
      <c r="T28" s="48"/>
      <c r="U28" s="48"/>
      <c r="W28" s="48"/>
      <c r="X28" s="48"/>
      <c r="Y28" s="48"/>
      <c r="Z28" s="48"/>
      <c r="AA28" s="48"/>
      <c r="AB28" s="48"/>
      <c r="AC28" s="48"/>
    </row>
    <row r="29" spans="2:29" x14ac:dyDescent="0.25">
      <c r="B29" s="50"/>
      <c r="C29" s="46"/>
      <c r="D29" s="48"/>
      <c r="E29" s="48"/>
      <c r="F29" s="48"/>
      <c r="G29" s="48"/>
      <c r="H29" s="48"/>
      <c r="I29" s="48"/>
      <c r="J29" s="48"/>
      <c r="K29" s="48"/>
      <c r="L29" s="48"/>
      <c r="M29" s="48"/>
      <c r="N29" s="48"/>
      <c r="O29" s="48"/>
      <c r="P29" s="51"/>
      <c r="Q29" s="48"/>
      <c r="R29" s="48"/>
      <c r="S29" s="48"/>
      <c r="T29" s="48"/>
      <c r="U29" s="48"/>
      <c r="W29" s="48"/>
      <c r="X29" s="48"/>
      <c r="Y29" s="48"/>
      <c r="Z29" s="48"/>
      <c r="AA29" s="48"/>
      <c r="AB29" s="48"/>
      <c r="AC29" s="48"/>
    </row>
    <row r="30" spans="2:29" x14ac:dyDescent="0.25">
      <c r="C30" s="40"/>
      <c r="D30" s="48"/>
      <c r="E30" s="48"/>
      <c r="F30" s="48"/>
      <c r="G30" s="48"/>
      <c r="H30" s="48"/>
      <c r="I30" s="48"/>
      <c r="J30" s="48"/>
      <c r="K30" s="48"/>
      <c r="L30" s="48"/>
      <c r="M30" s="48"/>
      <c r="N30" s="48"/>
      <c r="O30" s="48"/>
      <c r="P30" s="48"/>
      <c r="Q30" s="48"/>
      <c r="R30" s="48"/>
      <c r="S30" s="48"/>
      <c r="T30" s="48"/>
      <c r="U30" s="48"/>
      <c r="W30" s="48"/>
      <c r="X30" s="48"/>
      <c r="Y30" s="48"/>
      <c r="Z30" s="48"/>
      <c r="AA30" s="48"/>
      <c r="AB30" s="48"/>
      <c r="AC30" s="48"/>
    </row>
    <row r="35" spans="16:16" x14ac:dyDescent="0.25">
      <c r="P35" s="57"/>
    </row>
    <row r="37" spans="16:16" x14ac:dyDescent="0.25">
      <c r="P37" s="57"/>
    </row>
    <row r="41" spans="16:16" x14ac:dyDescent="0.25">
      <c r="P41" s="57"/>
    </row>
  </sheetData>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85481-5842-451A-A361-4495A76F7CCC}">
  <sheetPr>
    <tabColor theme="3" tint="0.79998168889431442"/>
  </sheetPr>
  <dimension ref="A3:H29"/>
  <sheetViews>
    <sheetView workbookViewId="0">
      <selection activeCell="J36" sqref="J36"/>
    </sheetView>
  </sheetViews>
  <sheetFormatPr defaultRowHeight="15" x14ac:dyDescent="0.25"/>
  <cols>
    <col min="1" max="1" width="20.140625" bestFit="1" customWidth="1"/>
  </cols>
  <sheetData>
    <row r="3" spans="1:8" x14ac:dyDescent="0.25">
      <c r="B3" s="15" t="str">
        <f t="shared" ref="B3:G3" si="0">IF(MONTH(B11)&gt;6,RIGHT(YEAR(B11),2)+1,RIGHT(YEAR(B11),2))</f>
        <v>18</v>
      </c>
      <c r="C3" s="15" t="str">
        <f t="shared" si="0"/>
        <v>19</v>
      </c>
      <c r="D3" s="15" t="str">
        <f t="shared" si="0"/>
        <v>20</v>
      </c>
      <c r="E3" s="15" t="str">
        <f t="shared" si="0"/>
        <v>21</v>
      </c>
      <c r="F3" s="15" t="str">
        <f t="shared" si="0"/>
        <v>22</v>
      </c>
      <c r="G3" s="15" t="str">
        <f t="shared" si="0"/>
        <v>23</v>
      </c>
    </row>
    <row r="4" spans="1:8" x14ac:dyDescent="0.25">
      <c r="B4" s="15" t="str">
        <f t="shared" ref="B4:G4" si="1">RIGHT(YEAR(B$11),2)</f>
        <v>18</v>
      </c>
      <c r="C4" s="15" t="str">
        <f t="shared" si="1"/>
        <v>19</v>
      </c>
      <c r="D4" s="15" t="str">
        <f t="shared" si="1"/>
        <v>20</v>
      </c>
      <c r="E4" s="15" t="str">
        <f t="shared" si="1"/>
        <v>21</v>
      </c>
      <c r="F4" s="15" t="str">
        <f t="shared" si="1"/>
        <v>22</v>
      </c>
      <c r="G4" s="15" t="str">
        <f t="shared" si="1"/>
        <v>23</v>
      </c>
    </row>
    <row r="5" spans="1:8" x14ac:dyDescent="0.25">
      <c r="B5" s="15" t="str">
        <f t="shared" ref="B5:G5" si="2">"FY"&amp;TEXT(B$3,"00")</f>
        <v>FY18</v>
      </c>
      <c r="C5" s="15" t="str">
        <f t="shared" si="2"/>
        <v>FY19</v>
      </c>
      <c r="D5" s="15" t="str">
        <f t="shared" si="2"/>
        <v>FY20</v>
      </c>
      <c r="E5" s="15" t="str">
        <f t="shared" si="2"/>
        <v>FY21</v>
      </c>
      <c r="F5" s="15" t="str">
        <f t="shared" si="2"/>
        <v>FY22</v>
      </c>
      <c r="G5" s="15" t="str">
        <f t="shared" si="2"/>
        <v>FY23</v>
      </c>
    </row>
    <row r="6" spans="1:8" x14ac:dyDescent="0.25">
      <c r="B6" s="15" t="str">
        <f t="shared" ref="B6:G6" si="3">"CY"&amp;TEXT(B$4,"00")</f>
        <v>CY18</v>
      </c>
      <c r="C6" s="15" t="str">
        <f t="shared" si="3"/>
        <v>CY19</v>
      </c>
      <c r="D6" s="15" t="str">
        <f t="shared" si="3"/>
        <v>CY20</v>
      </c>
      <c r="E6" s="15" t="str">
        <f t="shared" si="3"/>
        <v>CY21</v>
      </c>
      <c r="F6" s="15" t="str">
        <f t="shared" si="3"/>
        <v>CY22</v>
      </c>
      <c r="G6" s="15" t="str">
        <f t="shared" si="3"/>
        <v>CY23</v>
      </c>
    </row>
    <row r="7" spans="1:8" x14ac:dyDescent="0.25">
      <c r="B7" s="175">
        <f t="shared" ref="B7:G7" si="4">B11-EOMONTH(B11,-12)</f>
        <v>365</v>
      </c>
      <c r="C7" s="175">
        <f t="shared" si="4"/>
        <v>365</v>
      </c>
      <c r="D7" s="175">
        <f t="shared" si="4"/>
        <v>366</v>
      </c>
      <c r="E7" s="175">
        <f t="shared" si="4"/>
        <v>365</v>
      </c>
      <c r="F7" s="175">
        <f t="shared" si="4"/>
        <v>365</v>
      </c>
      <c r="G7" s="175">
        <f t="shared" si="4"/>
        <v>365</v>
      </c>
    </row>
    <row r="11" spans="1:8" x14ac:dyDescent="0.25">
      <c r="B11" s="42">
        <v>43281</v>
      </c>
      <c r="C11" s="42">
        <f>EOMONTH(B11,12)</f>
        <v>43646</v>
      </c>
      <c r="D11" s="42">
        <f>EOMONTH(C11,12)</f>
        <v>44012</v>
      </c>
      <c r="E11" s="42">
        <f>EOMONTH(D11,12)</f>
        <v>44377</v>
      </c>
      <c r="F11" s="42">
        <f>EOMONTH(E11,12)</f>
        <v>44742</v>
      </c>
      <c r="G11" s="42">
        <f>EOMONTH(F11,12)</f>
        <v>45107</v>
      </c>
      <c r="H11" s="42"/>
    </row>
    <row r="13" spans="1:8" x14ac:dyDescent="0.25">
      <c r="A13" t="s">
        <v>263</v>
      </c>
    </row>
    <row r="14" spans="1:8" x14ac:dyDescent="0.25">
      <c r="A14" s="113"/>
      <c r="B14" s="114">
        <v>2018</v>
      </c>
      <c r="C14" s="114">
        <v>2019</v>
      </c>
      <c r="D14" s="114">
        <v>2020</v>
      </c>
      <c r="E14" s="114">
        <v>2021</v>
      </c>
      <c r="F14" s="114">
        <v>2022</v>
      </c>
      <c r="G14" s="114">
        <v>2023</v>
      </c>
    </row>
    <row r="15" spans="1:8" x14ac:dyDescent="0.25">
      <c r="A15" s="115" t="s">
        <v>143</v>
      </c>
      <c r="B15" s="116">
        <v>114.999</v>
      </c>
      <c r="C15" s="116">
        <v>120.914</v>
      </c>
      <c r="D15" s="116">
        <v>147.173</v>
      </c>
      <c r="E15" s="116">
        <v>190.321</v>
      </c>
      <c r="F15" s="116">
        <v>200.429</v>
      </c>
      <c r="G15" s="116">
        <v>201.286</v>
      </c>
    </row>
    <row r="16" spans="1:8" x14ac:dyDescent="0.25">
      <c r="A16" s="115" t="s">
        <v>264</v>
      </c>
      <c r="B16" s="116">
        <f>0.178+0.03</f>
        <v>0.20799999999999999</v>
      </c>
      <c r="C16" s="116">
        <f>0.422+0.035</f>
        <v>0.45699999999999996</v>
      </c>
      <c r="D16" s="116">
        <f>0.151-0.019</f>
        <v>0.13200000000000001</v>
      </c>
      <c r="E16" s="116">
        <f>0.02+0.045</f>
        <v>6.5000000000000002E-2</v>
      </c>
      <c r="F16" s="116">
        <f>0.001+0.022</f>
        <v>2.3E-2</v>
      </c>
      <c r="G16" s="116">
        <f>0.217+0.009</f>
        <v>0.22600000000000001</v>
      </c>
    </row>
    <row r="17" spans="1:7" x14ac:dyDescent="0.25">
      <c r="A17" s="117" t="s">
        <v>265</v>
      </c>
      <c r="B17" s="118" t="s">
        <v>265</v>
      </c>
      <c r="C17" s="118" t="s">
        <v>265</v>
      </c>
      <c r="D17" s="118" t="s">
        <v>265</v>
      </c>
      <c r="E17" s="118" t="s">
        <v>265</v>
      </c>
      <c r="F17" s="118" t="s">
        <v>265</v>
      </c>
      <c r="G17" s="118" t="s">
        <v>265</v>
      </c>
    </row>
    <row r="18" spans="1:7" x14ac:dyDescent="0.25">
      <c r="A18" s="115" t="s">
        <v>266</v>
      </c>
      <c r="B18" s="116">
        <v>-34.213999999999999</v>
      </c>
      <c r="C18" s="116">
        <v>-40.664000000000001</v>
      </c>
      <c r="D18" s="116">
        <v>-43.576999999999998</v>
      </c>
      <c r="E18" s="116">
        <v>-48.695999999999998</v>
      </c>
      <c r="F18" s="116">
        <v>-49.795999999999999</v>
      </c>
      <c r="G18" s="116">
        <v>-54.731999999999999</v>
      </c>
    </row>
    <row r="19" spans="1:7" x14ac:dyDescent="0.25">
      <c r="A19" s="115" t="s">
        <v>267</v>
      </c>
      <c r="B19" s="116">
        <v>-30.324000000000002</v>
      </c>
      <c r="C19" s="116">
        <v>-36.798999999999999</v>
      </c>
      <c r="D19" s="116">
        <v>-32.768000000000001</v>
      </c>
      <c r="E19" s="116">
        <v>-37.037999999999997</v>
      </c>
      <c r="F19" s="116">
        <v>-41.518000000000001</v>
      </c>
      <c r="G19" s="116">
        <v>-44.618000000000002</v>
      </c>
    </row>
    <row r="20" spans="1:7" x14ac:dyDescent="0.25">
      <c r="A20" s="115" t="s">
        <v>268</v>
      </c>
      <c r="B20" s="116">
        <v>-29.905999999999999</v>
      </c>
      <c r="C20" s="116">
        <v>-41.267000000000003</v>
      </c>
      <c r="D20" s="116">
        <v>-56.073</v>
      </c>
      <c r="E20" s="116">
        <v>-70.855000000000004</v>
      </c>
      <c r="F20" s="116">
        <v>-74.594999999999999</v>
      </c>
      <c r="G20" s="116">
        <v>-80.186999999999998</v>
      </c>
    </row>
    <row r="21" spans="1:7" x14ac:dyDescent="0.25">
      <c r="A21" s="115" t="s">
        <v>269</v>
      </c>
      <c r="B21" s="116">
        <f>-0.908-0.163-2.234-0.549-11.763-2.876</f>
        <v>-18.492999999999999</v>
      </c>
      <c r="C21" s="116">
        <f>-1.55-0.195-2.415-0.937-5.715-2.669</f>
        <v>-13.481000000000002</v>
      </c>
      <c r="D21" s="116">
        <f>-0.198-24.711-6.634</f>
        <v>-31.542999999999999</v>
      </c>
      <c r="E21" s="116">
        <f>-0.363-22.645-5.246</f>
        <v>-28.253999999999998</v>
      </c>
      <c r="F21" s="116">
        <f>-0.346-10.53-5.878</f>
        <v>-16.753999999999998</v>
      </c>
      <c r="G21" s="116">
        <f>-0.527+1.098-9.875</f>
        <v>-9.3040000000000003</v>
      </c>
    </row>
    <row r="22" spans="1:7" x14ac:dyDescent="0.25">
      <c r="A22" s="117" t="s">
        <v>265</v>
      </c>
      <c r="B22" s="118" t="s">
        <v>265</v>
      </c>
      <c r="C22" s="118" t="s">
        <v>265</v>
      </c>
      <c r="D22" s="118" t="s">
        <v>265</v>
      </c>
      <c r="E22" s="118" t="s">
        <v>265</v>
      </c>
      <c r="F22" s="118" t="s">
        <v>265</v>
      </c>
      <c r="G22" s="118" t="s">
        <v>265</v>
      </c>
    </row>
    <row r="23" spans="1:7" x14ac:dyDescent="0.25">
      <c r="A23" s="115" t="s">
        <v>39</v>
      </c>
      <c r="B23" s="116">
        <f t="shared" ref="B23:G23" si="5">SUM(B15:B22)</f>
        <v>2.2699999999999996</v>
      </c>
      <c r="C23" s="116">
        <f t="shared" si="5"/>
        <v>-10.840000000000011</v>
      </c>
      <c r="D23" s="116">
        <f t="shared" si="5"/>
        <v>-16.655999999999992</v>
      </c>
      <c r="E23" s="116">
        <f t="shared" si="5"/>
        <v>5.5429999999999993</v>
      </c>
      <c r="F23" s="116">
        <f t="shared" si="5"/>
        <v>17.789000000000009</v>
      </c>
      <c r="G23" s="116">
        <f t="shared" si="5"/>
        <v>12.671000000000008</v>
      </c>
    </row>
    <row r="24" spans="1:7" x14ac:dyDescent="0.25">
      <c r="A24" s="115" t="s">
        <v>270</v>
      </c>
      <c r="B24" s="116">
        <v>-0.95099999999999996</v>
      </c>
      <c r="C24" s="116">
        <v>-1.472</v>
      </c>
      <c r="D24" s="116">
        <v>-3.2519999999999998</v>
      </c>
      <c r="E24" s="116">
        <v>-4.0659999999999998</v>
      </c>
      <c r="F24" s="116">
        <v>-3.4950000000000001</v>
      </c>
      <c r="G24" s="116">
        <v>-3.6080000000000001</v>
      </c>
    </row>
    <row r="25" spans="1:7" x14ac:dyDescent="0.25">
      <c r="A25" s="117" t="s">
        <v>265</v>
      </c>
      <c r="B25" s="118" t="s">
        <v>265</v>
      </c>
      <c r="C25" s="118" t="s">
        <v>265</v>
      </c>
      <c r="D25" s="118" t="s">
        <v>265</v>
      </c>
      <c r="E25" s="118" t="s">
        <v>265</v>
      </c>
      <c r="F25" s="118" t="s">
        <v>265</v>
      </c>
      <c r="G25" s="118" t="s">
        <v>265</v>
      </c>
    </row>
    <row r="26" spans="1:7" x14ac:dyDescent="0.25">
      <c r="A26" s="115" t="s">
        <v>271</v>
      </c>
      <c r="B26" s="116">
        <f t="shared" ref="B26:G26" si="6">SUM(B23:B25)</f>
        <v>1.3189999999999995</v>
      </c>
      <c r="C26" s="116">
        <f t="shared" si="6"/>
        <v>-12.31200000000001</v>
      </c>
      <c r="D26" s="116">
        <f t="shared" si="6"/>
        <v>-19.907999999999991</v>
      </c>
      <c r="E26" s="116">
        <f t="shared" si="6"/>
        <v>1.4769999999999994</v>
      </c>
      <c r="F26" s="116">
        <f t="shared" si="6"/>
        <v>14.294000000000008</v>
      </c>
      <c r="G26" s="116">
        <f t="shared" si="6"/>
        <v>9.0630000000000077</v>
      </c>
    </row>
    <row r="27" spans="1:7" x14ac:dyDescent="0.25">
      <c r="A27" s="115" t="s">
        <v>272</v>
      </c>
      <c r="B27" s="116">
        <v>-0.39700000000000002</v>
      </c>
      <c r="C27" s="116">
        <v>3.6880000000000002</v>
      </c>
      <c r="D27" s="116">
        <v>5.9690000000000003</v>
      </c>
      <c r="E27" s="116">
        <v>-0.47299999999999998</v>
      </c>
      <c r="F27" s="116">
        <v>-4.2939999999999996</v>
      </c>
      <c r="G27" s="116">
        <v>-2.746</v>
      </c>
    </row>
    <row r="28" spans="1:7" x14ac:dyDescent="0.25">
      <c r="A28" s="117" t="s">
        <v>265</v>
      </c>
      <c r="B28" s="118" t="s">
        <v>265</v>
      </c>
      <c r="C28" s="118" t="s">
        <v>265</v>
      </c>
      <c r="D28" s="118" t="s">
        <v>265</v>
      </c>
      <c r="E28" s="118" t="s">
        <v>265</v>
      </c>
      <c r="F28" s="118" t="s">
        <v>265</v>
      </c>
      <c r="G28" s="118" t="s">
        <v>265</v>
      </c>
    </row>
    <row r="29" spans="1:7" x14ac:dyDescent="0.25">
      <c r="A29" s="115" t="s">
        <v>273</v>
      </c>
      <c r="B29" s="116">
        <f t="shared" ref="B29:G29" si="7">SUM(B26:B28)</f>
        <v>0.92199999999999949</v>
      </c>
      <c r="C29" s="116">
        <f t="shared" si="7"/>
        <v>-8.6240000000000094</v>
      </c>
      <c r="D29" s="116">
        <f t="shared" si="7"/>
        <v>-13.938999999999989</v>
      </c>
      <c r="E29" s="116">
        <f t="shared" si="7"/>
        <v>1.0039999999999996</v>
      </c>
      <c r="F29" s="116">
        <f t="shared" si="7"/>
        <v>10.000000000000007</v>
      </c>
      <c r="G29" s="116">
        <f t="shared" si="7"/>
        <v>6.3170000000000073</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260A-1230-434F-9B7D-AE5BFF38AA2D}">
  <sheetPr>
    <tabColor theme="3" tint="0.79998168889431442"/>
  </sheetPr>
  <dimension ref="B3:BP39"/>
  <sheetViews>
    <sheetView showGridLines="0" zoomScale="145" zoomScaleNormal="145" workbookViewId="0">
      <pane xSplit="7" ySplit="11" topLeftCell="AD12" activePane="bottomRight" state="frozen"/>
      <selection pane="topRight" activeCell="H1" sqref="H1"/>
      <selection pane="bottomLeft" activeCell="A12" sqref="A12"/>
      <selection pane="bottomRight" activeCell="AL12" sqref="AL12"/>
    </sheetView>
  </sheetViews>
  <sheetFormatPr defaultRowHeight="11.25" outlineLevelCol="1" x14ac:dyDescent="0.2"/>
  <cols>
    <col min="1" max="1" width="9.140625" style="12"/>
    <col min="2" max="2" width="22.28515625" style="12" bestFit="1" customWidth="1"/>
    <col min="3" max="7" width="7.7109375" style="12" hidden="1" customWidth="1" outlineLevel="1"/>
    <col min="8" max="8" width="7.7109375" style="12" customWidth="1" collapsed="1"/>
    <col min="9" max="28" width="7.7109375" style="12" customWidth="1"/>
    <col min="29" max="29" width="7.7109375" style="12" customWidth="1" collapsed="1"/>
    <col min="30" max="38" width="7.7109375" style="12" customWidth="1"/>
    <col min="39" max="39" width="7.85546875" style="12" customWidth="1"/>
    <col min="40" max="40" width="1.7109375" style="12" customWidth="1"/>
    <col min="41" max="46" width="7.7109375" style="12" customWidth="1"/>
    <col min="47" max="47" width="1.7109375" style="12" customWidth="1"/>
    <col min="48" max="57" width="7.7109375" style="12" customWidth="1"/>
    <col min="58" max="58" width="1.7109375" style="12" customWidth="1"/>
    <col min="59" max="68" width="7.7109375" style="12" customWidth="1"/>
    <col min="69" max="16384" width="9.140625" style="12"/>
  </cols>
  <sheetData>
    <row r="3" spans="2:68" x14ac:dyDescent="0.2">
      <c r="C3" s="15" t="str">
        <f t="shared" ref="C3:AM3" si="0">IF(MONTH(C11)&gt;6,RIGHT(YEAR(C11),2)+1,RIGHT(YEAR(C11),2))</f>
        <v>17</v>
      </c>
      <c r="D3" s="15">
        <f t="shared" si="0"/>
        <v>18</v>
      </c>
      <c r="E3" s="15">
        <f t="shared" si="0"/>
        <v>18</v>
      </c>
      <c r="F3" s="15" t="str">
        <f t="shared" si="0"/>
        <v>18</v>
      </c>
      <c r="G3" s="15" t="str">
        <f t="shared" si="0"/>
        <v>18</v>
      </c>
      <c r="H3" s="15">
        <f t="shared" si="0"/>
        <v>19</v>
      </c>
      <c r="I3" s="15">
        <f t="shared" si="0"/>
        <v>19</v>
      </c>
      <c r="J3" s="15" t="str">
        <f t="shared" si="0"/>
        <v>19</v>
      </c>
      <c r="K3" s="15" t="str">
        <f t="shared" si="0"/>
        <v>19</v>
      </c>
      <c r="L3" s="15">
        <f t="shared" si="0"/>
        <v>20</v>
      </c>
      <c r="M3" s="15">
        <f t="shared" si="0"/>
        <v>20</v>
      </c>
      <c r="N3" s="15" t="str">
        <f t="shared" si="0"/>
        <v>20</v>
      </c>
      <c r="O3" s="15" t="str">
        <f t="shared" si="0"/>
        <v>20</v>
      </c>
      <c r="P3" s="15">
        <f t="shared" si="0"/>
        <v>21</v>
      </c>
      <c r="Q3" s="15">
        <f t="shared" si="0"/>
        <v>21</v>
      </c>
      <c r="R3" s="15" t="str">
        <f t="shared" si="0"/>
        <v>21</v>
      </c>
      <c r="S3" s="15" t="str">
        <f t="shared" si="0"/>
        <v>21</v>
      </c>
      <c r="T3" s="15">
        <f t="shared" si="0"/>
        <v>22</v>
      </c>
      <c r="U3" s="15">
        <f t="shared" si="0"/>
        <v>22</v>
      </c>
      <c r="V3" s="15" t="str">
        <f t="shared" si="0"/>
        <v>22</v>
      </c>
      <c r="W3" s="15" t="str">
        <f t="shared" si="0"/>
        <v>22</v>
      </c>
      <c r="X3" s="15">
        <f t="shared" si="0"/>
        <v>23</v>
      </c>
      <c r="Y3" s="15">
        <f t="shared" si="0"/>
        <v>23</v>
      </c>
      <c r="Z3" s="15" t="str">
        <f t="shared" si="0"/>
        <v>23</v>
      </c>
      <c r="AA3" s="15" t="str">
        <f t="shared" si="0"/>
        <v>23</v>
      </c>
      <c r="AB3" s="15">
        <f t="shared" si="0"/>
        <v>24</v>
      </c>
      <c r="AC3" s="15">
        <f t="shared" si="0"/>
        <v>24</v>
      </c>
      <c r="AD3" s="15" t="str">
        <f t="shared" si="0"/>
        <v>24</v>
      </c>
      <c r="AE3" s="15" t="str">
        <f t="shared" si="0"/>
        <v>24</v>
      </c>
      <c r="AF3" s="15">
        <f t="shared" si="0"/>
        <v>25</v>
      </c>
      <c r="AG3" s="15">
        <f t="shared" si="0"/>
        <v>25</v>
      </c>
      <c r="AH3" s="15" t="str">
        <f t="shared" si="0"/>
        <v>25</v>
      </c>
      <c r="AI3" s="15" t="str">
        <f t="shared" si="0"/>
        <v>25</v>
      </c>
      <c r="AJ3" s="15">
        <f t="shared" si="0"/>
        <v>26</v>
      </c>
      <c r="AK3" s="15">
        <f t="shared" si="0"/>
        <v>26</v>
      </c>
      <c r="AL3" s="15" t="str">
        <f t="shared" si="0"/>
        <v>26</v>
      </c>
      <c r="AM3" s="15" t="str">
        <f t="shared" si="0"/>
        <v>26</v>
      </c>
      <c r="AO3" s="15"/>
      <c r="AP3" s="15"/>
      <c r="AQ3" s="15"/>
      <c r="AR3" s="15"/>
      <c r="AS3" s="15"/>
      <c r="AT3" s="15"/>
      <c r="AV3" s="15"/>
      <c r="AW3" s="15"/>
      <c r="AX3" s="15"/>
      <c r="AY3" s="15"/>
      <c r="AZ3" s="15"/>
      <c r="BA3" s="15"/>
      <c r="BB3" s="15"/>
      <c r="BC3" s="15"/>
      <c r="BD3" s="15"/>
      <c r="BE3" s="15"/>
      <c r="BG3" s="15"/>
      <c r="BH3" s="15"/>
      <c r="BI3" s="15"/>
      <c r="BJ3" s="15"/>
      <c r="BK3" s="15"/>
      <c r="BL3" s="15"/>
      <c r="BM3" s="15"/>
      <c r="BN3" s="15"/>
      <c r="BO3" s="15"/>
      <c r="BP3" s="15"/>
    </row>
    <row r="4" spans="2:68" x14ac:dyDescent="0.2">
      <c r="C4" s="15" t="str">
        <f t="shared" ref="C4:AM4" si="1">RIGHT(YEAR(C$11),2)</f>
        <v>17</v>
      </c>
      <c r="D4" s="15" t="str">
        <f t="shared" si="1"/>
        <v>17</v>
      </c>
      <c r="E4" s="15" t="str">
        <f t="shared" si="1"/>
        <v>17</v>
      </c>
      <c r="F4" s="15" t="str">
        <f t="shared" si="1"/>
        <v>18</v>
      </c>
      <c r="G4" s="15" t="str">
        <f t="shared" si="1"/>
        <v>18</v>
      </c>
      <c r="H4" s="15" t="str">
        <f t="shared" si="1"/>
        <v>18</v>
      </c>
      <c r="I4" s="15" t="str">
        <f t="shared" si="1"/>
        <v>18</v>
      </c>
      <c r="J4" s="15" t="str">
        <f t="shared" si="1"/>
        <v>19</v>
      </c>
      <c r="K4" s="15" t="str">
        <f t="shared" si="1"/>
        <v>19</v>
      </c>
      <c r="L4" s="15" t="str">
        <f t="shared" si="1"/>
        <v>19</v>
      </c>
      <c r="M4" s="15" t="str">
        <f t="shared" si="1"/>
        <v>19</v>
      </c>
      <c r="N4" s="15" t="str">
        <f t="shared" si="1"/>
        <v>20</v>
      </c>
      <c r="O4" s="15" t="str">
        <f t="shared" si="1"/>
        <v>20</v>
      </c>
      <c r="P4" s="15" t="str">
        <f t="shared" si="1"/>
        <v>20</v>
      </c>
      <c r="Q4" s="15" t="str">
        <f t="shared" si="1"/>
        <v>20</v>
      </c>
      <c r="R4" s="15" t="str">
        <f t="shared" si="1"/>
        <v>21</v>
      </c>
      <c r="S4" s="15" t="str">
        <f t="shared" si="1"/>
        <v>21</v>
      </c>
      <c r="T4" s="15" t="str">
        <f t="shared" si="1"/>
        <v>21</v>
      </c>
      <c r="U4" s="15" t="str">
        <f t="shared" si="1"/>
        <v>21</v>
      </c>
      <c r="V4" s="15" t="str">
        <f t="shared" si="1"/>
        <v>22</v>
      </c>
      <c r="W4" s="15" t="str">
        <f t="shared" si="1"/>
        <v>22</v>
      </c>
      <c r="X4" s="15" t="str">
        <f t="shared" si="1"/>
        <v>22</v>
      </c>
      <c r="Y4" s="15" t="str">
        <f t="shared" si="1"/>
        <v>22</v>
      </c>
      <c r="Z4" s="15" t="str">
        <f t="shared" si="1"/>
        <v>23</v>
      </c>
      <c r="AA4" s="15" t="str">
        <f t="shared" si="1"/>
        <v>23</v>
      </c>
      <c r="AB4" s="15" t="str">
        <f t="shared" si="1"/>
        <v>23</v>
      </c>
      <c r="AC4" s="15" t="str">
        <f t="shared" si="1"/>
        <v>23</v>
      </c>
      <c r="AD4" s="15" t="str">
        <f t="shared" si="1"/>
        <v>24</v>
      </c>
      <c r="AE4" s="15" t="str">
        <f t="shared" si="1"/>
        <v>24</v>
      </c>
      <c r="AF4" s="15" t="str">
        <f t="shared" si="1"/>
        <v>24</v>
      </c>
      <c r="AG4" s="15" t="str">
        <f t="shared" si="1"/>
        <v>24</v>
      </c>
      <c r="AH4" s="15" t="str">
        <f t="shared" si="1"/>
        <v>25</v>
      </c>
      <c r="AI4" s="15" t="str">
        <f t="shared" si="1"/>
        <v>25</v>
      </c>
      <c r="AJ4" s="15" t="str">
        <f t="shared" si="1"/>
        <v>25</v>
      </c>
      <c r="AK4" s="15" t="str">
        <f t="shared" si="1"/>
        <v>25</v>
      </c>
      <c r="AL4" s="15" t="str">
        <f t="shared" si="1"/>
        <v>26</v>
      </c>
      <c r="AM4" s="15" t="str">
        <f t="shared" si="1"/>
        <v>26</v>
      </c>
      <c r="AO4" s="15"/>
      <c r="AP4" s="15"/>
      <c r="AQ4" s="15"/>
      <c r="AR4" s="15"/>
      <c r="AS4" s="15"/>
      <c r="AT4" s="15"/>
      <c r="AV4" s="15"/>
      <c r="AW4" s="15"/>
      <c r="AX4" s="15"/>
      <c r="AY4" s="15"/>
      <c r="AZ4" s="15"/>
      <c r="BA4" s="15"/>
      <c r="BB4" s="15"/>
      <c r="BC4" s="15"/>
      <c r="BD4" s="15"/>
      <c r="BE4" s="15"/>
      <c r="BG4" s="15"/>
      <c r="BH4" s="15"/>
      <c r="BI4" s="15"/>
      <c r="BJ4" s="15"/>
      <c r="BK4" s="15"/>
      <c r="BL4" s="15"/>
      <c r="BM4" s="15"/>
      <c r="BN4" s="15"/>
      <c r="BO4" s="15"/>
      <c r="BP4" s="15"/>
    </row>
    <row r="5" spans="2:68" x14ac:dyDescent="0.2">
      <c r="C5" s="15" t="str">
        <f t="shared" ref="C5:AM5" si="2">"FY"&amp;TEXT(C$3,"00")</f>
        <v>FY17</v>
      </c>
      <c r="D5" s="15" t="str">
        <f t="shared" si="2"/>
        <v>FY18</v>
      </c>
      <c r="E5" s="15" t="str">
        <f t="shared" si="2"/>
        <v>FY18</v>
      </c>
      <c r="F5" s="15" t="str">
        <f t="shared" si="2"/>
        <v>FY18</v>
      </c>
      <c r="G5" s="15" t="str">
        <f t="shared" si="2"/>
        <v>FY18</v>
      </c>
      <c r="H5" s="15" t="str">
        <f t="shared" si="2"/>
        <v>FY19</v>
      </c>
      <c r="I5" s="15" t="str">
        <f t="shared" si="2"/>
        <v>FY19</v>
      </c>
      <c r="J5" s="15" t="str">
        <f t="shared" si="2"/>
        <v>FY19</v>
      </c>
      <c r="K5" s="15" t="str">
        <f t="shared" si="2"/>
        <v>FY19</v>
      </c>
      <c r="L5" s="15" t="str">
        <f t="shared" si="2"/>
        <v>FY20</v>
      </c>
      <c r="M5" s="15" t="str">
        <f t="shared" si="2"/>
        <v>FY20</v>
      </c>
      <c r="N5" s="15" t="str">
        <f t="shared" si="2"/>
        <v>FY20</v>
      </c>
      <c r="O5" s="15" t="str">
        <f t="shared" si="2"/>
        <v>FY20</v>
      </c>
      <c r="P5" s="15" t="str">
        <f t="shared" si="2"/>
        <v>FY21</v>
      </c>
      <c r="Q5" s="15" t="str">
        <f t="shared" si="2"/>
        <v>FY21</v>
      </c>
      <c r="R5" s="15" t="str">
        <f t="shared" si="2"/>
        <v>FY21</v>
      </c>
      <c r="S5" s="15" t="str">
        <f t="shared" si="2"/>
        <v>FY21</v>
      </c>
      <c r="T5" s="15" t="str">
        <f t="shared" si="2"/>
        <v>FY22</v>
      </c>
      <c r="U5" s="15" t="str">
        <f t="shared" si="2"/>
        <v>FY22</v>
      </c>
      <c r="V5" s="15" t="str">
        <f t="shared" si="2"/>
        <v>FY22</v>
      </c>
      <c r="W5" s="15" t="str">
        <f t="shared" si="2"/>
        <v>FY22</v>
      </c>
      <c r="X5" s="15" t="str">
        <f t="shared" si="2"/>
        <v>FY23</v>
      </c>
      <c r="Y5" s="15" t="str">
        <f t="shared" si="2"/>
        <v>FY23</v>
      </c>
      <c r="Z5" s="15" t="str">
        <f t="shared" si="2"/>
        <v>FY23</v>
      </c>
      <c r="AA5" s="15" t="str">
        <f t="shared" si="2"/>
        <v>FY23</v>
      </c>
      <c r="AB5" s="15" t="str">
        <f t="shared" si="2"/>
        <v>FY24</v>
      </c>
      <c r="AC5" s="15" t="str">
        <f t="shared" si="2"/>
        <v>FY24</v>
      </c>
      <c r="AD5" s="15" t="str">
        <f t="shared" si="2"/>
        <v>FY24</v>
      </c>
      <c r="AE5" s="15" t="str">
        <f t="shared" si="2"/>
        <v>FY24</v>
      </c>
      <c r="AF5" s="15" t="str">
        <f t="shared" si="2"/>
        <v>FY25</v>
      </c>
      <c r="AG5" s="15" t="str">
        <f t="shared" si="2"/>
        <v>FY25</v>
      </c>
      <c r="AH5" s="15" t="str">
        <f t="shared" si="2"/>
        <v>FY25</v>
      </c>
      <c r="AI5" s="15" t="str">
        <f t="shared" si="2"/>
        <v>FY25</v>
      </c>
      <c r="AJ5" s="15" t="str">
        <f t="shared" si="2"/>
        <v>FY26</v>
      </c>
      <c r="AK5" s="15" t="str">
        <f t="shared" si="2"/>
        <v>FY26</v>
      </c>
      <c r="AL5" s="15" t="str">
        <f t="shared" si="2"/>
        <v>FY26</v>
      </c>
      <c r="AM5" s="15" t="str">
        <f t="shared" si="2"/>
        <v>FY26</v>
      </c>
      <c r="AO5" s="15"/>
      <c r="AP5" s="15"/>
      <c r="AQ5" s="15"/>
      <c r="AR5" s="15"/>
      <c r="AS5" s="15"/>
      <c r="AT5" s="15"/>
      <c r="AV5" s="15"/>
      <c r="AW5" s="15"/>
      <c r="AX5" s="15"/>
      <c r="AY5" s="15"/>
      <c r="AZ5" s="15"/>
      <c r="BA5" s="15"/>
      <c r="BB5" s="15"/>
      <c r="BC5" s="15"/>
      <c r="BD5" s="15"/>
      <c r="BE5" s="15"/>
      <c r="BG5" s="15"/>
      <c r="BH5" s="15"/>
      <c r="BI5" s="15"/>
      <c r="BJ5" s="15"/>
      <c r="BK5" s="15"/>
      <c r="BL5" s="15"/>
      <c r="BM5" s="15"/>
      <c r="BN5" s="15"/>
      <c r="BO5" s="15"/>
      <c r="BP5" s="15"/>
    </row>
    <row r="6" spans="2:68" x14ac:dyDescent="0.2">
      <c r="C6" s="15" t="str">
        <f t="shared" ref="C6:AM6" si="3">"CY"&amp;TEXT(C$4,"00")</f>
        <v>CY17</v>
      </c>
      <c r="D6" s="15" t="str">
        <f t="shared" si="3"/>
        <v>CY17</v>
      </c>
      <c r="E6" s="15" t="str">
        <f t="shared" si="3"/>
        <v>CY17</v>
      </c>
      <c r="F6" s="15" t="str">
        <f t="shared" si="3"/>
        <v>CY18</v>
      </c>
      <c r="G6" s="15" t="str">
        <f t="shared" si="3"/>
        <v>CY18</v>
      </c>
      <c r="H6" s="15" t="str">
        <f t="shared" si="3"/>
        <v>CY18</v>
      </c>
      <c r="I6" s="15" t="str">
        <f t="shared" si="3"/>
        <v>CY18</v>
      </c>
      <c r="J6" s="15" t="str">
        <f t="shared" si="3"/>
        <v>CY19</v>
      </c>
      <c r="K6" s="15" t="str">
        <f t="shared" si="3"/>
        <v>CY19</v>
      </c>
      <c r="L6" s="15" t="str">
        <f t="shared" si="3"/>
        <v>CY19</v>
      </c>
      <c r="M6" s="15" t="str">
        <f t="shared" si="3"/>
        <v>CY19</v>
      </c>
      <c r="N6" s="15" t="str">
        <f t="shared" si="3"/>
        <v>CY20</v>
      </c>
      <c r="O6" s="15" t="str">
        <f t="shared" si="3"/>
        <v>CY20</v>
      </c>
      <c r="P6" s="15" t="str">
        <f t="shared" si="3"/>
        <v>CY20</v>
      </c>
      <c r="Q6" s="15" t="str">
        <f t="shared" si="3"/>
        <v>CY20</v>
      </c>
      <c r="R6" s="15" t="str">
        <f t="shared" si="3"/>
        <v>CY21</v>
      </c>
      <c r="S6" s="15" t="str">
        <f t="shared" si="3"/>
        <v>CY21</v>
      </c>
      <c r="T6" s="15" t="str">
        <f t="shared" si="3"/>
        <v>CY21</v>
      </c>
      <c r="U6" s="15" t="str">
        <f t="shared" si="3"/>
        <v>CY21</v>
      </c>
      <c r="V6" s="15" t="str">
        <f t="shared" si="3"/>
        <v>CY22</v>
      </c>
      <c r="W6" s="15" t="str">
        <f t="shared" si="3"/>
        <v>CY22</v>
      </c>
      <c r="X6" s="15" t="str">
        <f t="shared" si="3"/>
        <v>CY22</v>
      </c>
      <c r="Y6" s="15" t="str">
        <f t="shared" si="3"/>
        <v>CY22</v>
      </c>
      <c r="Z6" s="15" t="str">
        <f t="shared" si="3"/>
        <v>CY23</v>
      </c>
      <c r="AA6" s="15" t="str">
        <f t="shared" si="3"/>
        <v>CY23</v>
      </c>
      <c r="AB6" s="15" t="str">
        <f t="shared" si="3"/>
        <v>CY23</v>
      </c>
      <c r="AC6" s="15" t="str">
        <f t="shared" si="3"/>
        <v>CY23</v>
      </c>
      <c r="AD6" s="15" t="str">
        <f t="shared" si="3"/>
        <v>CY24</v>
      </c>
      <c r="AE6" s="15" t="str">
        <f t="shared" si="3"/>
        <v>CY24</v>
      </c>
      <c r="AF6" s="15" t="str">
        <f t="shared" si="3"/>
        <v>CY24</v>
      </c>
      <c r="AG6" s="15" t="str">
        <f t="shared" si="3"/>
        <v>CY24</v>
      </c>
      <c r="AH6" s="15" t="str">
        <f t="shared" si="3"/>
        <v>CY25</v>
      </c>
      <c r="AI6" s="15" t="str">
        <f t="shared" si="3"/>
        <v>CY25</v>
      </c>
      <c r="AJ6" s="15" t="str">
        <f t="shared" si="3"/>
        <v>CY25</v>
      </c>
      <c r="AK6" s="15" t="str">
        <f t="shared" si="3"/>
        <v>CY25</v>
      </c>
      <c r="AL6" s="15" t="str">
        <f t="shared" si="3"/>
        <v>CY26</v>
      </c>
      <c r="AM6" s="15" t="str">
        <f t="shared" si="3"/>
        <v>CY26</v>
      </c>
      <c r="AO6" s="15"/>
      <c r="AP6" s="15" t="s">
        <v>518</v>
      </c>
      <c r="AQ6" s="15" t="s">
        <v>518</v>
      </c>
      <c r="AR6" s="15" t="s">
        <v>519</v>
      </c>
      <c r="AS6" s="15" t="s">
        <v>519</v>
      </c>
      <c r="AT6" s="15" t="s">
        <v>982</v>
      </c>
      <c r="AV6" s="15"/>
      <c r="AW6" s="15"/>
      <c r="AX6" s="15"/>
      <c r="AY6" s="15"/>
      <c r="AZ6" s="15"/>
      <c r="BA6" s="15"/>
      <c r="BB6" s="15"/>
      <c r="BC6" s="15"/>
      <c r="BD6" s="15"/>
      <c r="BE6" s="15"/>
      <c r="BG6" s="15"/>
      <c r="BH6" s="15"/>
      <c r="BI6" s="15"/>
      <c r="BJ6" s="15"/>
      <c r="BK6" s="15"/>
      <c r="BL6" s="15"/>
      <c r="BM6" s="15"/>
      <c r="BN6" s="15"/>
      <c r="BO6" s="15"/>
      <c r="BP6" s="15"/>
    </row>
    <row r="7" spans="2:68" x14ac:dyDescent="0.2">
      <c r="C7" s="175">
        <f t="shared" ref="C7:AM7" si="4">C11-EOMONTH(C11,-3)</f>
        <v>91</v>
      </c>
      <c r="D7" s="175">
        <f t="shared" si="4"/>
        <v>92</v>
      </c>
      <c r="E7" s="175">
        <f t="shared" si="4"/>
        <v>92</v>
      </c>
      <c r="F7" s="175">
        <f t="shared" si="4"/>
        <v>90</v>
      </c>
      <c r="G7" s="175">
        <f t="shared" si="4"/>
        <v>91</v>
      </c>
      <c r="H7" s="175">
        <f t="shared" si="4"/>
        <v>92</v>
      </c>
      <c r="I7" s="175">
        <f t="shared" si="4"/>
        <v>92</v>
      </c>
      <c r="J7" s="175">
        <f t="shared" si="4"/>
        <v>90</v>
      </c>
      <c r="K7" s="175">
        <f t="shared" si="4"/>
        <v>91</v>
      </c>
      <c r="L7" s="175">
        <f t="shared" si="4"/>
        <v>92</v>
      </c>
      <c r="M7" s="175">
        <f t="shared" si="4"/>
        <v>92</v>
      </c>
      <c r="N7" s="175">
        <f t="shared" si="4"/>
        <v>91</v>
      </c>
      <c r="O7" s="175">
        <f t="shared" si="4"/>
        <v>91</v>
      </c>
      <c r="P7" s="175">
        <f t="shared" si="4"/>
        <v>92</v>
      </c>
      <c r="Q7" s="175">
        <f t="shared" si="4"/>
        <v>92</v>
      </c>
      <c r="R7" s="175">
        <f t="shared" si="4"/>
        <v>90</v>
      </c>
      <c r="S7" s="175">
        <f t="shared" si="4"/>
        <v>91</v>
      </c>
      <c r="T7" s="175">
        <f t="shared" si="4"/>
        <v>92</v>
      </c>
      <c r="U7" s="175">
        <f t="shared" si="4"/>
        <v>92</v>
      </c>
      <c r="V7" s="175">
        <f t="shared" si="4"/>
        <v>90</v>
      </c>
      <c r="W7" s="175">
        <f t="shared" si="4"/>
        <v>91</v>
      </c>
      <c r="X7" s="175">
        <f t="shared" si="4"/>
        <v>92</v>
      </c>
      <c r="Y7" s="175">
        <f t="shared" si="4"/>
        <v>92</v>
      </c>
      <c r="Z7" s="175">
        <f t="shared" si="4"/>
        <v>90</v>
      </c>
      <c r="AA7" s="175">
        <f t="shared" si="4"/>
        <v>91</v>
      </c>
      <c r="AB7" s="175">
        <f t="shared" si="4"/>
        <v>92</v>
      </c>
      <c r="AC7" s="175">
        <f t="shared" si="4"/>
        <v>92</v>
      </c>
      <c r="AD7" s="175">
        <f t="shared" si="4"/>
        <v>91</v>
      </c>
      <c r="AE7" s="175">
        <f t="shared" si="4"/>
        <v>91</v>
      </c>
      <c r="AF7" s="175">
        <f t="shared" si="4"/>
        <v>92</v>
      </c>
      <c r="AG7" s="175">
        <f t="shared" si="4"/>
        <v>92</v>
      </c>
      <c r="AH7" s="175">
        <f t="shared" si="4"/>
        <v>90</v>
      </c>
      <c r="AI7" s="175">
        <f t="shared" si="4"/>
        <v>91</v>
      </c>
      <c r="AJ7" s="175">
        <f t="shared" si="4"/>
        <v>92</v>
      </c>
      <c r="AK7" s="175">
        <f t="shared" si="4"/>
        <v>92</v>
      </c>
      <c r="AL7" s="175">
        <f t="shared" si="4"/>
        <v>90</v>
      </c>
      <c r="AM7" s="175">
        <f t="shared" si="4"/>
        <v>91</v>
      </c>
      <c r="AO7" s="175"/>
      <c r="AP7" s="175"/>
      <c r="AQ7" s="175"/>
      <c r="AR7" s="175"/>
      <c r="AS7" s="175"/>
      <c r="AT7" s="175"/>
      <c r="AV7" s="175"/>
      <c r="AW7" s="175"/>
      <c r="AX7" s="175"/>
      <c r="AY7" s="175"/>
      <c r="AZ7" s="175"/>
      <c r="BA7" s="175"/>
      <c r="BB7" s="175"/>
      <c r="BC7" s="175"/>
      <c r="BD7" s="175"/>
      <c r="BE7" s="175"/>
      <c r="BG7" s="175"/>
      <c r="BH7" s="175"/>
      <c r="BI7" s="175"/>
      <c r="BJ7" s="175"/>
      <c r="BK7" s="175"/>
      <c r="BL7" s="175"/>
      <c r="BM7" s="175"/>
      <c r="BN7" s="175"/>
      <c r="BO7" s="175"/>
      <c r="BP7" s="175"/>
    </row>
    <row r="9" spans="2:68" x14ac:dyDescent="0.2">
      <c r="D9" s="15" t="s">
        <v>41</v>
      </c>
      <c r="E9" s="15" t="s">
        <v>41</v>
      </c>
      <c r="F9" s="15" t="s">
        <v>42</v>
      </c>
      <c r="G9" s="15" t="s">
        <v>42</v>
      </c>
      <c r="H9" s="15" t="s">
        <v>43</v>
      </c>
      <c r="I9" s="15" t="s">
        <v>43</v>
      </c>
      <c r="J9" s="15" t="s">
        <v>44</v>
      </c>
      <c r="K9" s="15" t="s">
        <v>44</v>
      </c>
      <c r="L9" s="15" t="s">
        <v>45</v>
      </c>
      <c r="M9" s="15" t="s">
        <v>45</v>
      </c>
      <c r="N9" s="15" t="s">
        <v>46</v>
      </c>
      <c r="O9" s="15" t="s">
        <v>46</v>
      </c>
      <c r="P9" s="15" t="s">
        <v>47</v>
      </c>
      <c r="Q9" s="15" t="s">
        <v>47</v>
      </c>
      <c r="R9" s="15" t="s">
        <v>48</v>
      </c>
      <c r="S9" s="15" t="s">
        <v>48</v>
      </c>
      <c r="T9" s="15" t="s">
        <v>49</v>
      </c>
      <c r="U9" s="15" t="s">
        <v>49</v>
      </c>
      <c r="V9" s="15" t="s">
        <v>50</v>
      </c>
      <c r="W9" s="15" t="s">
        <v>50</v>
      </c>
      <c r="X9" s="15" t="s">
        <v>51</v>
      </c>
      <c r="Y9" s="15" t="s">
        <v>51</v>
      </c>
      <c r="Z9" s="15" t="s">
        <v>52</v>
      </c>
      <c r="AA9" s="15" t="s">
        <v>52</v>
      </c>
      <c r="AB9" s="15" t="s">
        <v>53</v>
      </c>
      <c r="AC9" s="15" t="s">
        <v>53</v>
      </c>
      <c r="AD9" s="15" t="s">
        <v>54</v>
      </c>
      <c r="AE9" s="15" t="s">
        <v>54</v>
      </c>
      <c r="AF9" s="15" t="s">
        <v>55</v>
      </c>
      <c r="AG9" s="15" t="s">
        <v>55</v>
      </c>
      <c r="AH9" s="15" t="s">
        <v>56</v>
      </c>
      <c r="AI9" s="15" t="s">
        <v>56</v>
      </c>
      <c r="AJ9" s="15" t="s">
        <v>57</v>
      </c>
      <c r="AK9" s="15" t="s">
        <v>57</v>
      </c>
      <c r="AL9" s="15" t="s">
        <v>58</v>
      </c>
      <c r="AM9" s="15" t="s">
        <v>58</v>
      </c>
      <c r="AO9" s="15"/>
      <c r="AP9" s="15"/>
      <c r="AQ9" s="15"/>
      <c r="AR9" s="15"/>
      <c r="AS9" s="15"/>
      <c r="AT9" s="15"/>
      <c r="AV9" s="15"/>
      <c r="AW9" s="15"/>
      <c r="AX9" s="15"/>
      <c r="AY9" s="15"/>
      <c r="AZ9" s="15"/>
      <c r="BA9" s="15"/>
      <c r="BB9" s="15"/>
      <c r="BC9" s="15"/>
      <c r="BD9" s="15"/>
      <c r="BE9" s="15"/>
      <c r="BG9" s="15"/>
      <c r="BH9" s="15"/>
      <c r="BI9" s="15"/>
      <c r="BJ9" s="15"/>
      <c r="BK9" s="15"/>
      <c r="BL9" s="15"/>
      <c r="BM9" s="15"/>
      <c r="BN9" s="15"/>
      <c r="BO9" s="15"/>
      <c r="BP9" s="15"/>
    </row>
    <row r="10" spans="2:68" x14ac:dyDescent="0.2">
      <c r="C10" s="28" t="s">
        <v>59</v>
      </c>
      <c r="D10" s="28" t="s">
        <v>60</v>
      </c>
      <c r="E10" s="28" t="s">
        <v>61</v>
      </c>
      <c r="F10" s="28" t="s">
        <v>62</v>
      </c>
      <c r="G10" s="28" t="s">
        <v>63</v>
      </c>
      <c r="H10" s="28" t="s">
        <v>64</v>
      </c>
      <c r="I10" s="28" t="s">
        <v>65</v>
      </c>
      <c r="J10" s="28" t="s">
        <v>66</v>
      </c>
      <c r="K10" s="28" t="s">
        <v>67</v>
      </c>
      <c r="L10" s="28" t="s">
        <v>68</v>
      </c>
      <c r="M10" s="28" t="s">
        <v>69</v>
      </c>
      <c r="N10" s="28" t="s">
        <v>70</v>
      </c>
      <c r="O10" s="28" t="s">
        <v>71</v>
      </c>
      <c r="P10" s="28" t="s">
        <v>72</v>
      </c>
      <c r="Q10" s="28" t="s">
        <v>73</v>
      </c>
      <c r="R10" s="28" t="s">
        <v>74</v>
      </c>
      <c r="S10" s="28" t="s">
        <v>75</v>
      </c>
      <c r="T10" s="28" t="s">
        <v>76</v>
      </c>
      <c r="U10" s="28" t="s">
        <v>77</v>
      </c>
      <c r="V10" s="28" t="s">
        <v>78</v>
      </c>
      <c r="W10" s="28" t="s">
        <v>79</v>
      </c>
      <c r="X10" s="28" t="s">
        <v>80</v>
      </c>
      <c r="Y10" s="28" t="s">
        <v>81</v>
      </c>
      <c r="Z10" s="28" t="s">
        <v>82</v>
      </c>
      <c r="AA10" s="28" t="s">
        <v>83</v>
      </c>
      <c r="AB10" s="28" t="s">
        <v>84</v>
      </c>
      <c r="AC10" s="28" t="s">
        <v>85</v>
      </c>
      <c r="AD10" s="28" t="s">
        <v>86</v>
      </c>
      <c r="AE10" s="28" t="s">
        <v>87</v>
      </c>
      <c r="AF10" s="28" t="s">
        <v>88</v>
      </c>
      <c r="AG10" s="28" t="s">
        <v>89</v>
      </c>
      <c r="AH10" s="28" t="s">
        <v>90</v>
      </c>
      <c r="AI10" s="28" t="s">
        <v>91</v>
      </c>
      <c r="AJ10" s="28" t="s">
        <v>92</v>
      </c>
      <c r="AK10" s="28" t="s">
        <v>93</v>
      </c>
      <c r="AL10" s="28" t="s">
        <v>94</v>
      </c>
      <c r="AM10" s="28" t="s">
        <v>95</v>
      </c>
      <c r="AO10" s="28" t="s">
        <v>53</v>
      </c>
      <c r="AP10" s="28" t="s">
        <v>54</v>
      </c>
      <c r="AQ10" s="28" t="s">
        <v>55</v>
      </c>
      <c r="AR10" s="28" t="s">
        <v>56</v>
      </c>
      <c r="AS10" s="28" t="s">
        <v>57</v>
      </c>
      <c r="AT10" s="28"/>
      <c r="AV10" s="28" t="s">
        <v>167</v>
      </c>
      <c r="AW10" s="28" t="s">
        <v>168</v>
      </c>
      <c r="AX10" s="28" t="s">
        <v>169</v>
      </c>
      <c r="AY10" s="28" t="s">
        <v>170</v>
      </c>
      <c r="AZ10" s="28" t="s">
        <v>171</v>
      </c>
      <c r="BA10" s="28" t="s">
        <v>172</v>
      </c>
      <c r="BB10" s="28" t="s">
        <v>173</v>
      </c>
      <c r="BC10" s="28" t="s">
        <v>174</v>
      </c>
      <c r="BD10" s="28"/>
      <c r="BE10" s="28"/>
      <c r="BG10" s="28" t="s">
        <v>513</v>
      </c>
      <c r="BH10" s="28" t="s">
        <v>514</v>
      </c>
      <c r="BI10" s="28" t="s">
        <v>515</v>
      </c>
      <c r="BJ10" s="28" t="s">
        <v>516</v>
      </c>
      <c r="BK10" s="28" t="s">
        <v>517</v>
      </c>
      <c r="BL10" s="28" t="s">
        <v>518</v>
      </c>
      <c r="BM10" s="28" t="s">
        <v>519</v>
      </c>
      <c r="BN10" s="28" t="s">
        <v>982</v>
      </c>
      <c r="BO10" s="28"/>
      <c r="BP10" s="28"/>
    </row>
    <row r="11" spans="2:68" x14ac:dyDescent="0.2">
      <c r="C11" s="29">
        <v>42916</v>
      </c>
      <c r="D11" s="30">
        <f t="shared" ref="D11:AM11" si="5" xml:space="preserve"> EOMONTH( C11, 3)</f>
        <v>43008</v>
      </c>
      <c r="E11" s="30">
        <f t="shared" si="5"/>
        <v>43100</v>
      </c>
      <c r="F11" s="30">
        <f t="shared" si="5"/>
        <v>43190</v>
      </c>
      <c r="G11" s="30">
        <f t="shared" si="5"/>
        <v>43281</v>
      </c>
      <c r="H11" s="30">
        <f t="shared" si="5"/>
        <v>43373</v>
      </c>
      <c r="I11" s="30">
        <f t="shared" si="5"/>
        <v>43465</v>
      </c>
      <c r="J11" s="30">
        <f t="shared" si="5"/>
        <v>43555</v>
      </c>
      <c r="K11" s="30">
        <f t="shared" si="5"/>
        <v>43646</v>
      </c>
      <c r="L11" s="30">
        <f t="shared" si="5"/>
        <v>43738</v>
      </c>
      <c r="M11" s="30">
        <f t="shared" si="5"/>
        <v>43830</v>
      </c>
      <c r="N11" s="30">
        <f t="shared" si="5"/>
        <v>43921</v>
      </c>
      <c r="O11" s="30">
        <f t="shared" si="5"/>
        <v>44012</v>
      </c>
      <c r="P11" s="30">
        <f t="shared" si="5"/>
        <v>44104</v>
      </c>
      <c r="Q11" s="30">
        <f t="shared" si="5"/>
        <v>44196</v>
      </c>
      <c r="R11" s="30">
        <f t="shared" si="5"/>
        <v>44286</v>
      </c>
      <c r="S11" s="30">
        <f t="shared" si="5"/>
        <v>44377</v>
      </c>
      <c r="T11" s="30">
        <f t="shared" si="5"/>
        <v>44469</v>
      </c>
      <c r="U11" s="30">
        <f t="shared" si="5"/>
        <v>44561</v>
      </c>
      <c r="V11" s="30">
        <f t="shared" si="5"/>
        <v>44651</v>
      </c>
      <c r="W11" s="30">
        <f t="shared" si="5"/>
        <v>44742</v>
      </c>
      <c r="X11" s="30">
        <f t="shared" si="5"/>
        <v>44834</v>
      </c>
      <c r="Y11" s="30">
        <f t="shared" si="5"/>
        <v>44926</v>
      </c>
      <c r="Z11" s="30">
        <f t="shared" si="5"/>
        <v>45016</v>
      </c>
      <c r="AA11" s="30">
        <f t="shared" si="5"/>
        <v>45107</v>
      </c>
      <c r="AB11" s="30">
        <f t="shared" si="5"/>
        <v>45199</v>
      </c>
      <c r="AC11" s="30">
        <f t="shared" si="5"/>
        <v>45291</v>
      </c>
      <c r="AD11" s="30">
        <f t="shared" si="5"/>
        <v>45382</v>
      </c>
      <c r="AE11" s="30">
        <f t="shared" si="5"/>
        <v>45473</v>
      </c>
      <c r="AF11" s="30">
        <f t="shared" si="5"/>
        <v>45565</v>
      </c>
      <c r="AG11" s="30">
        <f t="shared" si="5"/>
        <v>45657</v>
      </c>
      <c r="AH11" s="30">
        <f t="shared" si="5"/>
        <v>45747</v>
      </c>
      <c r="AI11" s="30">
        <f t="shared" si="5"/>
        <v>45838</v>
      </c>
      <c r="AJ11" s="30">
        <f t="shared" si="5"/>
        <v>45930</v>
      </c>
      <c r="AK11" s="30">
        <f t="shared" si="5"/>
        <v>46022</v>
      </c>
      <c r="AL11" s="30">
        <f t="shared" si="5"/>
        <v>46112</v>
      </c>
      <c r="AM11" s="30">
        <f t="shared" si="5"/>
        <v>46203</v>
      </c>
      <c r="AO11" s="30">
        <v>45291</v>
      </c>
      <c r="AP11" s="30">
        <f>EOMONTH(AO11,6)</f>
        <v>45473</v>
      </c>
      <c r="AQ11" s="30">
        <f>EOMONTH(AP11,6)</f>
        <v>45657</v>
      </c>
      <c r="AR11" s="30">
        <f>EOMONTH(AQ11,6)</f>
        <v>45838</v>
      </c>
      <c r="AS11" s="30">
        <f>EOMONTH(AR11,6)</f>
        <v>46022</v>
      </c>
      <c r="AT11" s="201"/>
      <c r="AV11" s="201">
        <v>43281</v>
      </c>
      <c r="AW11" s="201">
        <f>EOMONTH(AV11,12)</f>
        <v>43646</v>
      </c>
      <c r="AX11" s="201">
        <f t="shared" ref="AX11:BC11" si="6">EOMONTH(AW11,12)</f>
        <v>44012</v>
      </c>
      <c r="AY11" s="201">
        <f t="shared" si="6"/>
        <v>44377</v>
      </c>
      <c r="AZ11" s="201">
        <f t="shared" si="6"/>
        <v>44742</v>
      </c>
      <c r="BA11" s="201">
        <f t="shared" si="6"/>
        <v>45107</v>
      </c>
      <c r="BB11" s="201">
        <f t="shared" si="6"/>
        <v>45473</v>
      </c>
      <c r="BC11" s="201">
        <f t="shared" si="6"/>
        <v>45838</v>
      </c>
      <c r="BD11" s="30"/>
      <c r="BE11" s="30"/>
      <c r="BG11" s="201">
        <v>43830</v>
      </c>
      <c r="BH11" s="201">
        <f>EOMONTH(BG11,12)</f>
        <v>44196</v>
      </c>
      <c r="BI11" s="201">
        <f t="shared" ref="BI11:BN11" si="7">EOMONTH(BH11,12)</f>
        <v>44561</v>
      </c>
      <c r="BJ11" s="201">
        <f t="shared" si="7"/>
        <v>44926</v>
      </c>
      <c r="BK11" s="201">
        <f t="shared" si="7"/>
        <v>45291</v>
      </c>
      <c r="BL11" s="201">
        <f t="shared" si="7"/>
        <v>45657</v>
      </c>
      <c r="BM11" s="201">
        <f t="shared" si="7"/>
        <v>46022</v>
      </c>
      <c r="BN11" s="201">
        <f t="shared" si="7"/>
        <v>46387</v>
      </c>
      <c r="BO11" s="30"/>
      <c r="BP11" s="30"/>
    </row>
    <row r="12" spans="2:68" x14ac:dyDescent="0.2">
      <c r="B12" s="12" t="s">
        <v>9</v>
      </c>
      <c r="C12" s="31"/>
      <c r="D12" s="31"/>
      <c r="E12" s="31"/>
      <c r="F12" s="31"/>
      <c r="G12" s="31"/>
      <c r="H12" s="32">
        <v>99.1</v>
      </c>
      <c r="I12" s="32">
        <v>110.5</v>
      </c>
      <c r="J12" s="32">
        <v>112.7</v>
      </c>
      <c r="K12" s="32">
        <v>167.8</v>
      </c>
      <c r="L12" s="32">
        <v>164.4</v>
      </c>
      <c r="M12" s="32">
        <v>184.8</v>
      </c>
      <c r="N12" s="32">
        <v>178.4</v>
      </c>
      <c r="O12" s="32">
        <v>302.89999999999998</v>
      </c>
      <c r="P12" s="32">
        <v>527.70000000000005</v>
      </c>
      <c r="Q12" s="32">
        <v>543.29999999999995</v>
      </c>
      <c r="R12" s="32">
        <v>423.2</v>
      </c>
      <c r="S12" s="32">
        <v>494.8</v>
      </c>
      <c r="T12" s="32">
        <v>631.4</v>
      </c>
      <c r="U12" s="32">
        <v>727</v>
      </c>
      <c r="V12" s="32">
        <v>579.4</v>
      </c>
      <c r="W12" s="32">
        <v>598.6</v>
      </c>
      <c r="X12" s="32">
        <v>611.9</v>
      </c>
      <c r="Y12" s="32">
        <v>938.5</v>
      </c>
      <c r="Z12" s="32">
        <v>579.79999999999995</v>
      </c>
      <c r="AA12" s="32">
        <v>502.3</v>
      </c>
      <c r="AB12" s="32">
        <v>566.9</v>
      </c>
      <c r="AC12" s="32">
        <v>901.6</v>
      </c>
      <c r="AD12" s="32">
        <v>605.5</v>
      </c>
      <c r="AE12" s="32">
        <v>602.70000000000005</v>
      </c>
      <c r="AF12" s="32">
        <v>557.5</v>
      </c>
      <c r="AG12" s="32">
        <v>591.5</v>
      </c>
      <c r="AH12" s="193">
        <f>1715.1-SUM(AQ12)</f>
        <v>566.09999999999991</v>
      </c>
      <c r="AI12" s="32"/>
      <c r="AJ12" s="32"/>
      <c r="AK12" s="32"/>
      <c r="AL12" s="193">
        <f>1690.7-SUM(AS12)</f>
        <v>497.79999999999995</v>
      </c>
      <c r="AM12" s="32"/>
      <c r="AN12" s="32"/>
      <c r="AO12" s="32">
        <v>1468.5</v>
      </c>
      <c r="AP12" s="189">
        <f>BB12-AO12</f>
        <v>1208.3000000000002</v>
      </c>
      <c r="AQ12" s="32">
        <v>1149</v>
      </c>
      <c r="AR12" s="189">
        <f>BC12-AQ12</f>
        <v>1165.1999999999998</v>
      </c>
      <c r="AS12" s="32">
        <v>1192.9000000000001</v>
      </c>
      <c r="AT12" s="32"/>
      <c r="AU12" s="32"/>
      <c r="AV12" s="32"/>
      <c r="AW12" s="32">
        <v>490.1</v>
      </c>
      <c r="AX12" s="32">
        <v>830.5</v>
      </c>
      <c r="AY12" s="32">
        <v>1989</v>
      </c>
      <c r="AZ12" s="32">
        <v>2536.4</v>
      </c>
      <c r="BA12" s="32">
        <v>2632.6</v>
      </c>
      <c r="BB12" s="32">
        <v>2676.8</v>
      </c>
      <c r="BC12" s="32">
        <v>2314.1999999999998</v>
      </c>
      <c r="BD12" s="32"/>
      <c r="BE12" s="32"/>
      <c r="BF12" s="32"/>
      <c r="BG12" s="189">
        <f>SUMIF($H$6:$AM$6,BG$10,$H12:$AM12)</f>
        <v>629.70000000000005</v>
      </c>
      <c r="BH12" s="189">
        <f>SUMIF($H$6:$AM$6,BH$10,$H12:$AM12)</f>
        <v>1552.3</v>
      </c>
      <c r="BI12" s="189">
        <f>SUMIF($H$6:$AM$6,BI$10,$H12:$AM12)</f>
        <v>2276.4</v>
      </c>
      <c r="BJ12" s="189">
        <f>SUMIF($H$6:$AM$6,BJ$10,$H12:$AM12)</f>
        <v>2728.4</v>
      </c>
      <c r="BK12" s="189">
        <f>SUMIF($H$6:$AM$6,BK$10,$H12:$AM12)</f>
        <v>2550.6</v>
      </c>
      <c r="BL12" s="277">
        <f>SUMIF($AO$6:$AT$6,BL$10,$AO12:$AT12)</f>
        <v>2357.3000000000002</v>
      </c>
      <c r="BM12" s="277">
        <f>SUMIF($AO$6:$AT$6,BM$10,$AO12:$AT12)</f>
        <v>2358.1</v>
      </c>
      <c r="BN12" s="189">
        <f>SUMIF($H$6:$AM$6,BN$10,$H12:$AM12)</f>
        <v>497.79999999999995</v>
      </c>
      <c r="BO12" s="32"/>
      <c r="BP12" s="32"/>
    </row>
    <row r="13" spans="2:68" x14ac:dyDescent="0.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277"/>
      <c r="BM13" s="277"/>
      <c r="BN13" s="32"/>
      <c r="BO13" s="32"/>
      <c r="BP13" s="32"/>
    </row>
    <row r="14" spans="2:68" x14ac:dyDescent="0.2">
      <c r="B14" s="12" t="s">
        <v>96</v>
      </c>
      <c r="H14" s="32">
        <v>9.5</v>
      </c>
      <c r="I14" s="32">
        <v>12.3</v>
      </c>
      <c r="J14" s="32">
        <v>12.9</v>
      </c>
      <c r="K14" s="32">
        <v>15.8</v>
      </c>
      <c r="L14" s="32">
        <v>17.3</v>
      </c>
      <c r="M14" s="32">
        <v>20.7</v>
      </c>
      <c r="N14" s="32">
        <v>21.2</v>
      </c>
      <c r="O14" s="32">
        <v>41.6</v>
      </c>
      <c r="P14" s="32">
        <v>60.5</v>
      </c>
      <c r="Q14" s="32">
        <v>75.5</v>
      </c>
      <c r="R14" s="32">
        <v>54.8</v>
      </c>
      <c r="S14" s="32">
        <v>66.400000000000006</v>
      </c>
      <c r="T14" s="32">
        <v>87.9</v>
      </c>
      <c r="U14" s="32">
        <v>92.2</v>
      </c>
      <c r="V14" s="32">
        <v>78.8</v>
      </c>
      <c r="W14" s="32">
        <v>79.5</v>
      </c>
      <c r="X14" s="32">
        <v>73</v>
      </c>
      <c r="Y14" s="32">
        <v>93.5</v>
      </c>
      <c r="Z14" s="32">
        <v>70.3</v>
      </c>
      <c r="AA14" s="32">
        <v>72.3</v>
      </c>
      <c r="AB14" s="32">
        <v>71.599999999999994</v>
      </c>
      <c r="AC14" s="32">
        <v>88.1</v>
      </c>
      <c r="AD14" s="32">
        <v>76.900000000000006</v>
      </c>
      <c r="AE14" s="32">
        <v>78.599999999999994</v>
      </c>
      <c r="AF14" s="32">
        <v>73.5</v>
      </c>
      <c r="AG14" s="32">
        <v>80.5</v>
      </c>
      <c r="AH14" s="193">
        <f>228.3-SUM(AQ14)</f>
        <v>74.300000000000011</v>
      </c>
      <c r="AI14" s="32"/>
      <c r="AJ14" s="32"/>
      <c r="AK14" s="32"/>
      <c r="AL14" s="193">
        <f>224.3-SUM(AS14)</f>
        <v>68.200000000000017</v>
      </c>
      <c r="AM14" s="32"/>
      <c r="AN14" s="32"/>
      <c r="AO14" s="32">
        <v>159.69999999999999</v>
      </c>
      <c r="AP14" s="189">
        <f>BB14-AO14</f>
        <v>155.5</v>
      </c>
      <c r="AQ14" s="32">
        <v>154</v>
      </c>
      <c r="AR14" s="189">
        <f>BC14-AQ14</f>
        <v>161.19999999999999</v>
      </c>
      <c r="AS14" s="32">
        <v>156.1</v>
      </c>
      <c r="AT14" s="32"/>
      <c r="AU14" s="32"/>
      <c r="AV14" s="32"/>
      <c r="AW14" s="32">
        <v>50.5</v>
      </c>
      <c r="AX14" s="32">
        <v>100.8</v>
      </c>
      <c r="AY14" s="32">
        <v>257.3</v>
      </c>
      <c r="AZ14" s="32">
        <v>338.4</v>
      </c>
      <c r="BA14" s="32">
        <v>309.10000000000002</v>
      </c>
      <c r="BB14" s="32">
        <v>315.2</v>
      </c>
      <c r="BC14" s="32">
        <v>315.2</v>
      </c>
      <c r="BD14" s="32"/>
      <c r="BE14" s="32"/>
      <c r="BF14" s="32"/>
      <c r="BG14" s="189">
        <f>SUMIF($H$6:$AM$6,BG$10,$H14:$AM14)</f>
        <v>66.7</v>
      </c>
      <c r="BH14" s="189">
        <f>SUMIF($H$6:$AM$6,BH$10,$H14:$AM14)</f>
        <v>198.8</v>
      </c>
      <c r="BI14" s="189">
        <f>SUMIF($H$6:$AM$6,BI$10,$H14:$AM14)</f>
        <v>301.3</v>
      </c>
      <c r="BJ14" s="189">
        <f>SUMIF($H$6:$AM$6,BJ$10,$H14:$AM14)</f>
        <v>324.8</v>
      </c>
      <c r="BK14" s="189">
        <f>SUMIF($H$6:$AM$6,BK$10,$H14:$AM14)</f>
        <v>302.29999999999995</v>
      </c>
      <c r="BL14" s="277">
        <f>SUMIF($AO$6:$AT$6,BL$10,$AO14:$AT14)</f>
        <v>309.5</v>
      </c>
      <c r="BM14" s="277">
        <f>SUMIF($AO$6:$AT$6,BM$10,$AO14:$AT14)</f>
        <v>317.29999999999995</v>
      </c>
      <c r="BN14" s="189">
        <f>SUMIF($H$6:$AM$6,BN$10,$H14:$AM14)</f>
        <v>68.200000000000017</v>
      </c>
      <c r="BO14" s="32"/>
      <c r="BP14" s="32"/>
    </row>
    <row r="15" spans="2:68" x14ac:dyDescent="0.2">
      <c r="B15" s="12" t="s">
        <v>97</v>
      </c>
      <c r="H15" s="26">
        <f t="shared" ref="H15:AH15" si="8">H14/H12</f>
        <v>9.5862764883955606E-2</v>
      </c>
      <c r="I15" s="26">
        <f t="shared" si="8"/>
        <v>0.11131221719457014</v>
      </c>
      <c r="J15" s="26">
        <f t="shared" si="8"/>
        <v>0.11446317657497782</v>
      </c>
      <c r="K15" s="26">
        <f t="shared" si="8"/>
        <v>9.4159713945172821E-2</v>
      </c>
      <c r="L15" s="26">
        <f t="shared" si="8"/>
        <v>0.10523114355231143</v>
      </c>
      <c r="M15" s="26">
        <f t="shared" si="8"/>
        <v>0.11201298701298701</v>
      </c>
      <c r="N15" s="26">
        <f t="shared" si="8"/>
        <v>0.11883408071748879</v>
      </c>
      <c r="O15" s="26">
        <f t="shared" si="8"/>
        <v>0.13733905579399144</v>
      </c>
      <c r="P15" s="26">
        <f t="shared" si="8"/>
        <v>0.11464847451203335</v>
      </c>
      <c r="Q15" s="26">
        <f t="shared" si="8"/>
        <v>0.13896558071047305</v>
      </c>
      <c r="R15" s="26">
        <f t="shared" si="8"/>
        <v>0.12948960302457466</v>
      </c>
      <c r="S15" s="26">
        <f t="shared" si="8"/>
        <v>0.13419563459983833</v>
      </c>
      <c r="T15" s="26">
        <f t="shared" si="8"/>
        <v>0.13921444409249289</v>
      </c>
      <c r="U15" s="26">
        <f t="shared" si="8"/>
        <v>0.12682255845942228</v>
      </c>
      <c r="V15" s="26">
        <f t="shared" si="8"/>
        <v>0.1360027614773904</v>
      </c>
      <c r="W15" s="26">
        <f t="shared" si="8"/>
        <v>0.13280988974273303</v>
      </c>
      <c r="X15" s="26">
        <f t="shared" si="8"/>
        <v>0.11930053930380781</v>
      </c>
      <c r="Y15" s="26">
        <f t="shared" si="8"/>
        <v>9.9627064464571119E-2</v>
      </c>
      <c r="Z15" s="26">
        <f t="shared" si="8"/>
        <v>0.12124870645050018</v>
      </c>
      <c r="AA15" s="26">
        <f t="shared" si="8"/>
        <v>0.14393788572566193</v>
      </c>
      <c r="AB15" s="26">
        <f t="shared" si="8"/>
        <v>0.12630093490915506</v>
      </c>
      <c r="AC15" s="26">
        <f t="shared" si="8"/>
        <v>9.771517302573203E-2</v>
      </c>
      <c r="AD15" s="26">
        <f t="shared" si="8"/>
        <v>0.12700247729149464</v>
      </c>
      <c r="AE15" s="26">
        <f t="shared" si="8"/>
        <v>0.13041314086610251</v>
      </c>
      <c r="AF15" s="26">
        <f t="shared" si="8"/>
        <v>0.13183856502242153</v>
      </c>
      <c r="AG15" s="26">
        <f t="shared" si="8"/>
        <v>0.13609467455621302</v>
      </c>
      <c r="AH15" s="26">
        <f t="shared" si="8"/>
        <v>0.13124889595477834</v>
      </c>
      <c r="AI15" s="26"/>
      <c r="AJ15" s="26"/>
      <c r="AK15" s="26"/>
      <c r="AL15" s="26">
        <f>AL14/AL12</f>
        <v>0.13700281237444761</v>
      </c>
      <c r="AM15" s="26"/>
      <c r="AN15" s="26"/>
      <c r="AO15" s="26">
        <f>AO14/AO12</f>
        <v>0.10875042560435819</v>
      </c>
      <c r="AP15" s="26">
        <f>AP14/AP12</f>
        <v>0.12869320532980219</v>
      </c>
      <c r="AQ15" s="26">
        <f>AQ14/AQ12</f>
        <v>0.134029590948651</v>
      </c>
      <c r="AR15" s="26">
        <f>AR14/AR12</f>
        <v>0.13834534843803639</v>
      </c>
      <c r="AS15" s="26">
        <f>AS14/AS12</f>
        <v>0.13085757397937797</v>
      </c>
      <c r="AT15" s="26"/>
      <c r="AU15" s="26"/>
      <c r="AV15" s="26"/>
      <c r="AW15" s="26" t="s">
        <v>1000</v>
      </c>
      <c r="AX15" s="26">
        <f t="shared" ref="AX15:BC15" si="9">AX14/AX12</f>
        <v>0.12137266706803131</v>
      </c>
      <c r="AY15" s="26">
        <f t="shared" si="9"/>
        <v>0.12936148818501761</v>
      </c>
      <c r="AZ15" s="26">
        <f t="shared" si="9"/>
        <v>0.13341744204384165</v>
      </c>
      <c r="BA15" s="26">
        <f t="shared" si="9"/>
        <v>0.11741244397173897</v>
      </c>
      <c r="BB15" s="26">
        <f t="shared" si="9"/>
        <v>0.11775254034668259</v>
      </c>
      <c r="BC15" s="26">
        <f t="shared" si="9"/>
        <v>0.1362025754040273</v>
      </c>
      <c r="BD15" s="26"/>
      <c r="BE15" s="26"/>
      <c r="BF15" s="26"/>
      <c r="BG15" s="26">
        <f t="shared" ref="BG15:BN15" si="10">BG14/BG12</f>
        <v>0.10592345561378434</v>
      </c>
      <c r="BH15" s="26">
        <f t="shared" si="10"/>
        <v>0.12806802808735426</v>
      </c>
      <c r="BI15" s="26">
        <f t="shared" si="10"/>
        <v>0.13235810929537867</v>
      </c>
      <c r="BJ15" s="26">
        <f t="shared" si="10"/>
        <v>0.11904412842691688</v>
      </c>
      <c r="BK15" s="26">
        <f t="shared" si="10"/>
        <v>0.11852113228260015</v>
      </c>
      <c r="BL15" s="26">
        <f t="shared" si="10"/>
        <v>0.13129427735120688</v>
      </c>
      <c r="BM15" s="26">
        <f t="shared" si="10"/>
        <v>0.13455748271913828</v>
      </c>
      <c r="BN15" s="26">
        <f t="shared" si="10"/>
        <v>0.13700281237444761</v>
      </c>
      <c r="BO15" s="26"/>
      <c r="BP15" s="26"/>
    </row>
    <row r="16" spans="2:68" x14ac:dyDescent="0.2">
      <c r="BL16" s="438"/>
      <c r="BM16" s="438"/>
    </row>
    <row r="17" spans="2:68" x14ac:dyDescent="0.2">
      <c r="V17" s="26">
        <f t="shared" ref="V17:AH17" si="11">V20-V15</f>
        <v>-4.5736969278564035E-2</v>
      </c>
      <c r="W17" s="26">
        <f t="shared" si="11"/>
        <v>-4.0594721015703286E-2</v>
      </c>
      <c r="X17" s="26">
        <f t="shared" si="11"/>
        <v>-4.1673476058179434E-2</v>
      </c>
      <c r="Y17" s="26">
        <f t="shared" si="11"/>
        <v>-3.8145977623867865E-2</v>
      </c>
      <c r="Z17" s="26">
        <f t="shared" si="11"/>
        <v>-3.3804760262159353E-2</v>
      </c>
      <c r="AA17" s="26">
        <f t="shared" si="11"/>
        <v>-3.32470635078638E-2</v>
      </c>
      <c r="AB17" s="26">
        <f t="shared" si="11"/>
        <v>-3.3162815311342395E-2</v>
      </c>
      <c r="AC17" s="26">
        <f t="shared" si="11"/>
        <v>-3.1721384205856254E-2</v>
      </c>
      <c r="AD17" s="26">
        <f t="shared" si="11"/>
        <v>-2.6589595375722558E-2</v>
      </c>
      <c r="AE17" s="26">
        <f t="shared" si="11"/>
        <v>-3.069520491123276E-2</v>
      </c>
      <c r="AF17" s="26">
        <f t="shared" si="11"/>
        <v>-3.031390134529148E-2</v>
      </c>
      <c r="AG17" s="26">
        <f t="shared" si="11"/>
        <v>-3.3812341504649193E-2</v>
      </c>
      <c r="AH17" s="26">
        <f t="shared" si="11"/>
        <v>-3.1089913442854611E-2</v>
      </c>
      <c r="AI17" s="26"/>
      <c r="AJ17" s="26"/>
      <c r="AK17" s="26"/>
      <c r="AL17" s="26">
        <f>AL20-AL15</f>
        <v>-3.2141422257934912E-2</v>
      </c>
      <c r="BL17" s="438"/>
      <c r="BM17" s="438"/>
    </row>
    <row r="18" spans="2:68" x14ac:dyDescent="0.2">
      <c r="BL18" s="438"/>
      <c r="BM18" s="438"/>
    </row>
    <row r="19" spans="2:68" x14ac:dyDescent="0.2">
      <c r="B19" s="12" t="s">
        <v>98</v>
      </c>
      <c r="H19" s="32">
        <v>5</v>
      </c>
      <c r="I19" s="32">
        <v>8.3000000000000007</v>
      </c>
      <c r="J19" s="32">
        <v>8.1999999999999993</v>
      </c>
      <c r="K19" s="32">
        <v>7.5</v>
      </c>
      <c r="L19" s="32">
        <v>12.6</v>
      </c>
      <c r="M19" s="32">
        <v>14.6</v>
      </c>
      <c r="N19" s="32">
        <v>15.5</v>
      </c>
      <c r="O19" s="32">
        <v>32.4</v>
      </c>
      <c r="P19" s="32">
        <v>35.1</v>
      </c>
      <c r="Q19" s="32">
        <v>49.8</v>
      </c>
      <c r="R19" s="32">
        <v>38.200000000000003</v>
      </c>
      <c r="S19" s="32">
        <v>43.1</v>
      </c>
      <c r="T19" s="32">
        <v>54.8</v>
      </c>
      <c r="U19" s="32">
        <v>53.1</v>
      </c>
      <c r="V19" s="32">
        <v>52.3</v>
      </c>
      <c r="W19" s="32">
        <v>55.2</v>
      </c>
      <c r="X19" s="32">
        <v>47.5</v>
      </c>
      <c r="Y19" s="32">
        <v>57.7</v>
      </c>
      <c r="Z19" s="32">
        <v>50.7</v>
      </c>
      <c r="AA19" s="32">
        <v>55.6</v>
      </c>
      <c r="AB19" s="32">
        <v>52.8</v>
      </c>
      <c r="AC19" s="32">
        <v>59.5</v>
      </c>
      <c r="AD19" s="32">
        <v>60.8</v>
      </c>
      <c r="AE19" s="32">
        <v>60.1</v>
      </c>
      <c r="AF19" s="32">
        <v>56.6</v>
      </c>
      <c r="AG19" s="32">
        <v>60.5</v>
      </c>
      <c r="AH19" s="193">
        <f>173.8-SUM(AQ19)</f>
        <v>56.700000000000017</v>
      </c>
      <c r="AI19" s="32"/>
      <c r="AJ19" s="32"/>
      <c r="AK19" s="32"/>
      <c r="AL19" s="193">
        <f>167.3-SUM(AS19)</f>
        <v>52.200000000000017</v>
      </c>
      <c r="AM19" s="32"/>
      <c r="AN19" s="32"/>
      <c r="AO19" s="32">
        <v>112.2</v>
      </c>
      <c r="AP19" s="189">
        <f>BB19-AO19</f>
        <v>120.89999999999999</v>
      </c>
      <c r="AQ19" s="32">
        <v>117.1</v>
      </c>
      <c r="AR19" s="189">
        <f>BC19-AQ19</f>
        <v>123.5</v>
      </c>
      <c r="AS19" s="32">
        <v>115.1</v>
      </c>
      <c r="AT19" s="32"/>
      <c r="AU19" s="32"/>
      <c r="AV19" s="32"/>
      <c r="AW19" s="32">
        <v>28.9</v>
      </c>
      <c r="AX19" s="32">
        <v>75.099999999999994</v>
      </c>
      <c r="AY19" s="32">
        <v>166.1</v>
      </c>
      <c r="AZ19" s="32">
        <v>215.4</v>
      </c>
      <c r="BA19" s="32">
        <v>211.7</v>
      </c>
      <c r="BB19" s="32">
        <v>233.1</v>
      </c>
      <c r="BC19" s="32">
        <v>240.6</v>
      </c>
      <c r="BD19" s="32"/>
      <c r="BE19" s="32"/>
      <c r="BF19" s="32"/>
      <c r="BG19" s="189">
        <f>SUMIF($H$6:$AM$6,BG$10,$H19:$AM19)</f>
        <v>42.9</v>
      </c>
      <c r="BH19" s="189">
        <f>SUMIF($H$6:$AM$6,BH$10,$H19:$AM19)</f>
        <v>132.80000000000001</v>
      </c>
      <c r="BI19" s="189">
        <f>SUMIF($H$6:$AM$6,BI$10,$H19:$AM19)</f>
        <v>189.20000000000002</v>
      </c>
      <c r="BJ19" s="189">
        <f>SUMIF($H$6:$AM$6,BJ$10,$H19:$AM19)</f>
        <v>212.7</v>
      </c>
      <c r="BK19" s="189">
        <f>SUMIF($H$6:$AM$6,BK$10,$H19:$AM19)</f>
        <v>218.60000000000002</v>
      </c>
      <c r="BL19" s="277">
        <f>SUMIF($AO$6:$AT$6,BL$10,$AO19:$AT19)</f>
        <v>238</v>
      </c>
      <c r="BM19" s="277">
        <f>SUMIF($AO$6:$AT$6,BM$10,$AO19:$AT19)</f>
        <v>238.6</v>
      </c>
      <c r="BN19" s="189">
        <f>SUMIF($H$6:$AM$6,BN$10,$H19:$AM19)</f>
        <v>52.200000000000017</v>
      </c>
      <c r="BO19" s="32"/>
      <c r="BP19" s="32"/>
    </row>
    <row r="20" spans="2:68" x14ac:dyDescent="0.2">
      <c r="B20" s="12" t="s">
        <v>99</v>
      </c>
      <c r="H20" s="26">
        <f t="shared" ref="H20:AH20" si="12">H19/H12</f>
        <v>5.0454086781029264E-2</v>
      </c>
      <c r="I20" s="26">
        <f t="shared" si="12"/>
        <v>7.5113122171945712E-2</v>
      </c>
      <c r="J20" s="26">
        <f t="shared" si="12"/>
        <v>7.2759538598047901E-2</v>
      </c>
      <c r="K20" s="26">
        <f t="shared" si="12"/>
        <v>4.4696066746126341E-2</v>
      </c>
      <c r="L20" s="26">
        <f t="shared" si="12"/>
        <v>7.6642335766423347E-2</v>
      </c>
      <c r="M20" s="26">
        <f t="shared" si="12"/>
        <v>7.9004329004328994E-2</v>
      </c>
      <c r="N20" s="26">
        <f t="shared" si="12"/>
        <v>8.688340807174888E-2</v>
      </c>
      <c r="O20" s="26">
        <f t="shared" si="12"/>
        <v>0.10696599537801255</v>
      </c>
      <c r="P20" s="26">
        <f t="shared" si="12"/>
        <v>6.651506537805571E-2</v>
      </c>
      <c r="Q20" s="26">
        <f t="shared" si="12"/>
        <v>9.1662065157371617E-2</v>
      </c>
      <c r="R20" s="26">
        <f t="shared" si="12"/>
        <v>9.0264650283553891E-2</v>
      </c>
      <c r="S20" s="26">
        <f t="shared" si="12"/>
        <v>8.7105901374292638E-2</v>
      </c>
      <c r="T20" s="26">
        <f t="shared" si="12"/>
        <v>8.6791257522964835E-2</v>
      </c>
      <c r="U20" s="26">
        <f t="shared" si="12"/>
        <v>7.3039889958734533E-2</v>
      </c>
      <c r="V20" s="26">
        <f t="shared" si="12"/>
        <v>9.026579219882637E-2</v>
      </c>
      <c r="W20" s="26">
        <f t="shared" si="12"/>
        <v>9.2215168727029742E-2</v>
      </c>
      <c r="X20" s="26">
        <f t="shared" si="12"/>
        <v>7.7627063245628375E-2</v>
      </c>
      <c r="Y20" s="26">
        <f t="shared" si="12"/>
        <v>6.1481086840703254E-2</v>
      </c>
      <c r="Z20" s="26">
        <f t="shared" si="12"/>
        <v>8.7443946188340824E-2</v>
      </c>
      <c r="AA20" s="26">
        <f t="shared" si="12"/>
        <v>0.11069082221779813</v>
      </c>
      <c r="AB20" s="26">
        <f t="shared" si="12"/>
        <v>9.3138119597812666E-2</v>
      </c>
      <c r="AC20" s="26">
        <f t="shared" si="12"/>
        <v>6.5993788819875776E-2</v>
      </c>
      <c r="AD20" s="26">
        <f t="shared" si="12"/>
        <v>0.10041288191577208</v>
      </c>
      <c r="AE20" s="26">
        <f t="shared" si="12"/>
        <v>9.9717935954869746E-2</v>
      </c>
      <c r="AF20" s="26">
        <f t="shared" si="12"/>
        <v>0.10152466367713005</v>
      </c>
      <c r="AG20" s="26">
        <f t="shared" si="12"/>
        <v>0.10228233305156383</v>
      </c>
      <c r="AH20" s="26">
        <f t="shared" si="12"/>
        <v>0.10015898251192373</v>
      </c>
      <c r="AI20" s="26"/>
      <c r="AJ20" s="26"/>
      <c r="AK20" s="26"/>
      <c r="AL20" s="26">
        <f>AL19/AL12</f>
        <v>0.1048613901165127</v>
      </c>
      <c r="AM20" s="26"/>
      <c r="AN20" s="26"/>
      <c r="AO20" s="26">
        <f>AO19/AO12</f>
        <v>7.6404494382022473E-2</v>
      </c>
      <c r="AP20" s="26">
        <f>AP19/AP12</f>
        <v>0.10005793263262433</v>
      </c>
      <c r="AQ20" s="26">
        <f>AQ19/AQ12</f>
        <v>0.10191470844212358</v>
      </c>
      <c r="AR20" s="26">
        <f>AR19/AR12</f>
        <v>0.10599038791623758</v>
      </c>
      <c r="AS20" s="26">
        <f>AS19/AS12</f>
        <v>9.6487551345460623E-2</v>
      </c>
      <c r="AT20" s="26"/>
      <c r="AU20" s="26"/>
      <c r="AV20" s="26"/>
      <c r="AW20" s="26">
        <f t="shared" ref="AW20:BC20" si="13">AW19/AW12</f>
        <v>5.8967557641297685E-2</v>
      </c>
      <c r="AX20" s="26">
        <f t="shared" si="13"/>
        <v>9.0427453341360625E-2</v>
      </c>
      <c r="AY20" s="26">
        <f t="shared" si="13"/>
        <v>8.3509301156359975E-2</v>
      </c>
      <c r="AZ20" s="26">
        <f t="shared" si="13"/>
        <v>8.4923513641381482E-2</v>
      </c>
      <c r="BA20" s="26">
        <f t="shared" si="13"/>
        <v>8.0414799057965503E-2</v>
      </c>
      <c r="BB20" s="26">
        <f t="shared" si="13"/>
        <v>8.7081589958158984E-2</v>
      </c>
      <c r="BC20" s="26">
        <f t="shared" si="13"/>
        <v>0.10396681358568836</v>
      </c>
      <c r="BD20" s="26"/>
      <c r="BE20" s="26"/>
      <c r="BF20" s="26"/>
      <c r="BG20" s="26">
        <f t="shared" ref="BG20:BN20" si="14">BG19/BG12</f>
        <v>6.8127679847546446E-2</v>
      </c>
      <c r="BH20" s="26">
        <f t="shared" si="14"/>
        <v>8.5550473490948922E-2</v>
      </c>
      <c r="BI20" s="26">
        <f t="shared" si="14"/>
        <v>8.3113688279739945E-2</v>
      </c>
      <c r="BJ20" s="26">
        <f t="shared" si="14"/>
        <v>7.795777745198651E-2</v>
      </c>
      <c r="BK20" s="26">
        <f t="shared" si="14"/>
        <v>8.5705324237434335E-2</v>
      </c>
      <c r="BL20" s="26">
        <f t="shared" si="14"/>
        <v>0.10096296610528994</v>
      </c>
      <c r="BM20" s="26">
        <f t="shared" si="14"/>
        <v>0.10118315593062212</v>
      </c>
      <c r="BN20" s="26">
        <f t="shared" si="14"/>
        <v>0.1048613901165127</v>
      </c>
      <c r="BO20" s="26"/>
      <c r="BP20" s="26"/>
    </row>
    <row r="21" spans="2:68" x14ac:dyDescent="0.2">
      <c r="BL21" s="438"/>
      <c r="BM21" s="438"/>
    </row>
    <row r="22" spans="2:68" x14ac:dyDescent="0.2">
      <c r="B22" s="12" t="s">
        <v>100</v>
      </c>
      <c r="E22" s="24"/>
      <c r="F22" s="24"/>
      <c r="G22" s="24"/>
      <c r="H22" s="24">
        <v>32913</v>
      </c>
      <c r="I22" s="24">
        <v>45828</v>
      </c>
      <c r="J22" s="24">
        <v>56788</v>
      </c>
      <c r="K22" s="24">
        <v>68464</v>
      </c>
      <c r="L22" s="24">
        <v>72011</v>
      </c>
      <c r="M22" s="24">
        <v>81014</v>
      </c>
      <c r="N22" s="24">
        <v>83330</v>
      </c>
      <c r="O22" s="24">
        <v>90422</v>
      </c>
      <c r="P22" s="24">
        <v>124715</v>
      </c>
      <c r="Q22" s="24">
        <v>142992</v>
      </c>
      <c r="R22" s="24">
        <v>158041</v>
      </c>
      <c r="S22" s="24">
        <v>196585</v>
      </c>
      <c r="T22" s="24">
        <v>222662</v>
      </c>
      <c r="U22" s="24">
        <v>232875</v>
      </c>
      <c r="V22" s="24">
        <v>232763</v>
      </c>
      <c r="W22" s="24">
        <v>239121</v>
      </c>
      <c r="X22" s="24">
        <v>231627</v>
      </c>
      <c r="Y22" s="24">
        <v>234989</v>
      </c>
      <c r="Z22" s="24">
        <v>238054</v>
      </c>
      <c r="AA22" s="24">
        <v>238624</v>
      </c>
      <c r="AB22" s="24">
        <v>235113</v>
      </c>
      <c r="AC22" s="24">
        <v>218288</v>
      </c>
      <c r="AD22" s="24">
        <v>221000</v>
      </c>
      <c r="AE22" s="24">
        <v>227900</v>
      </c>
      <c r="AF22" s="24">
        <v>238400</v>
      </c>
      <c r="AG22" s="24">
        <v>235100</v>
      </c>
      <c r="AH22" s="24"/>
      <c r="AI22" s="24"/>
      <c r="AJ22" s="24"/>
      <c r="AK22" s="24"/>
      <c r="AL22" s="24"/>
      <c r="AM22" s="24"/>
      <c r="AN22" s="24"/>
      <c r="AO22" s="24">
        <v>218288</v>
      </c>
      <c r="AP22" s="70">
        <f>BB22</f>
        <v>227900</v>
      </c>
      <c r="AQ22" s="24">
        <v>235100</v>
      </c>
      <c r="AR22" s="70">
        <f>BC22</f>
        <v>237400</v>
      </c>
      <c r="AS22" s="23">
        <f>AQ22*(1-3%)</f>
        <v>228047</v>
      </c>
      <c r="AT22" s="24"/>
      <c r="AU22" s="24"/>
      <c r="AV22" s="24"/>
      <c r="AW22" s="24">
        <v>68464</v>
      </c>
      <c r="AX22" s="24">
        <v>90422</v>
      </c>
      <c r="AY22" s="24">
        <v>96585</v>
      </c>
      <c r="AZ22" s="24">
        <v>239121</v>
      </c>
      <c r="BA22" s="24">
        <v>238624</v>
      </c>
      <c r="BB22" s="24">
        <v>227900</v>
      </c>
      <c r="BC22" s="24">
        <f>295800-58400</f>
        <v>237400</v>
      </c>
      <c r="BD22" s="24"/>
      <c r="BE22" s="24"/>
      <c r="BF22" s="24"/>
      <c r="BG22" s="24"/>
      <c r="BH22" s="24"/>
      <c r="BI22" s="24"/>
      <c r="BJ22" s="24"/>
      <c r="BK22" s="24"/>
      <c r="BL22" s="402"/>
      <c r="BM22" s="402"/>
      <c r="BN22" s="24"/>
      <c r="BO22" s="24"/>
      <c r="BP22" s="24"/>
    </row>
    <row r="23" spans="2:68" x14ac:dyDescent="0.2">
      <c r="BL23" s="438"/>
      <c r="BM23" s="438"/>
    </row>
    <row r="24" spans="2:68" x14ac:dyDescent="0.2">
      <c r="BL24" s="438"/>
      <c r="BM24" s="438"/>
    </row>
    <row r="25" spans="2:68" x14ac:dyDescent="0.2">
      <c r="B25" s="12" t="s">
        <v>588</v>
      </c>
      <c r="AD25" s="32">
        <v>26.4</v>
      </c>
      <c r="AE25" s="32">
        <v>27.3</v>
      </c>
      <c r="AF25" s="32">
        <v>26.9</v>
      </c>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277"/>
      <c r="BM25" s="277"/>
      <c r="BN25" s="32"/>
      <c r="BO25" s="32"/>
      <c r="BP25" s="32"/>
    </row>
    <row r="26" spans="2:68" x14ac:dyDescent="0.2">
      <c r="BL26" s="438"/>
      <c r="BM26" s="438"/>
    </row>
    <row r="27" spans="2:68" x14ac:dyDescent="0.2">
      <c r="B27" s="12" t="s">
        <v>983</v>
      </c>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151"/>
      <c r="AW27" s="151"/>
      <c r="AX27" s="151"/>
      <c r="AY27" s="151"/>
      <c r="AZ27" s="151"/>
      <c r="BA27" s="151">
        <f>BA19*10/11</f>
        <v>192.45454545454547</v>
      </c>
      <c r="BB27" s="151">
        <f>BB19*10/11</f>
        <v>211.90909090909091</v>
      </c>
      <c r="BC27" s="151">
        <f>BC19*10/11</f>
        <v>218.72727272727272</v>
      </c>
      <c r="BD27" s="26"/>
      <c r="BE27" s="26"/>
      <c r="BF27" s="26"/>
      <c r="BG27" s="151">
        <f t="shared" ref="BG27:BN27" si="15">BG19*10/11</f>
        <v>39</v>
      </c>
      <c r="BH27" s="151">
        <f t="shared" si="15"/>
        <v>120.72727272727273</v>
      </c>
      <c r="BI27" s="151">
        <f t="shared" si="15"/>
        <v>172.00000000000003</v>
      </c>
      <c r="BJ27" s="151">
        <f t="shared" si="15"/>
        <v>193.36363636363637</v>
      </c>
      <c r="BK27" s="151">
        <f t="shared" si="15"/>
        <v>198.72727272727272</v>
      </c>
      <c r="BL27" s="151">
        <f t="shared" si="15"/>
        <v>216.36363636363637</v>
      </c>
      <c r="BM27" s="151">
        <f t="shared" si="15"/>
        <v>216.90909090909091</v>
      </c>
      <c r="BN27" s="151">
        <f t="shared" si="15"/>
        <v>47.454545454545475</v>
      </c>
      <c r="BO27" s="26"/>
      <c r="BP27" s="26"/>
    </row>
    <row r="28" spans="2:68" x14ac:dyDescent="0.2">
      <c r="BL28" s="438"/>
      <c r="BM28" s="438"/>
    </row>
    <row r="29" spans="2:68" x14ac:dyDescent="0.2">
      <c r="AD29" s="24"/>
      <c r="AE29" s="24"/>
      <c r="AF29" s="24"/>
      <c r="BL29" s="438"/>
      <c r="BM29" s="438"/>
    </row>
    <row r="30" spans="2:68" x14ac:dyDescent="0.2">
      <c r="BL30" s="438"/>
      <c r="BM30" s="438"/>
    </row>
    <row r="31" spans="2:68" x14ac:dyDescent="0.2">
      <c r="B31" s="12" t="s">
        <v>143</v>
      </c>
      <c r="AH31" s="193">
        <f>157.8-SUM(AQ31)</f>
        <v>51.600000000000009</v>
      </c>
      <c r="AL31" s="193">
        <f>152-SUM(AS31)</f>
        <v>47.099999999999994</v>
      </c>
      <c r="AO31" s="32">
        <v>101.7</v>
      </c>
      <c r="AP31" s="189">
        <f>BB31-AO31</f>
        <v>109.8</v>
      </c>
      <c r="AQ31" s="32">
        <v>106.2</v>
      </c>
      <c r="AR31" s="189">
        <f>BC31-AQ31</f>
        <v>112.3</v>
      </c>
      <c r="AS31" s="32">
        <v>104.9</v>
      </c>
      <c r="AT31" s="32"/>
      <c r="AU31" s="32"/>
      <c r="AV31" s="32"/>
      <c r="AW31" s="32"/>
      <c r="AX31" s="32"/>
      <c r="AY31" s="32"/>
      <c r="AZ31" s="32"/>
      <c r="BA31" s="32">
        <v>192.1</v>
      </c>
      <c r="BB31" s="32">
        <v>211.5</v>
      </c>
      <c r="BC31" s="32">
        <v>218.5</v>
      </c>
      <c r="BD31" s="32"/>
      <c r="BE31" s="32"/>
      <c r="BF31" s="32"/>
      <c r="BG31" s="189">
        <f t="shared" ref="BG31:BN32" si="16">SUMIF($H$6:$AM$6,BG$10,$H31:$AM31)</f>
        <v>0</v>
      </c>
      <c r="BH31" s="189">
        <f t="shared" si="16"/>
        <v>0</v>
      </c>
      <c r="BI31" s="189">
        <f t="shared" si="16"/>
        <v>0</v>
      </c>
      <c r="BJ31" s="189">
        <f t="shared" si="16"/>
        <v>0</v>
      </c>
      <c r="BK31" s="189">
        <f t="shared" si="16"/>
        <v>0</v>
      </c>
      <c r="BL31" s="277">
        <f t="shared" si="16"/>
        <v>0</v>
      </c>
      <c r="BM31" s="277">
        <f t="shared" si="16"/>
        <v>51.600000000000009</v>
      </c>
      <c r="BN31" s="189">
        <f t="shared" si="16"/>
        <v>47.099999999999994</v>
      </c>
      <c r="BO31" s="32"/>
      <c r="BP31" s="32"/>
    </row>
    <row r="32" spans="2:68" x14ac:dyDescent="0.2">
      <c r="B32" s="12" t="s">
        <v>37</v>
      </c>
      <c r="AH32" s="193">
        <f>84-SUM(AQ32)</f>
        <v>28.200000000000003</v>
      </c>
      <c r="AL32" s="193">
        <f>77-SUM(AS32)</f>
        <v>24.700000000000003</v>
      </c>
      <c r="AO32" s="32">
        <v>50.1</v>
      </c>
      <c r="AP32" s="189">
        <f>BB32-AO32</f>
        <v>61.699999999999996</v>
      </c>
      <c r="AQ32" s="32">
        <v>55.8</v>
      </c>
      <c r="AR32" s="189">
        <f>BC32-AQ32</f>
        <v>58.7</v>
      </c>
      <c r="AS32" s="32">
        <v>52.3</v>
      </c>
      <c r="AT32" s="32"/>
      <c r="AU32" s="32"/>
      <c r="AV32" s="32"/>
      <c r="AW32" s="32"/>
      <c r="AX32" s="32"/>
      <c r="AY32" s="32"/>
      <c r="AZ32" s="32"/>
      <c r="BA32" s="32">
        <v>98.4</v>
      </c>
      <c r="BB32" s="32">
        <v>111.8</v>
      </c>
      <c r="BC32" s="32">
        <v>114.5</v>
      </c>
      <c r="BD32" s="32"/>
      <c r="BE32" s="32"/>
      <c r="BF32" s="32"/>
      <c r="BG32" s="189">
        <f t="shared" si="16"/>
        <v>0</v>
      </c>
      <c r="BH32" s="189">
        <f t="shared" si="16"/>
        <v>0</v>
      </c>
      <c r="BI32" s="189">
        <f t="shared" si="16"/>
        <v>0</v>
      </c>
      <c r="BJ32" s="189">
        <f t="shared" si="16"/>
        <v>0</v>
      </c>
      <c r="BK32" s="189">
        <f t="shared" si="16"/>
        <v>0</v>
      </c>
      <c r="BL32" s="277">
        <f t="shared" si="16"/>
        <v>0</v>
      </c>
      <c r="BM32" s="277">
        <f t="shared" si="16"/>
        <v>28.200000000000003</v>
      </c>
      <c r="BN32" s="189">
        <f t="shared" si="16"/>
        <v>24.700000000000003</v>
      </c>
      <c r="BO32" s="32"/>
      <c r="BP32" s="32"/>
    </row>
    <row r="33" spans="2:68" x14ac:dyDescent="0.2">
      <c r="L33" s="448"/>
      <c r="M33" s="448"/>
      <c r="N33" s="448"/>
      <c r="O33" s="448" t="s">
        <v>1001</v>
      </c>
      <c r="AH33" s="193"/>
      <c r="AL33" s="193"/>
      <c r="AO33" s="32"/>
      <c r="AP33" s="189"/>
      <c r="AQ33" s="32"/>
      <c r="AR33" s="189"/>
      <c r="AS33" s="32"/>
      <c r="AT33" s="32"/>
      <c r="AU33" s="32"/>
      <c r="AV33" s="32"/>
      <c r="AW33" s="32"/>
      <c r="AX33" s="32"/>
      <c r="AY33" s="32"/>
      <c r="AZ33" s="32"/>
      <c r="BA33" s="32"/>
      <c r="BB33" s="32"/>
      <c r="BC33" s="32"/>
      <c r="BD33" s="32"/>
      <c r="BE33" s="32"/>
      <c r="BF33" s="32"/>
      <c r="BG33" s="189"/>
      <c r="BH33" s="189"/>
      <c r="BI33" s="189"/>
      <c r="BJ33" s="189"/>
      <c r="BK33" s="189"/>
      <c r="BL33" s="277"/>
      <c r="BM33" s="277"/>
      <c r="BN33" s="189"/>
      <c r="BO33" s="32"/>
      <c r="BP33" s="32"/>
    </row>
    <row r="34" spans="2:68" x14ac:dyDescent="0.2">
      <c r="B34" s="18" t="s">
        <v>101</v>
      </c>
      <c r="C34" s="32"/>
      <c r="D34" s="32"/>
      <c r="E34" s="32"/>
      <c r="F34" s="32"/>
      <c r="G34" s="32"/>
      <c r="H34" s="32"/>
      <c r="I34" s="32"/>
      <c r="J34" s="32"/>
      <c r="K34" s="32"/>
      <c r="L34" s="32"/>
      <c r="M34" s="32"/>
      <c r="N34" s="449">
        <f>7-2</f>
        <v>5</v>
      </c>
      <c r="O34" s="449">
        <v>6.5</v>
      </c>
      <c r="P34" s="32">
        <v>11.3</v>
      </c>
      <c r="Q34" s="32">
        <v>9.6999999999999993</v>
      </c>
      <c r="R34" s="32">
        <v>13.5</v>
      </c>
      <c r="S34" s="32">
        <v>16.899999999999999</v>
      </c>
      <c r="T34" s="32">
        <v>22.1</v>
      </c>
      <c r="U34" s="32">
        <v>22.6</v>
      </c>
      <c r="V34" s="32">
        <v>7.1</v>
      </c>
      <c r="W34" s="32">
        <v>9.6</v>
      </c>
      <c r="X34" s="32">
        <v>25.2</v>
      </c>
      <c r="Y34" s="32">
        <v>20.2</v>
      </c>
      <c r="Z34" s="32">
        <v>8.3000000000000007</v>
      </c>
      <c r="AA34" s="32">
        <v>7.4</v>
      </c>
      <c r="AB34" s="32">
        <v>14.8</v>
      </c>
      <c r="AC34" s="32">
        <v>13.6</v>
      </c>
      <c r="AD34" s="32"/>
      <c r="AE34" s="32"/>
      <c r="AF34" s="32"/>
      <c r="AG34" s="32"/>
      <c r="AH34" s="193">
        <f>32.5-SUM(AQ34)</f>
        <v>7.1999999999999993</v>
      </c>
      <c r="AI34" s="32"/>
      <c r="AJ34" s="32"/>
      <c r="AK34" s="32"/>
      <c r="AL34" s="193">
        <f>32.8-SUM(AS34)</f>
        <v>9.2999999999999972</v>
      </c>
      <c r="AM34" s="32"/>
      <c r="AN34" s="32"/>
      <c r="AO34" s="193">
        <f>AQ34/(1-11%)</f>
        <v>28.426966292134832</v>
      </c>
      <c r="AP34" s="189">
        <f>BB34-AO34</f>
        <v>16.773033707865171</v>
      </c>
      <c r="AQ34" s="32">
        <v>25.3</v>
      </c>
      <c r="AR34" s="189">
        <f>BC34-AQ34</f>
        <v>16.8</v>
      </c>
      <c r="AS34" s="32">
        <v>23.5</v>
      </c>
      <c r="AT34" s="32"/>
      <c r="AU34" s="32"/>
      <c r="AV34" s="32"/>
      <c r="AW34" s="32"/>
      <c r="AX34" s="32">
        <v>20.100000000000001</v>
      </c>
      <c r="AY34" s="32">
        <v>51.4</v>
      </c>
      <c r="AZ34" s="32">
        <v>61.5</v>
      </c>
      <c r="BA34" s="32">
        <v>61</v>
      </c>
      <c r="BB34" s="32">
        <v>45.2</v>
      </c>
      <c r="BC34" s="32">
        <v>42.1</v>
      </c>
      <c r="BD34" s="32"/>
      <c r="BE34" s="32"/>
      <c r="BF34" s="32"/>
      <c r="BG34" s="189">
        <f>SUMIF($H$6:$AM$6,BG$10,$H34:$AM34)</f>
        <v>0</v>
      </c>
      <c r="BH34" s="189">
        <f>SUMIF($H$6:$AM$6,BH$10,$H34:$AM34)</f>
        <v>32.5</v>
      </c>
      <c r="BI34" s="189">
        <f>SUMIF($H$6:$AM$6,BI$10,$H34:$AM34)</f>
        <v>75.099999999999994</v>
      </c>
      <c r="BJ34" s="189">
        <f>SUMIF($H$6:$AM$6,BJ$10,$H34:$AM34)</f>
        <v>62.099999999999994</v>
      </c>
      <c r="BK34" s="189">
        <f>SUMIF($H$6:$AM$6,BK$10,$H34:$AM34)</f>
        <v>44.1</v>
      </c>
      <c r="BL34" s="277">
        <f>SUMIF($AO$6:$AT$6,BL$10,$AO34:$AT34)</f>
        <v>42.073033707865171</v>
      </c>
      <c r="BM34" s="277">
        <f>SUMIF($AO$6:$AT$6,BM$10,$AO34:$AT34)</f>
        <v>40.299999999999997</v>
      </c>
      <c r="BN34" s="189">
        <f>SUMIF($H$6:$AM$6,BN$10,$H34:$AM34)</f>
        <v>9.2999999999999972</v>
      </c>
      <c r="BO34" s="32"/>
      <c r="BP34" s="32"/>
    </row>
    <row r="35" spans="2:68" x14ac:dyDescent="0.2">
      <c r="B35" s="18" t="s">
        <v>269</v>
      </c>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441">
        <f>AH37-AH32+AH34</f>
        <v>-11.300000000000004</v>
      </c>
      <c r="AI35" s="189"/>
      <c r="AJ35" s="189"/>
      <c r="AK35" s="189"/>
      <c r="AL35" s="441">
        <f>AL37-AL32+AL34</f>
        <v>-8.3000000000000043</v>
      </c>
      <c r="AM35" s="32"/>
      <c r="AN35" s="32"/>
      <c r="AO35" s="441">
        <f>AO37-AO32+AO34</f>
        <v>-19.373033707865172</v>
      </c>
      <c r="AP35" s="441">
        <f>AP37-AP32+AP34</f>
        <v>-20.426966292134825</v>
      </c>
      <c r="AQ35" s="441">
        <f>AQ37-AQ32+AQ34</f>
        <v>-19.799999999999994</v>
      </c>
      <c r="AR35" s="441">
        <f>AR37-AR32+AR34</f>
        <v>-22.499999999999996</v>
      </c>
      <c r="AS35" s="441">
        <f>AS37-AS32+AS34</f>
        <v>-21.699999999999996</v>
      </c>
      <c r="AT35" s="32"/>
      <c r="AU35" s="32"/>
      <c r="AV35" s="441"/>
      <c r="AW35" s="441"/>
      <c r="AX35" s="441"/>
      <c r="AY35" s="441"/>
      <c r="AZ35" s="441"/>
      <c r="BA35" s="441">
        <f>BA37-BA32+BA34</f>
        <v>-37.300000000000011</v>
      </c>
      <c r="BB35" s="441">
        <f>BB37-BB32+BB34</f>
        <v>-39.799999999999997</v>
      </c>
      <c r="BC35" s="441">
        <f>BC37-BC32+BC34</f>
        <v>-42.300000000000004</v>
      </c>
      <c r="BD35" s="32"/>
      <c r="BE35" s="32"/>
      <c r="BF35" s="32"/>
      <c r="BG35" s="189"/>
      <c r="BH35" s="189"/>
      <c r="BI35" s="189"/>
      <c r="BJ35" s="189"/>
      <c r="BK35" s="189"/>
      <c r="BL35" s="277"/>
      <c r="BM35" s="277"/>
      <c r="BN35" s="189"/>
      <c r="BO35" s="32"/>
      <c r="BP35" s="32"/>
    </row>
    <row r="36" spans="2:68" x14ac:dyDescent="0.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193"/>
      <c r="AP36" s="189"/>
      <c r="AQ36" s="32"/>
      <c r="AR36" s="189"/>
      <c r="AS36" s="32"/>
      <c r="AT36" s="32"/>
      <c r="AU36" s="32"/>
      <c r="AV36" s="32"/>
      <c r="AW36" s="32"/>
      <c r="AX36" s="32"/>
      <c r="AY36" s="32"/>
      <c r="AZ36" s="32"/>
      <c r="BA36" s="32"/>
      <c r="BB36" s="32"/>
      <c r="BC36" s="32"/>
      <c r="BD36" s="32"/>
      <c r="BE36" s="32"/>
      <c r="BF36" s="32"/>
      <c r="BG36" s="189"/>
      <c r="BH36" s="189"/>
      <c r="BI36" s="189"/>
      <c r="BJ36" s="189"/>
      <c r="BK36" s="189"/>
      <c r="BL36" s="277"/>
      <c r="BM36" s="277"/>
      <c r="BN36" s="189"/>
      <c r="BO36" s="32"/>
      <c r="BP36" s="32"/>
    </row>
    <row r="37" spans="2:68" x14ac:dyDescent="0.2">
      <c r="B37" s="12" t="s">
        <v>779</v>
      </c>
      <c r="AH37" s="193">
        <f>20.4-SUM(AQ37)</f>
        <v>9.6999999999999993</v>
      </c>
      <c r="AL37" s="193">
        <f>14.2-SUM(AS37)</f>
        <v>7.1</v>
      </c>
      <c r="AO37" s="32">
        <v>2.2999999999999998</v>
      </c>
      <c r="AP37" s="189">
        <f>BB37-AO37</f>
        <v>24.5</v>
      </c>
      <c r="AQ37" s="32">
        <v>10.7</v>
      </c>
      <c r="AR37" s="189">
        <f>BC37-AQ37</f>
        <v>19.400000000000002</v>
      </c>
      <c r="AS37" s="32">
        <v>7.1</v>
      </c>
      <c r="AT37" s="32"/>
      <c r="AU37" s="32"/>
      <c r="AV37" s="32"/>
      <c r="AW37" s="32"/>
      <c r="AX37" s="32"/>
      <c r="AY37" s="32"/>
      <c r="AZ37" s="32"/>
      <c r="BA37" s="32">
        <v>0.1</v>
      </c>
      <c r="BB37" s="32">
        <v>26.8</v>
      </c>
      <c r="BC37" s="32">
        <v>30.1</v>
      </c>
      <c r="BD37" s="32"/>
      <c r="BE37" s="32"/>
      <c r="BF37" s="32"/>
      <c r="BG37" s="189">
        <f t="shared" ref="BG37:BN37" si="17">SUMIF($H$6:$AM$6,BG$10,$H37:$AM37)</f>
        <v>0</v>
      </c>
      <c r="BH37" s="189">
        <f t="shared" si="17"/>
        <v>0</v>
      </c>
      <c r="BI37" s="189">
        <f t="shared" si="17"/>
        <v>0</v>
      </c>
      <c r="BJ37" s="189">
        <f t="shared" si="17"/>
        <v>0</v>
      </c>
      <c r="BK37" s="189">
        <f t="shared" si="17"/>
        <v>0</v>
      </c>
      <c r="BL37" s="277">
        <f t="shared" si="17"/>
        <v>0</v>
      </c>
      <c r="BM37" s="277">
        <f t="shared" si="17"/>
        <v>9.6999999999999993</v>
      </c>
      <c r="BN37" s="189">
        <f t="shared" si="17"/>
        <v>7.1</v>
      </c>
      <c r="BO37" s="32"/>
      <c r="BP37" s="32"/>
    </row>
    <row r="39" spans="2:68" x14ac:dyDescent="0.2">
      <c r="AO39" s="26" t="s">
        <v>783</v>
      </c>
      <c r="AP39" s="26">
        <f>AP32/AP31</f>
        <v>0.56193078324225865</v>
      </c>
      <c r="AQ39" s="26">
        <f>AQ32/AQ31</f>
        <v>0.52542372881355925</v>
      </c>
      <c r="AR39" s="26">
        <f>AR32/AR31</f>
        <v>0.52270703472840607</v>
      </c>
      <c r="AS39" s="26">
        <f>AS32/AS31</f>
        <v>0.4985700667302192</v>
      </c>
      <c r="AV39" s="26"/>
      <c r="AW39" s="26"/>
      <c r="AX39" s="26"/>
      <c r="AY39" s="26"/>
      <c r="AZ39" s="26"/>
      <c r="BA39" s="26">
        <f>BA32/BA31</f>
        <v>0.51223321186881832</v>
      </c>
      <c r="BB39" s="26">
        <f>BB32/BB31</f>
        <v>0.52860520094562646</v>
      </c>
      <c r="BC39" s="26">
        <f>BC32/BC31</f>
        <v>0.52402745995423339</v>
      </c>
      <c r="BD39" s="26"/>
      <c r="BE39" s="26"/>
      <c r="BG39" s="26" t="e">
        <f>BG32/BG31</f>
        <v>#DIV/0!</v>
      </c>
      <c r="BH39" s="26" t="e">
        <f>BH32/BH31</f>
        <v>#DIV/0!</v>
      </c>
      <c r="BI39" s="26" t="e">
        <f>BI32/BI31</f>
        <v>#DIV/0!</v>
      </c>
      <c r="BJ39" s="26" t="e">
        <f>BJ32/BJ31</f>
        <v>#DIV/0!</v>
      </c>
      <c r="BK39" s="26" t="e">
        <f>BK32/BK31</f>
        <v>#DIV/0!</v>
      </c>
      <c r="BL39" s="26"/>
      <c r="BM39" s="26"/>
      <c r="BN39" s="26"/>
      <c r="BO39" s="26"/>
      <c r="BP39" s="26"/>
    </row>
  </sheetData>
  <phoneticPr fontId="4" type="noConversion"/>
  <pageMargins left="0.7" right="0.7" top="0.75" bottom="0.75" header="0.3" footer="0.3"/>
  <pageSetup paperSize="9" scale="96"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A87A3-3C1B-4F63-B58A-12C6B5DF5C81}">
  <sheetPr>
    <tabColor theme="3" tint="0.79998168889431442"/>
  </sheetPr>
  <dimension ref="B2:AM75"/>
  <sheetViews>
    <sheetView workbookViewId="0">
      <selection activeCell="AD39" sqref="AD39"/>
    </sheetView>
  </sheetViews>
  <sheetFormatPr defaultRowHeight="11.25" x14ac:dyDescent="0.2"/>
  <cols>
    <col min="1" max="1" width="9.140625" style="12"/>
    <col min="2" max="2" width="22.28515625" style="12" bestFit="1" customWidth="1"/>
    <col min="3" max="39" width="7.7109375" style="12" customWidth="1"/>
    <col min="40" max="16384" width="9.140625" style="12"/>
  </cols>
  <sheetData>
    <row r="2" spans="2:39" x14ac:dyDescent="0.2">
      <c r="C2" s="15"/>
      <c r="AM2" s="12" t="s">
        <v>0</v>
      </c>
    </row>
    <row r="3" spans="2:39" x14ac:dyDescent="0.2">
      <c r="C3" s="15" t="str">
        <f>IF(MONTH(C11)&gt;6,RIGHT(YEAR(C11),2)+1,RIGHT(YEAR(C11),2))</f>
        <v>17</v>
      </c>
      <c r="D3" s="15">
        <f t="shared" ref="D3:I3" si="0">IF(MONTH(D11)&gt;6,RIGHT(YEAR(D11),2)+1,RIGHT(YEAR(D11),2))</f>
        <v>18</v>
      </c>
      <c r="E3" s="15">
        <f t="shared" si="0"/>
        <v>18</v>
      </c>
      <c r="F3" s="15" t="str">
        <f t="shared" si="0"/>
        <v>18</v>
      </c>
      <c r="G3" s="15" t="str">
        <f t="shared" si="0"/>
        <v>18</v>
      </c>
      <c r="H3" s="15">
        <f t="shared" si="0"/>
        <v>19</v>
      </c>
      <c r="I3" s="15">
        <f t="shared" si="0"/>
        <v>19</v>
      </c>
      <c r="J3" s="15" t="str">
        <f t="shared" ref="J3:AM3" si="1">IF(MONTH(J11)&gt;6,RIGHT(YEAR(J11),2)+1,RIGHT(YEAR(J11),2))</f>
        <v>19</v>
      </c>
      <c r="K3" s="15" t="str">
        <f t="shared" si="1"/>
        <v>19</v>
      </c>
      <c r="L3" s="15">
        <f t="shared" si="1"/>
        <v>20</v>
      </c>
      <c r="M3" s="15">
        <f t="shared" si="1"/>
        <v>20</v>
      </c>
      <c r="N3" s="15" t="str">
        <f t="shared" si="1"/>
        <v>20</v>
      </c>
      <c r="O3" s="15" t="str">
        <f t="shared" si="1"/>
        <v>20</v>
      </c>
      <c r="P3" s="15">
        <f t="shared" si="1"/>
        <v>21</v>
      </c>
      <c r="Q3" s="15">
        <f t="shared" si="1"/>
        <v>21</v>
      </c>
      <c r="R3" s="15" t="str">
        <f t="shared" si="1"/>
        <v>21</v>
      </c>
      <c r="S3" s="15" t="str">
        <f t="shared" si="1"/>
        <v>21</v>
      </c>
      <c r="T3" s="15">
        <f t="shared" si="1"/>
        <v>22</v>
      </c>
      <c r="U3" s="15">
        <f t="shared" si="1"/>
        <v>22</v>
      </c>
      <c r="V3" s="15" t="str">
        <f t="shared" si="1"/>
        <v>22</v>
      </c>
      <c r="W3" s="15" t="str">
        <f t="shared" si="1"/>
        <v>22</v>
      </c>
      <c r="X3" s="15">
        <f t="shared" si="1"/>
        <v>23</v>
      </c>
      <c r="Y3" s="15">
        <f t="shared" si="1"/>
        <v>23</v>
      </c>
      <c r="Z3" s="15" t="str">
        <f t="shared" si="1"/>
        <v>23</v>
      </c>
      <c r="AA3" s="15" t="str">
        <f t="shared" si="1"/>
        <v>23</v>
      </c>
      <c r="AB3" s="15">
        <f t="shared" si="1"/>
        <v>24</v>
      </c>
      <c r="AC3" s="15">
        <f t="shared" si="1"/>
        <v>24</v>
      </c>
      <c r="AD3" s="15" t="str">
        <f t="shared" si="1"/>
        <v>24</v>
      </c>
      <c r="AE3" s="15" t="str">
        <f t="shared" si="1"/>
        <v>24</v>
      </c>
      <c r="AF3" s="15">
        <f t="shared" si="1"/>
        <v>25</v>
      </c>
      <c r="AG3" s="15">
        <f t="shared" si="1"/>
        <v>25</v>
      </c>
      <c r="AH3" s="15" t="str">
        <f t="shared" si="1"/>
        <v>25</v>
      </c>
      <c r="AI3" s="15" t="str">
        <f t="shared" si="1"/>
        <v>25</v>
      </c>
      <c r="AJ3" s="15">
        <f t="shared" si="1"/>
        <v>26</v>
      </c>
      <c r="AK3" s="15">
        <f t="shared" si="1"/>
        <v>26</v>
      </c>
      <c r="AL3" s="15" t="str">
        <f t="shared" si="1"/>
        <v>26</v>
      </c>
      <c r="AM3" s="15" t="str">
        <f t="shared" si="1"/>
        <v>26</v>
      </c>
    </row>
    <row r="4" spans="2:39" x14ac:dyDescent="0.2">
      <c r="C4" s="15" t="str">
        <f>RIGHT(YEAR(C$11),2)</f>
        <v>17</v>
      </c>
      <c r="D4" s="15" t="str">
        <f t="shared" ref="D4:AM4" si="2">RIGHT(YEAR(D$11),2)</f>
        <v>17</v>
      </c>
      <c r="E4" s="15" t="str">
        <f t="shared" si="2"/>
        <v>17</v>
      </c>
      <c r="F4" s="15" t="str">
        <f t="shared" si="2"/>
        <v>18</v>
      </c>
      <c r="G4" s="15" t="str">
        <f t="shared" si="2"/>
        <v>18</v>
      </c>
      <c r="H4" s="15" t="str">
        <f t="shared" si="2"/>
        <v>18</v>
      </c>
      <c r="I4" s="15" t="str">
        <f t="shared" si="2"/>
        <v>18</v>
      </c>
      <c r="J4" s="15" t="str">
        <f t="shared" si="2"/>
        <v>19</v>
      </c>
      <c r="K4" s="15" t="str">
        <f t="shared" si="2"/>
        <v>19</v>
      </c>
      <c r="L4" s="15" t="str">
        <f t="shared" si="2"/>
        <v>19</v>
      </c>
      <c r="M4" s="15" t="str">
        <f t="shared" si="2"/>
        <v>19</v>
      </c>
      <c r="N4" s="15" t="str">
        <f t="shared" si="2"/>
        <v>20</v>
      </c>
      <c r="O4" s="15" t="str">
        <f t="shared" si="2"/>
        <v>20</v>
      </c>
      <c r="P4" s="15" t="str">
        <f t="shared" si="2"/>
        <v>20</v>
      </c>
      <c r="Q4" s="15" t="str">
        <f t="shared" si="2"/>
        <v>20</v>
      </c>
      <c r="R4" s="15" t="str">
        <f t="shared" si="2"/>
        <v>21</v>
      </c>
      <c r="S4" s="15" t="str">
        <f t="shared" si="2"/>
        <v>21</v>
      </c>
      <c r="T4" s="15" t="str">
        <f t="shared" si="2"/>
        <v>21</v>
      </c>
      <c r="U4" s="15" t="str">
        <f t="shared" si="2"/>
        <v>21</v>
      </c>
      <c r="V4" s="15" t="str">
        <f t="shared" si="2"/>
        <v>22</v>
      </c>
      <c r="W4" s="15" t="str">
        <f t="shared" si="2"/>
        <v>22</v>
      </c>
      <c r="X4" s="15" t="str">
        <f t="shared" si="2"/>
        <v>22</v>
      </c>
      <c r="Y4" s="15" t="str">
        <f t="shared" si="2"/>
        <v>22</v>
      </c>
      <c r="Z4" s="15" t="str">
        <f t="shared" si="2"/>
        <v>23</v>
      </c>
      <c r="AA4" s="15" t="str">
        <f t="shared" si="2"/>
        <v>23</v>
      </c>
      <c r="AB4" s="15" t="str">
        <f t="shared" si="2"/>
        <v>23</v>
      </c>
      <c r="AC4" s="15" t="str">
        <f t="shared" si="2"/>
        <v>23</v>
      </c>
      <c r="AD4" s="15" t="str">
        <f t="shared" si="2"/>
        <v>24</v>
      </c>
      <c r="AE4" s="15" t="str">
        <f t="shared" si="2"/>
        <v>24</v>
      </c>
      <c r="AF4" s="15" t="str">
        <f t="shared" si="2"/>
        <v>24</v>
      </c>
      <c r="AG4" s="15" t="str">
        <f t="shared" si="2"/>
        <v>24</v>
      </c>
      <c r="AH4" s="15" t="str">
        <f t="shared" si="2"/>
        <v>25</v>
      </c>
      <c r="AI4" s="15" t="str">
        <f t="shared" si="2"/>
        <v>25</v>
      </c>
      <c r="AJ4" s="15" t="str">
        <f t="shared" si="2"/>
        <v>25</v>
      </c>
      <c r="AK4" s="15" t="str">
        <f t="shared" si="2"/>
        <v>25</v>
      </c>
      <c r="AL4" s="15" t="str">
        <f t="shared" si="2"/>
        <v>26</v>
      </c>
      <c r="AM4" s="15" t="str">
        <f t="shared" si="2"/>
        <v>26</v>
      </c>
    </row>
    <row r="5" spans="2:39" x14ac:dyDescent="0.2">
      <c r="C5" s="15" t="str">
        <f>"FY"&amp;TEXT(C$3,"00")</f>
        <v>FY17</v>
      </c>
      <c r="D5" s="15" t="str">
        <f t="shared" ref="D5:AM5" si="3">"FY"&amp;TEXT(D$3,"00")</f>
        <v>FY18</v>
      </c>
      <c r="E5" s="15" t="str">
        <f t="shared" si="3"/>
        <v>FY18</v>
      </c>
      <c r="F5" s="15" t="str">
        <f t="shared" si="3"/>
        <v>FY18</v>
      </c>
      <c r="G5" s="15" t="str">
        <f t="shared" si="3"/>
        <v>FY18</v>
      </c>
      <c r="H5" s="15" t="str">
        <f t="shared" si="3"/>
        <v>FY19</v>
      </c>
      <c r="I5" s="15" t="str">
        <f t="shared" si="3"/>
        <v>FY19</v>
      </c>
      <c r="J5" s="15" t="str">
        <f t="shared" si="3"/>
        <v>FY19</v>
      </c>
      <c r="K5" s="15" t="str">
        <f t="shared" si="3"/>
        <v>FY19</v>
      </c>
      <c r="L5" s="15" t="str">
        <f t="shared" si="3"/>
        <v>FY20</v>
      </c>
      <c r="M5" s="15" t="str">
        <f t="shared" si="3"/>
        <v>FY20</v>
      </c>
      <c r="N5" s="15" t="str">
        <f t="shared" si="3"/>
        <v>FY20</v>
      </c>
      <c r="O5" s="15" t="str">
        <f t="shared" si="3"/>
        <v>FY20</v>
      </c>
      <c r="P5" s="15" t="str">
        <f t="shared" si="3"/>
        <v>FY21</v>
      </c>
      <c r="Q5" s="15" t="str">
        <f t="shared" si="3"/>
        <v>FY21</v>
      </c>
      <c r="R5" s="15" t="str">
        <f t="shared" si="3"/>
        <v>FY21</v>
      </c>
      <c r="S5" s="15" t="str">
        <f t="shared" si="3"/>
        <v>FY21</v>
      </c>
      <c r="T5" s="15" t="str">
        <f t="shared" si="3"/>
        <v>FY22</v>
      </c>
      <c r="U5" s="15" t="str">
        <f t="shared" si="3"/>
        <v>FY22</v>
      </c>
      <c r="V5" s="15" t="str">
        <f t="shared" si="3"/>
        <v>FY22</v>
      </c>
      <c r="W5" s="15" t="str">
        <f t="shared" si="3"/>
        <v>FY22</v>
      </c>
      <c r="X5" s="15" t="str">
        <f t="shared" si="3"/>
        <v>FY23</v>
      </c>
      <c r="Y5" s="15" t="str">
        <f t="shared" si="3"/>
        <v>FY23</v>
      </c>
      <c r="Z5" s="15" t="str">
        <f t="shared" si="3"/>
        <v>FY23</v>
      </c>
      <c r="AA5" s="15" t="str">
        <f t="shared" si="3"/>
        <v>FY23</v>
      </c>
      <c r="AB5" s="15" t="str">
        <f t="shared" si="3"/>
        <v>FY24</v>
      </c>
      <c r="AC5" s="15" t="str">
        <f t="shared" si="3"/>
        <v>FY24</v>
      </c>
      <c r="AD5" s="15" t="str">
        <f t="shared" si="3"/>
        <v>FY24</v>
      </c>
      <c r="AE5" s="15" t="str">
        <f t="shared" si="3"/>
        <v>FY24</v>
      </c>
      <c r="AF5" s="15" t="str">
        <f t="shared" si="3"/>
        <v>FY25</v>
      </c>
      <c r="AG5" s="15" t="str">
        <f t="shared" si="3"/>
        <v>FY25</v>
      </c>
      <c r="AH5" s="15" t="str">
        <f t="shared" si="3"/>
        <v>FY25</v>
      </c>
      <c r="AI5" s="15" t="str">
        <f t="shared" si="3"/>
        <v>FY25</v>
      </c>
      <c r="AJ5" s="15" t="str">
        <f t="shared" si="3"/>
        <v>FY26</v>
      </c>
      <c r="AK5" s="15" t="str">
        <f t="shared" si="3"/>
        <v>FY26</v>
      </c>
      <c r="AL5" s="15" t="str">
        <f t="shared" si="3"/>
        <v>FY26</v>
      </c>
      <c r="AM5" s="15" t="str">
        <f t="shared" si="3"/>
        <v>FY26</v>
      </c>
    </row>
    <row r="6" spans="2:39" x14ac:dyDescent="0.2">
      <c r="C6" s="15" t="str">
        <f>"CY"&amp;TEXT(C$4,"00")</f>
        <v>CY17</v>
      </c>
      <c r="D6" s="15" t="str">
        <f t="shared" ref="D6:AM6" si="4">"CY"&amp;TEXT(D$4,"00")</f>
        <v>CY17</v>
      </c>
      <c r="E6" s="15" t="str">
        <f t="shared" si="4"/>
        <v>CY17</v>
      </c>
      <c r="F6" s="15" t="str">
        <f t="shared" si="4"/>
        <v>CY18</v>
      </c>
      <c r="G6" s="15" t="str">
        <f t="shared" si="4"/>
        <v>CY18</v>
      </c>
      <c r="H6" s="15" t="str">
        <f t="shared" si="4"/>
        <v>CY18</v>
      </c>
      <c r="I6" s="15" t="str">
        <f t="shared" si="4"/>
        <v>CY18</v>
      </c>
      <c r="J6" s="15" t="str">
        <f t="shared" si="4"/>
        <v>CY19</v>
      </c>
      <c r="K6" s="15" t="str">
        <f t="shared" si="4"/>
        <v>CY19</v>
      </c>
      <c r="L6" s="15" t="str">
        <f t="shared" si="4"/>
        <v>CY19</v>
      </c>
      <c r="M6" s="15" t="str">
        <f t="shared" si="4"/>
        <v>CY19</v>
      </c>
      <c r="N6" s="15" t="str">
        <f t="shared" si="4"/>
        <v>CY20</v>
      </c>
      <c r="O6" s="15" t="str">
        <f t="shared" si="4"/>
        <v>CY20</v>
      </c>
      <c r="P6" s="15" t="str">
        <f t="shared" si="4"/>
        <v>CY20</v>
      </c>
      <c r="Q6" s="15" t="str">
        <f t="shared" si="4"/>
        <v>CY20</v>
      </c>
      <c r="R6" s="15" t="str">
        <f t="shared" si="4"/>
        <v>CY21</v>
      </c>
      <c r="S6" s="15" t="str">
        <f t="shared" si="4"/>
        <v>CY21</v>
      </c>
      <c r="T6" s="15" t="str">
        <f t="shared" si="4"/>
        <v>CY21</v>
      </c>
      <c r="U6" s="15" t="str">
        <f t="shared" si="4"/>
        <v>CY21</v>
      </c>
      <c r="V6" s="15" t="str">
        <f t="shared" si="4"/>
        <v>CY22</v>
      </c>
      <c r="W6" s="15" t="str">
        <f t="shared" si="4"/>
        <v>CY22</v>
      </c>
      <c r="X6" s="15" t="str">
        <f t="shared" si="4"/>
        <v>CY22</v>
      </c>
      <c r="Y6" s="15" t="str">
        <f t="shared" si="4"/>
        <v>CY22</v>
      </c>
      <c r="Z6" s="15" t="str">
        <f t="shared" si="4"/>
        <v>CY23</v>
      </c>
      <c r="AA6" s="15" t="str">
        <f t="shared" si="4"/>
        <v>CY23</v>
      </c>
      <c r="AB6" s="15" t="str">
        <f t="shared" si="4"/>
        <v>CY23</v>
      </c>
      <c r="AC6" s="15" t="str">
        <f t="shared" si="4"/>
        <v>CY23</v>
      </c>
      <c r="AD6" s="15" t="str">
        <f t="shared" si="4"/>
        <v>CY24</v>
      </c>
      <c r="AE6" s="15" t="str">
        <f t="shared" si="4"/>
        <v>CY24</v>
      </c>
      <c r="AF6" s="15" t="str">
        <f t="shared" si="4"/>
        <v>CY24</v>
      </c>
      <c r="AG6" s="15" t="str">
        <f t="shared" si="4"/>
        <v>CY24</v>
      </c>
      <c r="AH6" s="15" t="str">
        <f t="shared" si="4"/>
        <v>CY25</v>
      </c>
      <c r="AI6" s="15" t="str">
        <f t="shared" si="4"/>
        <v>CY25</v>
      </c>
      <c r="AJ6" s="15" t="str">
        <f t="shared" si="4"/>
        <v>CY25</v>
      </c>
      <c r="AK6" s="15" t="str">
        <f t="shared" si="4"/>
        <v>CY25</v>
      </c>
      <c r="AL6" s="15" t="str">
        <f t="shared" si="4"/>
        <v>CY26</v>
      </c>
      <c r="AM6" s="15" t="str">
        <f t="shared" si="4"/>
        <v>CY26</v>
      </c>
    </row>
    <row r="7" spans="2:39" x14ac:dyDescent="0.2">
      <c r="C7" s="175">
        <f>C11-EOMONTH(C11,-3)</f>
        <v>91</v>
      </c>
      <c r="D7" s="175">
        <f t="shared" ref="D7:AM7" si="5">D11-EOMONTH(D11,-3)</f>
        <v>92</v>
      </c>
      <c r="E7" s="175">
        <f t="shared" si="5"/>
        <v>92</v>
      </c>
      <c r="F7" s="175">
        <f t="shared" si="5"/>
        <v>90</v>
      </c>
      <c r="G7" s="175">
        <f t="shared" si="5"/>
        <v>91</v>
      </c>
      <c r="H7" s="175">
        <f t="shared" si="5"/>
        <v>92</v>
      </c>
      <c r="I7" s="175">
        <f t="shared" si="5"/>
        <v>92</v>
      </c>
      <c r="J7" s="175">
        <f t="shared" si="5"/>
        <v>90</v>
      </c>
      <c r="K7" s="175">
        <f t="shared" si="5"/>
        <v>91</v>
      </c>
      <c r="L7" s="175">
        <f t="shared" si="5"/>
        <v>92</v>
      </c>
      <c r="M7" s="175">
        <f t="shared" si="5"/>
        <v>92</v>
      </c>
      <c r="N7" s="175">
        <f t="shared" si="5"/>
        <v>91</v>
      </c>
      <c r="O7" s="175">
        <f t="shared" si="5"/>
        <v>91</v>
      </c>
      <c r="P7" s="175">
        <f t="shared" si="5"/>
        <v>92</v>
      </c>
      <c r="Q7" s="175">
        <f t="shared" si="5"/>
        <v>92</v>
      </c>
      <c r="R7" s="175">
        <f t="shared" si="5"/>
        <v>90</v>
      </c>
      <c r="S7" s="175">
        <f t="shared" si="5"/>
        <v>91</v>
      </c>
      <c r="T7" s="175">
        <f t="shared" si="5"/>
        <v>92</v>
      </c>
      <c r="U7" s="175">
        <f t="shared" si="5"/>
        <v>92</v>
      </c>
      <c r="V7" s="175">
        <f t="shared" si="5"/>
        <v>90</v>
      </c>
      <c r="W7" s="175">
        <f t="shared" si="5"/>
        <v>91</v>
      </c>
      <c r="X7" s="175">
        <f t="shared" si="5"/>
        <v>92</v>
      </c>
      <c r="Y7" s="175">
        <f t="shared" si="5"/>
        <v>92</v>
      </c>
      <c r="Z7" s="175">
        <f t="shared" si="5"/>
        <v>90</v>
      </c>
      <c r="AA7" s="175">
        <f t="shared" si="5"/>
        <v>91</v>
      </c>
      <c r="AB7" s="175">
        <f t="shared" si="5"/>
        <v>92</v>
      </c>
      <c r="AC7" s="175">
        <f t="shared" si="5"/>
        <v>92</v>
      </c>
      <c r="AD7" s="175">
        <f t="shared" si="5"/>
        <v>91</v>
      </c>
      <c r="AE7" s="175">
        <f t="shared" si="5"/>
        <v>91</v>
      </c>
      <c r="AF7" s="175">
        <f t="shared" si="5"/>
        <v>92</v>
      </c>
      <c r="AG7" s="175">
        <f t="shared" si="5"/>
        <v>92</v>
      </c>
      <c r="AH7" s="175">
        <f t="shared" si="5"/>
        <v>90</v>
      </c>
      <c r="AI7" s="175">
        <f t="shared" si="5"/>
        <v>91</v>
      </c>
      <c r="AJ7" s="175">
        <f t="shared" si="5"/>
        <v>92</v>
      </c>
      <c r="AK7" s="175">
        <f t="shared" si="5"/>
        <v>92</v>
      </c>
      <c r="AL7" s="175">
        <f t="shared" si="5"/>
        <v>90</v>
      </c>
      <c r="AM7" s="175">
        <f t="shared" si="5"/>
        <v>91</v>
      </c>
    </row>
    <row r="9" spans="2:39" x14ac:dyDescent="0.2">
      <c r="C9" s="7"/>
      <c r="D9" s="15" t="s">
        <v>41</v>
      </c>
      <c r="E9" s="15" t="s">
        <v>41</v>
      </c>
      <c r="F9" s="15" t="s">
        <v>42</v>
      </c>
      <c r="G9" s="15" t="s">
        <v>42</v>
      </c>
      <c r="H9" s="15" t="s">
        <v>43</v>
      </c>
      <c r="I9" s="15" t="s">
        <v>43</v>
      </c>
      <c r="J9" s="15" t="s">
        <v>44</v>
      </c>
      <c r="K9" s="15" t="s">
        <v>44</v>
      </c>
      <c r="L9" s="15" t="s">
        <v>45</v>
      </c>
      <c r="M9" s="15" t="s">
        <v>45</v>
      </c>
      <c r="N9" s="15" t="s">
        <v>46</v>
      </c>
      <c r="O9" s="15" t="s">
        <v>46</v>
      </c>
      <c r="P9" s="15" t="s">
        <v>47</v>
      </c>
      <c r="Q9" s="15" t="s">
        <v>47</v>
      </c>
      <c r="R9" s="15" t="s">
        <v>48</v>
      </c>
      <c r="S9" s="15" t="s">
        <v>48</v>
      </c>
      <c r="T9" s="15" t="s">
        <v>49</v>
      </c>
      <c r="U9" s="15" t="s">
        <v>49</v>
      </c>
      <c r="V9" s="15" t="s">
        <v>50</v>
      </c>
      <c r="W9" s="15" t="s">
        <v>50</v>
      </c>
      <c r="X9" s="15" t="s">
        <v>51</v>
      </c>
      <c r="Y9" s="15" t="s">
        <v>51</v>
      </c>
      <c r="Z9" s="15" t="s">
        <v>52</v>
      </c>
      <c r="AA9" s="15" t="s">
        <v>52</v>
      </c>
      <c r="AB9" s="15" t="s">
        <v>53</v>
      </c>
      <c r="AC9" s="15" t="s">
        <v>53</v>
      </c>
      <c r="AD9" s="15" t="s">
        <v>54</v>
      </c>
      <c r="AE9" s="15" t="s">
        <v>54</v>
      </c>
      <c r="AF9" s="15" t="s">
        <v>55</v>
      </c>
      <c r="AG9" s="15" t="s">
        <v>55</v>
      </c>
      <c r="AH9" s="15" t="s">
        <v>56</v>
      </c>
      <c r="AI9" s="15" t="s">
        <v>56</v>
      </c>
      <c r="AJ9" s="15" t="s">
        <v>57</v>
      </c>
      <c r="AK9" s="15" t="s">
        <v>57</v>
      </c>
      <c r="AL9" s="15" t="s">
        <v>58</v>
      </c>
      <c r="AM9" s="15" t="s">
        <v>58</v>
      </c>
    </row>
    <row r="10" spans="2:39" x14ac:dyDescent="0.2">
      <c r="C10" s="172" t="s">
        <v>59</v>
      </c>
      <c r="D10" s="172" t="s">
        <v>60</v>
      </c>
      <c r="E10" s="172" t="s">
        <v>61</v>
      </c>
      <c r="F10" s="172" t="s">
        <v>62</v>
      </c>
      <c r="G10" s="172" t="s">
        <v>63</v>
      </c>
      <c r="H10" s="172" t="s">
        <v>64</v>
      </c>
      <c r="I10" s="172" t="s">
        <v>65</v>
      </c>
      <c r="J10" s="172" t="s">
        <v>66</v>
      </c>
      <c r="K10" s="172" t="s">
        <v>67</v>
      </c>
      <c r="L10" s="172" t="s">
        <v>68</v>
      </c>
      <c r="M10" s="172" t="s">
        <v>69</v>
      </c>
      <c r="N10" s="172" t="s">
        <v>70</v>
      </c>
      <c r="O10" s="172" t="s">
        <v>71</v>
      </c>
      <c r="P10" s="172" t="s">
        <v>72</v>
      </c>
      <c r="Q10" s="172" t="s">
        <v>73</v>
      </c>
      <c r="R10" s="172" t="s">
        <v>74</v>
      </c>
      <c r="S10" s="172" t="s">
        <v>75</v>
      </c>
      <c r="T10" s="172" t="s">
        <v>76</v>
      </c>
      <c r="U10" s="172" t="s">
        <v>77</v>
      </c>
      <c r="V10" s="172" t="s">
        <v>78</v>
      </c>
      <c r="W10" s="172" t="s">
        <v>79</v>
      </c>
      <c r="X10" s="172" t="s">
        <v>80</v>
      </c>
      <c r="Y10" s="172" t="s">
        <v>81</v>
      </c>
      <c r="Z10" s="172" t="s">
        <v>82</v>
      </c>
      <c r="AA10" s="172" t="s">
        <v>83</v>
      </c>
      <c r="AB10" s="172" t="s">
        <v>84</v>
      </c>
      <c r="AC10" s="172" t="s">
        <v>85</v>
      </c>
      <c r="AD10" s="172" t="s">
        <v>86</v>
      </c>
      <c r="AE10" s="172" t="s">
        <v>87</v>
      </c>
      <c r="AF10" s="172" t="s">
        <v>88</v>
      </c>
      <c r="AG10" s="172" t="s">
        <v>89</v>
      </c>
      <c r="AH10" s="172" t="s">
        <v>90</v>
      </c>
      <c r="AI10" s="172" t="s">
        <v>91</v>
      </c>
      <c r="AJ10" s="172" t="s">
        <v>92</v>
      </c>
      <c r="AK10" s="172" t="s">
        <v>93</v>
      </c>
      <c r="AL10" s="172" t="s">
        <v>94</v>
      </c>
      <c r="AM10" s="172" t="s">
        <v>95</v>
      </c>
    </row>
    <row r="11" spans="2:39" x14ac:dyDescent="0.2">
      <c r="C11" s="173">
        <v>42916</v>
      </c>
      <c r="D11" s="174">
        <f t="shared" ref="D11:AM11" si="6" xml:space="preserve"> EOMONTH( C11, 3)</f>
        <v>43008</v>
      </c>
      <c r="E11" s="174">
        <f t="shared" si="6"/>
        <v>43100</v>
      </c>
      <c r="F11" s="174">
        <f t="shared" si="6"/>
        <v>43190</v>
      </c>
      <c r="G11" s="174">
        <f t="shared" si="6"/>
        <v>43281</v>
      </c>
      <c r="H11" s="174">
        <f t="shared" si="6"/>
        <v>43373</v>
      </c>
      <c r="I11" s="174">
        <f t="shared" si="6"/>
        <v>43465</v>
      </c>
      <c r="J11" s="174">
        <f t="shared" si="6"/>
        <v>43555</v>
      </c>
      <c r="K11" s="174">
        <f t="shared" si="6"/>
        <v>43646</v>
      </c>
      <c r="L11" s="174">
        <f t="shared" si="6"/>
        <v>43738</v>
      </c>
      <c r="M11" s="174">
        <f t="shared" si="6"/>
        <v>43830</v>
      </c>
      <c r="N11" s="174">
        <f t="shared" si="6"/>
        <v>43921</v>
      </c>
      <c r="O11" s="174">
        <f t="shared" si="6"/>
        <v>44012</v>
      </c>
      <c r="P11" s="174">
        <f t="shared" si="6"/>
        <v>44104</v>
      </c>
      <c r="Q11" s="174">
        <f t="shared" si="6"/>
        <v>44196</v>
      </c>
      <c r="R11" s="174">
        <f t="shared" si="6"/>
        <v>44286</v>
      </c>
      <c r="S11" s="174">
        <f t="shared" si="6"/>
        <v>44377</v>
      </c>
      <c r="T11" s="174">
        <f t="shared" si="6"/>
        <v>44469</v>
      </c>
      <c r="U11" s="174">
        <f t="shared" si="6"/>
        <v>44561</v>
      </c>
      <c r="V11" s="174">
        <f t="shared" si="6"/>
        <v>44651</v>
      </c>
      <c r="W11" s="174">
        <f t="shared" si="6"/>
        <v>44742</v>
      </c>
      <c r="X11" s="174">
        <f t="shared" si="6"/>
        <v>44834</v>
      </c>
      <c r="Y11" s="174">
        <f t="shared" si="6"/>
        <v>44926</v>
      </c>
      <c r="Z11" s="174">
        <f t="shared" si="6"/>
        <v>45016</v>
      </c>
      <c r="AA11" s="174">
        <f t="shared" si="6"/>
        <v>45107</v>
      </c>
      <c r="AB11" s="174">
        <f t="shared" si="6"/>
        <v>45199</v>
      </c>
      <c r="AC11" s="174">
        <f t="shared" si="6"/>
        <v>45291</v>
      </c>
      <c r="AD11" s="174">
        <f t="shared" si="6"/>
        <v>45382</v>
      </c>
      <c r="AE11" s="174">
        <f t="shared" si="6"/>
        <v>45473</v>
      </c>
      <c r="AF11" s="174">
        <f t="shared" si="6"/>
        <v>45565</v>
      </c>
      <c r="AG11" s="174">
        <f t="shared" si="6"/>
        <v>45657</v>
      </c>
      <c r="AH11" s="174">
        <f t="shared" si="6"/>
        <v>45747</v>
      </c>
      <c r="AI11" s="174">
        <f t="shared" si="6"/>
        <v>45838</v>
      </c>
      <c r="AJ11" s="174">
        <f t="shared" si="6"/>
        <v>45930</v>
      </c>
      <c r="AK11" s="174">
        <f t="shared" si="6"/>
        <v>46022</v>
      </c>
      <c r="AL11" s="174">
        <f t="shared" si="6"/>
        <v>46112</v>
      </c>
      <c r="AM11" s="174">
        <f t="shared" si="6"/>
        <v>46203</v>
      </c>
    </row>
    <row r="12" spans="2:39" x14ac:dyDescent="0.2">
      <c r="B12" s="12" t="s">
        <v>9</v>
      </c>
      <c r="C12" s="31"/>
      <c r="D12" s="31"/>
      <c r="E12" s="31"/>
      <c r="F12" s="31"/>
      <c r="G12" s="31"/>
      <c r="H12" s="32"/>
      <c r="I12" s="32"/>
      <c r="J12" s="32"/>
      <c r="K12" s="32"/>
      <c r="L12" s="32"/>
      <c r="M12" s="32"/>
      <c r="N12" s="32"/>
      <c r="O12" s="32"/>
      <c r="P12" s="32">
        <v>75.2</v>
      </c>
      <c r="Q12" s="32">
        <v>89.5</v>
      </c>
      <c r="R12" s="32">
        <v>83.5</v>
      </c>
      <c r="S12" s="32">
        <v>96.5</v>
      </c>
      <c r="T12" s="32">
        <v>125.9</v>
      </c>
      <c r="U12" s="32">
        <v>138.6</v>
      </c>
      <c r="V12" s="32">
        <v>120.7</v>
      </c>
      <c r="W12" s="32">
        <v>126.7</v>
      </c>
      <c r="X12" s="32">
        <v>132.80000000000001</v>
      </c>
      <c r="Y12" s="32">
        <v>146.30000000000001</v>
      </c>
      <c r="Z12" s="32">
        <v>119.1</v>
      </c>
      <c r="AA12" s="32">
        <v>131.6</v>
      </c>
      <c r="AB12" s="32">
        <v>143.9</v>
      </c>
      <c r="AC12" s="32">
        <v>154.80000000000001</v>
      </c>
      <c r="AD12" s="32">
        <v>139.6</v>
      </c>
      <c r="AE12" s="32">
        <v>153.6</v>
      </c>
      <c r="AF12" s="32"/>
      <c r="AG12" s="32"/>
      <c r="AH12" s="32"/>
      <c r="AI12" s="32"/>
      <c r="AJ12" s="32"/>
      <c r="AK12" s="32"/>
      <c r="AL12" s="32"/>
      <c r="AM12" s="32"/>
    </row>
    <row r="13" spans="2:39" x14ac:dyDescent="0.2">
      <c r="X13" s="32"/>
      <c r="Y13" s="32"/>
      <c r="Z13" s="32"/>
      <c r="AA13" s="32"/>
      <c r="AB13" s="32"/>
      <c r="AC13" s="32"/>
      <c r="AD13" s="32"/>
      <c r="AE13" s="32"/>
      <c r="AF13" s="32"/>
      <c r="AG13" s="32"/>
      <c r="AH13" s="32"/>
      <c r="AI13" s="32"/>
      <c r="AJ13" s="32"/>
      <c r="AK13" s="32"/>
      <c r="AL13" s="32"/>
      <c r="AM13" s="32"/>
    </row>
    <row r="14" spans="2:39" x14ac:dyDescent="0.2">
      <c r="B14" s="12" t="s">
        <v>96</v>
      </c>
      <c r="H14" s="32"/>
      <c r="I14" s="32"/>
      <c r="J14" s="32"/>
      <c r="K14" s="32"/>
      <c r="L14" s="32"/>
      <c r="M14" s="32"/>
      <c r="N14" s="32"/>
      <c r="O14" s="32"/>
      <c r="P14" s="32">
        <v>9.6</v>
      </c>
      <c r="Q14" s="32">
        <v>11.5</v>
      </c>
      <c r="R14" s="32">
        <v>10.4</v>
      </c>
      <c r="S14" s="32">
        <v>12.7</v>
      </c>
      <c r="T14" s="32">
        <v>18.100000000000001</v>
      </c>
      <c r="U14" s="32">
        <v>18.399999999999999</v>
      </c>
      <c r="V14" s="32">
        <v>17</v>
      </c>
      <c r="W14" s="32">
        <v>17</v>
      </c>
      <c r="X14" s="32">
        <v>17.8</v>
      </c>
      <c r="Y14" s="32">
        <v>18.2</v>
      </c>
      <c r="Z14" s="32">
        <v>15.8</v>
      </c>
      <c r="AA14" s="32">
        <v>19.100000000000001</v>
      </c>
      <c r="AB14" s="32">
        <v>18.8</v>
      </c>
      <c r="AC14" s="32">
        <v>10.5</v>
      </c>
      <c r="AD14" s="32">
        <v>18.7</v>
      </c>
      <c r="AE14" s="32">
        <v>20.8</v>
      </c>
      <c r="AF14" s="32"/>
      <c r="AG14" s="32"/>
      <c r="AH14" s="32"/>
      <c r="AI14" s="32"/>
      <c r="AJ14" s="32"/>
      <c r="AK14" s="32"/>
      <c r="AL14" s="32"/>
      <c r="AM14" s="32"/>
    </row>
    <row r="15" spans="2:39" x14ac:dyDescent="0.2">
      <c r="B15" s="12" t="s">
        <v>97</v>
      </c>
      <c r="H15" s="26" t="e">
        <f t="shared" ref="H15:AE15" si="7">H14/H12</f>
        <v>#DIV/0!</v>
      </c>
      <c r="I15" s="26" t="e">
        <f t="shared" si="7"/>
        <v>#DIV/0!</v>
      </c>
      <c r="J15" s="26" t="e">
        <f t="shared" si="7"/>
        <v>#DIV/0!</v>
      </c>
      <c r="K15" s="26" t="e">
        <f t="shared" si="7"/>
        <v>#DIV/0!</v>
      </c>
      <c r="L15" s="26" t="e">
        <f t="shared" si="7"/>
        <v>#DIV/0!</v>
      </c>
      <c r="M15" s="26" t="e">
        <f t="shared" si="7"/>
        <v>#DIV/0!</v>
      </c>
      <c r="N15" s="26" t="e">
        <f t="shared" si="7"/>
        <v>#DIV/0!</v>
      </c>
      <c r="O15" s="26" t="e">
        <f t="shared" si="7"/>
        <v>#DIV/0!</v>
      </c>
      <c r="P15" s="26">
        <f t="shared" si="7"/>
        <v>0.1276595744680851</v>
      </c>
      <c r="Q15" s="26">
        <f t="shared" si="7"/>
        <v>0.12849162011173185</v>
      </c>
      <c r="R15" s="26">
        <f t="shared" si="7"/>
        <v>0.12455089820359282</v>
      </c>
      <c r="S15" s="26">
        <f t="shared" si="7"/>
        <v>0.13160621761658031</v>
      </c>
      <c r="T15" s="26">
        <f t="shared" si="7"/>
        <v>0.1437648927720413</v>
      </c>
      <c r="U15" s="26">
        <f t="shared" si="7"/>
        <v>0.13275613275613274</v>
      </c>
      <c r="V15" s="26">
        <f t="shared" si="7"/>
        <v>0.14084507042253522</v>
      </c>
      <c r="W15" s="26">
        <f t="shared" si="7"/>
        <v>0.13417521704814522</v>
      </c>
      <c r="X15" s="26">
        <f t="shared" si="7"/>
        <v>0.13403614457831325</v>
      </c>
      <c r="Y15" s="26">
        <f t="shared" si="7"/>
        <v>0.12440191387559807</v>
      </c>
      <c r="Z15" s="26">
        <f t="shared" si="7"/>
        <v>0.13266162888329136</v>
      </c>
      <c r="AA15" s="26">
        <f t="shared" si="7"/>
        <v>0.14513677811550155</v>
      </c>
      <c r="AB15" s="26">
        <f t="shared" si="7"/>
        <v>0.13064628214037527</v>
      </c>
      <c r="AC15" s="26">
        <f t="shared" si="7"/>
        <v>6.7829457364341081E-2</v>
      </c>
      <c r="AD15" s="26">
        <f t="shared" si="7"/>
        <v>0.13395415472779371</v>
      </c>
      <c r="AE15" s="26">
        <f t="shared" si="7"/>
        <v>0.13541666666666669</v>
      </c>
      <c r="AF15" s="26"/>
      <c r="AG15" s="26"/>
      <c r="AH15" s="26"/>
      <c r="AI15" s="26"/>
      <c r="AJ15" s="26"/>
      <c r="AK15" s="26"/>
      <c r="AL15" s="26"/>
      <c r="AM15" s="26"/>
    </row>
    <row r="17" spans="2:39" x14ac:dyDescent="0.2">
      <c r="B17" s="12" t="s">
        <v>98</v>
      </c>
      <c r="H17" s="32"/>
      <c r="I17" s="32"/>
      <c r="J17" s="32"/>
      <c r="K17" s="32"/>
      <c r="L17" s="32"/>
      <c r="M17" s="32"/>
      <c r="N17" s="32"/>
      <c r="O17" s="32"/>
      <c r="P17" s="32">
        <v>7.9</v>
      </c>
      <c r="Q17" s="32">
        <v>9.1</v>
      </c>
      <c r="R17" s="32">
        <v>8.5</v>
      </c>
      <c r="S17" s="32">
        <v>10.1</v>
      </c>
      <c r="T17" s="32">
        <v>14.8</v>
      </c>
      <c r="U17" s="32">
        <v>13.8</v>
      </c>
      <c r="V17" s="32">
        <v>13.2</v>
      </c>
      <c r="W17" s="32">
        <v>12.8</v>
      </c>
      <c r="X17" s="32">
        <v>13.5</v>
      </c>
      <c r="Y17" s="32">
        <v>13.7</v>
      </c>
      <c r="Z17" s="32">
        <v>12</v>
      </c>
      <c r="AA17" s="32">
        <v>14.9</v>
      </c>
      <c r="AB17" s="32">
        <v>14.5</v>
      </c>
      <c r="AC17" s="32">
        <v>16.2</v>
      </c>
      <c r="AD17" s="32">
        <v>15.9</v>
      </c>
      <c r="AE17" s="32">
        <v>17.3</v>
      </c>
      <c r="AF17" s="32"/>
      <c r="AG17" s="32"/>
      <c r="AH17" s="32"/>
      <c r="AI17" s="32"/>
      <c r="AJ17" s="32"/>
      <c r="AK17" s="32"/>
      <c r="AL17" s="32"/>
      <c r="AM17" s="32"/>
    </row>
    <row r="18" spans="2:39" x14ac:dyDescent="0.2">
      <c r="B18" s="12" t="s">
        <v>99</v>
      </c>
      <c r="H18" s="26" t="e">
        <f t="shared" ref="H18:AE18" si="8">H17/H12</f>
        <v>#DIV/0!</v>
      </c>
      <c r="I18" s="26" t="e">
        <f t="shared" si="8"/>
        <v>#DIV/0!</v>
      </c>
      <c r="J18" s="26" t="e">
        <f t="shared" si="8"/>
        <v>#DIV/0!</v>
      </c>
      <c r="K18" s="26" t="e">
        <f t="shared" si="8"/>
        <v>#DIV/0!</v>
      </c>
      <c r="L18" s="26" t="e">
        <f t="shared" si="8"/>
        <v>#DIV/0!</v>
      </c>
      <c r="M18" s="26" t="e">
        <f t="shared" si="8"/>
        <v>#DIV/0!</v>
      </c>
      <c r="N18" s="26" t="e">
        <f t="shared" si="8"/>
        <v>#DIV/0!</v>
      </c>
      <c r="O18" s="26" t="e">
        <f t="shared" si="8"/>
        <v>#DIV/0!</v>
      </c>
      <c r="P18" s="26">
        <f t="shared" si="8"/>
        <v>0.10505319148936171</v>
      </c>
      <c r="Q18" s="26">
        <f t="shared" si="8"/>
        <v>0.10167597765363127</v>
      </c>
      <c r="R18" s="26">
        <f t="shared" si="8"/>
        <v>0.10179640718562874</v>
      </c>
      <c r="S18" s="26">
        <f t="shared" si="8"/>
        <v>0.10466321243523316</v>
      </c>
      <c r="T18" s="26">
        <f t="shared" si="8"/>
        <v>0.11755361397934869</v>
      </c>
      <c r="U18" s="26">
        <f t="shared" si="8"/>
        <v>9.9567099567099582E-2</v>
      </c>
      <c r="V18" s="26">
        <f t="shared" si="8"/>
        <v>0.10936205468102733</v>
      </c>
      <c r="W18" s="26">
        <f t="shared" si="8"/>
        <v>0.10102604577742699</v>
      </c>
      <c r="X18" s="26">
        <f t="shared" si="8"/>
        <v>0.10165662650602408</v>
      </c>
      <c r="Y18" s="26">
        <f t="shared" si="8"/>
        <v>9.3643198906356792E-2</v>
      </c>
      <c r="Z18" s="26">
        <f t="shared" si="8"/>
        <v>0.10075566750629723</v>
      </c>
      <c r="AA18" s="26">
        <f t="shared" si="8"/>
        <v>0.11322188449848025</v>
      </c>
      <c r="AB18" s="26">
        <f t="shared" si="8"/>
        <v>0.10076441973592773</v>
      </c>
      <c r="AC18" s="26">
        <f t="shared" si="8"/>
        <v>0.10465116279069767</v>
      </c>
      <c r="AD18" s="26">
        <f t="shared" si="8"/>
        <v>0.11389684813753582</v>
      </c>
      <c r="AE18" s="26">
        <f t="shared" si="8"/>
        <v>0.11263020833333334</v>
      </c>
      <c r="AF18" s="26"/>
      <c r="AG18" s="26"/>
      <c r="AH18" s="26"/>
      <c r="AI18" s="26"/>
      <c r="AJ18" s="26"/>
      <c r="AK18" s="26"/>
      <c r="AL18" s="26"/>
      <c r="AM18" s="26"/>
    </row>
    <row r="20" spans="2:39" x14ac:dyDescent="0.2">
      <c r="B20" s="12" t="s">
        <v>100</v>
      </c>
      <c r="E20" s="24"/>
      <c r="F20" s="24"/>
      <c r="G20" s="24"/>
      <c r="H20" s="24"/>
      <c r="I20" s="24"/>
      <c r="J20" s="24"/>
      <c r="K20" s="24"/>
      <c r="L20" s="24">
        <v>20045</v>
      </c>
      <c r="M20" s="24">
        <v>19479</v>
      </c>
      <c r="N20" s="24">
        <v>20217</v>
      </c>
      <c r="O20" s="24">
        <v>22289</v>
      </c>
      <c r="P20" s="24">
        <v>23927</v>
      </c>
      <c r="Q20" s="24">
        <v>25540</v>
      </c>
      <c r="R20" s="24">
        <v>26824</v>
      </c>
      <c r="S20" s="24">
        <v>32472</v>
      </c>
      <c r="T20" s="24">
        <v>39195</v>
      </c>
      <c r="U20" s="24">
        <v>45087</v>
      </c>
      <c r="V20" s="24">
        <v>49556</v>
      </c>
      <c r="W20" s="24">
        <v>53328</v>
      </c>
      <c r="X20" s="24">
        <v>54920</v>
      </c>
      <c r="Y20" s="24">
        <v>59632</v>
      </c>
      <c r="Z20" s="24">
        <v>63118</v>
      </c>
      <c r="AA20" s="24">
        <v>65415</v>
      </c>
      <c r="AB20" s="24">
        <v>66526</v>
      </c>
      <c r="AC20" s="24">
        <v>67391</v>
      </c>
      <c r="AD20" s="24">
        <v>67732</v>
      </c>
      <c r="AE20" s="24">
        <v>70456</v>
      </c>
      <c r="AF20" s="24"/>
      <c r="AG20" s="24"/>
      <c r="AH20" s="24"/>
      <c r="AI20" s="24"/>
      <c r="AJ20" s="24"/>
      <c r="AK20" s="24"/>
      <c r="AL20" s="24"/>
      <c r="AM20" s="24"/>
    </row>
    <row r="21" spans="2:39" x14ac:dyDescent="0.2">
      <c r="C21" s="32"/>
      <c r="D21" s="32"/>
      <c r="E21" s="32"/>
      <c r="F21" s="32"/>
      <c r="G21" s="32"/>
      <c r="H21" s="32"/>
      <c r="I21" s="32"/>
      <c r="J21" s="32"/>
      <c r="K21" s="32"/>
      <c r="L21" s="32"/>
      <c r="M21" s="32"/>
      <c r="N21" s="32"/>
      <c r="O21" s="32"/>
      <c r="P21" s="70">
        <f t="shared" ref="P21:AE21" si="9">P12/P20*1000000</f>
        <v>3142.8929661052371</v>
      </c>
      <c r="Q21" s="70">
        <f t="shared" si="9"/>
        <v>3504.3069694596711</v>
      </c>
      <c r="R21" s="70">
        <f t="shared" si="9"/>
        <v>3112.8839844915005</v>
      </c>
      <c r="S21" s="70">
        <f t="shared" si="9"/>
        <v>2971.7910815471791</v>
      </c>
      <c r="T21" s="70">
        <f t="shared" si="9"/>
        <v>3212.1444061742573</v>
      </c>
      <c r="U21" s="70">
        <f t="shared" si="9"/>
        <v>3074.0568234746156</v>
      </c>
      <c r="V21" s="70">
        <f t="shared" si="9"/>
        <v>2435.6283800145288</v>
      </c>
      <c r="W21" s="70">
        <f t="shared" si="9"/>
        <v>2375.8625862586259</v>
      </c>
      <c r="X21" s="70">
        <f t="shared" si="9"/>
        <v>2418.0626365622725</v>
      </c>
      <c r="Y21" s="70">
        <f t="shared" si="9"/>
        <v>2453.3807351757446</v>
      </c>
      <c r="Z21" s="70">
        <f t="shared" si="9"/>
        <v>1886.9419183117336</v>
      </c>
      <c r="AA21" s="70">
        <f t="shared" si="9"/>
        <v>2011.7710005350455</v>
      </c>
      <c r="AB21" s="70">
        <f t="shared" si="9"/>
        <v>2163.0640651775248</v>
      </c>
      <c r="AC21" s="70">
        <f t="shared" si="9"/>
        <v>2297.0426318054338</v>
      </c>
      <c r="AD21" s="70">
        <f t="shared" si="9"/>
        <v>2061.0641941770509</v>
      </c>
      <c r="AE21" s="70">
        <f t="shared" si="9"/>
        <v>2180.0840240717612</v>
      </c>
      <c r="AF21" s="32"/>
      <c r="AG21" s="32"/>
      <c r="AH21" s="32"/>
      <c r="AI21" s="32"/>
      <c r="AJ21" s="32"/>
      <c r="AK21" s="32"/>
      <c r="AL21" s="32"/>
      <c r="AM21" s="32"/>
    </row>
    <row r="22" spans="2:39" x14ac:dyDescent="0.2">
      <c r="C22" s="32"/>
      <c r="D22" s="32"/>
      <c r="E22" s="32"/>
      <c r="F22" s="32"/>
      <c r="G22" s="32"/>
      <c r="H22" s="32"/>
      <c r="I22" s="32"/>
      <c r="J22" s="32"/>
      <c r="K22" s="32"/>
      <c r="L22" s="32"/>
      <c r="M22" s="32"/>
      <c r="N22" s="32"/>
      <c r="O22" s="32"/>
      <c r="P22" s="70">
        <f t="shared" ref="P22:AE22" si="10">P17/P20*1000000</f>
        <v>330.17093659882141</v>
      </c>
      <c r="Q22" s="70">
        <f t="shared" si="10"/>
        <v>356.30383711824584</v>
      </c>
      <c r="R22" s="70">
        <f t="shared" si="10"/>
        <v>316.88040560691917</v>
      </c>
      <c r="S22" s="70">
        <f t="shared" si="10"/>
        <v>311.03720128110371</v>
      </c>
      <c r="T22" s="70">
        <f t="shared" si="10"/>
        <v>377.59918356933287</v>
      </c>
      <c r="U22" s="70">
        <f t="shared" si="10"/>
        <v>306.0749218178189</v>
      </c>
      <c r="V22" s="70">
        <f t="shared" si="10"/>
        <v>266.36532407781095</v>
      </c>
      <c r="W22" s="70">
        <f t="shared" si="10"/>
        <v>240.02400240024002</v>
      </c>
      <c r="X22" s="70">
        <f t="shared" si="10"/>
        <v>245.81209031318281</v>
      </c>
      <c r="Y22" s="70">
        <f t="shared" si="10"/>
        <v>229.7424201770861</v>
      </c>
      <c r="Z22" s="70">
        <f t="shared" si="10"/>
        <v>190.12009252511172</v>
      </c>
      <c r="AA22" s="70">
        <f t="shared" si="10"/>
        <v>227.77650385997094</v>
      </c>
      <c r="AB22" s="70">
        <f t="shared" si="10"/>
        <v>217.95989537925021</v>
      </c>
      <c r="AC22" s="70">
        <f t="shared" si="10"/>
        <v>240.38818239824309</v>
      </c>
      <c r="AD22" s="70">
        <f t="shared" si="10"/>
        <v>234.74871552589619</v>
      </c>
      <c r="AE22" s="70">
        <f t="shared" si="10"/>
        <v>245.54331781537414</v>
      </c>
      <c r="AF22" s="32"/>
      <c r="AG22" s="32"/>
      <c r="AH22" s="32"/>
      <c r="AI22" s="32"/>
      <c r="AJ22" s="32"/>
      <c r="AK22" s="32"/>
      <c r="AL22" s="32"/>
      <c r="AM22" s="32"/>
    </row>
    <row r="23" spans="2:39" x14ac:dyDescent="0.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row>
    <row r="25" spans="2:39" x14ac:dyDescent="0.2">
      <c r="B25" s="12" t="s">
        <v>9</v>
      </c>
      <c r="C25" s="31"/>
      <c r="D25" s="31"/>
      <c r="E25" s="31"/>
      <c r="F25" s="31"/>
      <c r="G25" s="31"/>
      <c r="H25" s="32"/>
      <c r="I25" s="32"/>
      <c r="J25" s="32"/>
      <c r="K25" s="32"/>
      <c r="L25" s="32"/>
      <c r="M25" s="32"/>
      <c r="N25" s="32"/>
      <c r="O25" s="32"/>
      <c r="P25" s="32"/>
      <c r="Q25" s="32"/>
      <c r="R25" s="32"/>
      <c r="S25" s="32"/>
      <c r="T25" s="32"/>
      <c r="U25" s="32"/>
      <c r="V25" s="32"/>
      <c r="W25" s="32"/>
      <c r="X25" s="32"/>
      <c r="Y25" s="32"/>
      <c r="Z25" s="32">
        <v>354.2</v>
      </c>
      <c r="AA25" s="32"/>
      <c r="AB25" s="32"/>
      <c r="AC25" s="32"/>
      <c r="AD25" s="32">
        <v>273.10000000000002</v>
      </c>
      <c r="AE25" s="32"/>
      <c r="AF25" s="32">
        <v>286.60000000000002</v>
      </c>
      <c r="AG25" s="32">
        <v>357</v>
      </c>
      <c r="AH25" s="32">
        <v>376</v>
      </c>
      <c r="AI25" s="32">
        <v>399.5</v>
      </c>
      <c r="AJ25" s="32">
        <v>363</v>
      </c>
      <c r="AK25" s="32">
        <v>444.4</v>
      </c>
      <c r="AL25" s="32">
        <v>383</v>
      </c>
      <c r="AM25" s="32"/>
    </row>
    <row r="26" spans="2:39" x14ac:dyDescent="0.2">
      <c r="X26" s="32"/>
      <c r="Y26" s="32"/>
      <c r="Z26" s="32"/>
      <c r="AA26" s="32"/>
      <c r="AB26" s="32"/>
      <c r="AC26" s="32"/>
      <c r="AD26" s="32"/>
      <c r="AE26" s="32"/>
      <c r="AF26" s="32"/>
      <c r="AG26" s="32"/>
      <c r="AH26" s="32"/>
      <c r="AI26" s="32"/>
      <c r="AJ26" s="32"/>
      <c r="AK26" s="32"/>
      <c r="AL26" s="32"/>
      <c r="AM26" s="32"/>
    </row>
    <row r="27" spans="2:39" x14ac:dyDescent="0.2">
      <c r="B27" s="12" t="s">
        <v>96</v>
      </c>
      <c r="H27" s="32"/>
      <c r="I27" s="32"/>
      <c r="J27" s="32"/>
      <c r="K27" s="32"/>
      <c r="L27" s="32"/>
      <c r="M27" s="32"/>
      <c r="N27" s="32"/>
      <c r="O27" s="32"/>
      <c r="P27" s="32"/>
      <c r="Q27" s="32"/>
      <c r="R27" s="32"/>
      <c r="S27" s="32"/>
      <c r="T27" s="32"/>
      <c r="U27" s="32"/>
      <c r="V27" s="32"/>
      <c r="W27" s="32"/>
      <c r="X27" s="32"/>
      <c r="Y27" s="32"/>
      <c r="Z27" s="32">
        <v>37.6</v>
      </c>
      <c r="AA27" s="32"/>
      <c r="AB27" s="32"/>
      <c r="AC27" s="32"/>
      <c r="AD27" s="32">
        <v>37.1</v>
      </c>
      <c r="AE27" s="32"/>
      <c r="AF27" s="32">
        <v>38.799999999999997</v>
      </c>
      <c r="AG27" s="32">
        <v>52.2</v>
      </c>
      <c r="AH27" s="32">
        <v>51.7</v>
      </c>
      <c r="AI27" s="32">
        <v>53.1</v>
      </c>
      <c r="AJ27" s="32">
        <v>51.8</v>
      </c>
      <c r="AK27" s="32">
        <v>55.9</v>
      </c>
      <c r="AL27" s="32">
        <v>50.3</v>
      </c>
      <c r="AM27" s="32"/>
    </row>
    <row r="28" spans="2:39" x14ac:dyDescent="0.2">
      <c r="B28" s="12" t="s">
        <v>97</v>
      </c>
      <c r="H28" s="26"/>
      <c r="I28" s="26"/>
      <c r="J28" s="26"/>
      <c r="K28" s="26"/>
      <c r="L28" s="26"/>
      <c r="M28" s="26"/>
      <c r="N28" s="26"/>
      <c r="O28" s="26"/>
      <c r="P28" s="26"/>
      <c r="Q28" s="26"/>
      <c r="R28" s="26"/>
      <c r="S28" s="26"/>
      <c r="T28" s="26"/>
      <c r="U28" s="26"/>
      <c r="V28" s="26"/>
      <c r="W28" s="26"/>
      <c r="X28" s="26"/>
      <c r="Y28" s="26"/>
      <c r="Z28" s="26">
        <v>0.10615471485036704</v>
      </c>
      <c r="AA28" s="26"/>
      <c r="AB28" s="26"/>
      <c r="AC28" s="26"/>
      <c r="AD28" s="26">
        <v>0.13584767484437935</v>
      </c>
      <c r="AE28" s="26"/>
      <c r="AF28" s="26">
        <f t="shared" ref="AF28:AL28" si="11">AF27/AF25</f>
        <v>0.13538032100488484</v>
      </c>
      <c r="AG28" s="26">
        <f t="shared" si="11"/>
        <v>0.14621848739495799</v>
      </c>
      <c r="AH28" s="26">
        <f t="shared" si="11"/>
        <v>0.13750000000000001</v>
      </c>
      <c r="AI28" s="26">
        <f t="shared" si="11"/>
        <v>0.13291614518147685</v>
      </c>
      <c r="AJ28" s="26">
        <f t="shared" si="11"/>
        <v>0.14269972451790633</v>
      </c>
      <c r="AK28" s="26">
        <f t="shared" si="11"/>
        <v>0.1257875787578758</v>
      </c>
      <c r="AL28" s="26">
        <f t="shared" si="11"/>
        <v>0.13133159268929503</v>
      </c>
      <c r="AM28" s="26"/>
    </row>
    <row r="30" spans="2:39" x14ac:dyDescent="0.2">
      <c r="B30" s="12" t="s">
        <v>98</v>
      </c>
      <c r="H30" s="32"/>
      <c r="I30" s="32"/>
      <c r="J30" s="32"/>
      <c r="K30" s="32"/>
      <c r="L30" s="32"/>
      <c r="M30" s="32"/>
      <c r="N30" s="32"/>
      <c r="O30" s="32"/>
      <c r="P30" s="32"/>
      <c r="Q30" s="32"/>
      <c r="R30" s="32"/>
      <c r="S30" s="32"/>
      <c r="T30" s="32"/>
      <c r="U30" s="32"/>
      <c r="V30" s="32"/>
      <c r="W30" s="32"/>
      <c r="X30" s="32"/>
      <c r="Y30" s="32"/>
      <c r="Z30" s="32">
        <v>15</v>
      </c>
      <c r="AA30" s="32"/>
      <c r="AB30" s="32"/>
      <c r="AC30" s="32"/>
      <c r="AD30" s="32">
        <v>23.3</v>
      </c>
      <c r="AE30" s="32"/>
      <c r="AF30" s="32">
        <v>27.9</v>
      </c>
      <c r="AG30" s="32">
        <v>39.200000000000003</v>
      </c>
      <c r="AH30" s="32">
        <v>37.799999999999997</v>
      </c>
      <c r="AI30" s="32">
        <v>40.200000000000003</v>
      </c>
      <c r="AJ30" s="32">
        <v>38</v>
      </c>
      <c r="AK30" s="32">
        <v>37.9</v>
      </c>
      <c r="AL30" s="32">
        <v>38.200000000000003</v>
      </c>
      <c r="AM30" s="32"/>
    </row>
    <row r="31" spans="2:39" x14ac:dyDescent="0.2">
      <c r="B31" s="12" t="s">
        <v>99</v>
      </c>
      <c r="H31" s="26"/>
      <c r="I31" s="26"/>
      <c r="J31" s="26"/>
      <c r="K31" s="26"/>
      <c r="L31" s="26"/>
      <c r="M31" s="26"/>
      <c r="N31" s="26"/>
      <c r="O31" s="26"/>
      <c r="P31" s="26"/>
      <c r="Q31" s="26"/>
      <c r="R31" s="26"/>
      <c r="S31" s="26"/>
      <c r="T31" s="26"/>
      <c r="U31" s="26"/>
      <c r="V31" s="26"/>
      <c r="W31" s="26"/>
      <c r="X31" s="26"/>
      <c r="Y31" s="26"/>
      <c r="Z31" s="26">
        <v>4.2348955392433656E-2</v>
      </c>
      <c r="AA31" s="26"/>
      <c r="AB31" s="26"/>
      <c r="AC31" s="26"/>
      <c r="AD31" s="26">
        <v>8.5316733797143898E-2</v>
      </c>
      <c r="AE31" s="26"/>
      <c r="AF31" s="26">
        <f t="shared" ref="AF31:AL31" si="12">AF30/AF25</f>
        <v>9.7348220516399145E-2</v>
      </c>
      <c r="AG31" s="26">
        <f t="shared" si="12"/>
        <v>0.10980392156862746</v>
      </c>
      <c r="AH31" s="26">
        <f t="shared" si="12"/>
        <v>0.10053191489361701</v>
      </c>
      <c r="AI31" s="26">
        <f t="shared" si="12"/>
        <v>0.10062578222778473</v>
      </c>
      <c r="AJ31" s="26">
        <f t="shared" si="12"/>
        <v>0.1046831955922865</v>
      </c>
      <c r="AK31" s="26">
        <f t="shared" si="12"/>
        <v>8.5283528352835286E-2</v>
      </c>
      <c r="AL31" s="26">
        <f t="shared" si="12"/>
        <v>9.9738903394255882E-2</v>
      </c>
      <c r="AM31" s="26"/>
    </row>
    <row r="33" spans="2:39" x14ac:dyDescent="0.2">
      <c r="B33" s="12" t="s">
        <v>100</v>
      </c>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v>112083</v>
      </c>
      <c r="AE33" s="24"/>
      <c r="AF33" s="24">
        <v>120200</v>
      </c>
      <c r="AG33" s="24">
        <v>144700</v>
      </c>
      <c r="AH33" s="24">
        <v>153000</v>
      </c>
      <c r="AI33" s="24">
        <v>155400</v>
      </c>
      <c r="AJ33" s="24">
        <v>154700</v>
      </c>
      <c r="AK33" s="24">
        <v>163500</v>
      </c>
      <c r="AL33" s="24">
        <v>157264</v>
      </c>
      <c r="AM33" s="24"/>
    </row>
    <row r="34" spans="2:39" x14ac:dyDescent="0.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70">
        <f>AD25/AD33*1000000</f>
        <v>2436.5871720064597</v>
      </c>
      <c r="AE34" s="32"/>
      <c r="AF34" s="70">
        <f t="shared" ref="AF34:AL34" si="13">AF25/AF33*1000000</f>
        <v>2384.3594009983367</v>
      </c>
      <c r="AG34" s="70">
        <f t="shared" si="13"/>
        <v>2467.173462335867</v>
      </c>
      <c r="AH34" s="70">
        <f t="shared" si="13"/>
        <v>2457.5163398692812</v>
      </c>
      <c r="AI34" s="70">
        <f t="shared" si="13"/>
        <v>2570.7850707850707</v>
      </c>
      <c r="AJ34" s="70">
        <f t="shared" si="13"/>
        <v>2346.4770523594057</v>
      </c>
      <c r="AK34" s="70">
        <f t="shared" si="13"/>
        <v>2718.0428134556573</v>
      </c>
      <c r="AL34" s="70">
        <f t="shared" si="13"/>
        <v>2435.3952589276632</v>
      </c>
      <c r="AM34" s="32"/>
    </row>
    <row r="35" spans="2:39" x14ac:dyDescent="0.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70">
        <f>AD30/AD33*1000000</f>
        <v>207.88165912761079</v>
      </c>
      <c r="AE35" s="32"/>
      <c r="AF35" s="70">
        <f t="shared" ref="AF35:AL35" si="14">AF30/AF33*1000000</f>
        <v>232.11314475873542</v>
      </c>
      <c r="AG35" s="70">
        <f t="shared" si="14"/>
        <v>270.90532135452662</v>
      </c>
      <c r="AH35" s="70">
        <f t="shared" si="14"/>
        <v>247.05882352941174</v>
      </c>
      <c r="AI35" s="70">
        <f t="shared" si="14"/>
        <v>258.68725868725869</v>
      </c>
      <c r="AJ35" s="70">
        <f t="shared" si="14"/>
        <v>245.6367162249515</v>
      </c>
      <c r="AK35" s="70">
        <f t="shared" si="14"/>
        <v>231.80428134556576</v>
      </c>
      <c r="AL35" s="70">
        <f t="shared" si="14"/>
        <v>242.90365245701497</v>
      </c>
      <c r="AM35" s="32"/>
    </row>
    <row r="36" spans="2:39" x14ac:dyDescent="0.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70"/>
      <c r="AE36" s="32"/>
      <c r="AF36" s="32"/>
      <c r="AG36" s="32"/>
      <c r="AH36" s="32"/>
      <c r="AI36" s="32"/>
      <c r="AJ36" s="32"/>
      <c r="AK36" s="32"/>
      <c r="AL36" s="32"/>
      <c r="AM36" s="32"/>
    </row>
    <row r="37" spans="2:39" x14ac:dyDescent="0.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row>
    <row r="38" spans="2:39" x14ac:dyDescent="0.2">
      <c r="B38" s="12" t="s">
        <v>998</v>
      </c>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v>1.6</v>
      </c>
      <c r="AE38" s="32">
        <v>2.2000000000000002</v>
      </c>
      <c r="AF38" s="32"/>
      <c r="AG38" s="32"/>
      <c r="AH38" s="32"/>
      <c r="AI38" s="32"/>
      <c r="AJ38" s="32"/>
      <c r="AK38" s="32"/>
      <c r="AL38" s="32"/>
      <c r="AM38" s="32"/>
    </row>
    <row r="39" spans="2:39" x14ac:dyDescent="0.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row>
    <row r="40" spans="2:39" x14ac:dyDescent="0.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row>
    <row r="41" spans="2:39" x14ac:dyDescent="0.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row>
    <row r="42" spans="2:39" x14ac:dyDescent="0.2">
      <c r="AD42" s="26">
        <f>SUM(AD43:AD45)/SUM(Z43:Z45)-1</f>
        <v>0.10051282051282051</v>
      </c>
      <c r="AE42" s="26"/>
      <c r="AF42" s="26"/>
      <c r="AG42" s="26"/>
      <c r="AH42" s="26"/>
      <c r="AI42" s="26"/>
      <c r="AJ42" s="26"/>
      <c r="AK42" s="26"/>
      <c r="AL42" s="26"/>
      <c r="AM42" s="26"/>
    </row>
    <row r="43" spans="2:39" x14ac:dyDescent="0.2">
      <c r="B43" s="12" t="s">
        <v>130</v>
      </c>
      <c r="C43" s="32"/>
      <c r="D43" s="32"/>
      <c r="E43" s="32"/>
      <c r="F43" s="32"/>
      <c r="G43" s="32"/>
      <c r="H43" s="32"/>
      <c r="I43" s="32"/>
      <c r="J43" s="32"/>
      <c r="K43" s="32"/>
      <c r="L43" s="32"/>
      <c r="M43" s="32"/>
      <c r="N43" s="32"/>
      <c r="O43" s="32"/>
      <c r="P43" s="32">
        <v>37.4</v>
      </c>
      <c r="Q43" s="32">
        <v>48.6</v>
      </c>
      <c r="R43" s="32">
        <v>42.3</v>
      </c>
      <c r="S43" s="32">
        <v>45.5</v>
      </c>
      <c r="T43" s="32">
        <v>59.3</v>
      </c>
      <c r="U43" s="32">
        <v>77.7</v>
      </c>
      <c r="V43" s="32">
        <v>62.5</v>
      </c>
      <c r="W43" s="32">
        <v>59.4</v>
      </c>
      <c r="X43" s="32">
        <v>63.2</v>
      </c>
      <c r="Y43" s="32">
        <v>80.400000000000006</v>
      </c>
      <c r="Z43" s="32">
        <v>61.3</v>
      </c>
      <c r="AA43" s="32">
        <v>59.7</v>
      </c>
      <c r="AB43" s="32">
        <v>66.5</v>
      </c>
      <c r="AC43" s="32">
        <f>147.2-AB43</f>
        <v>80.699999999999989</v>
      </c>
      <c r="AD43" s="32">
        <v>65.2</v>
      </c>
      <c r="AE43" s="32">
        <v>64.2</v>
      </c>
      <c r="AF43" s="32"/>
      <c r="AG43" s="32"/>
      <c r="AH43" s="32"/>
      <c r="AI43" s="32"/>
      <c r="AJ43" s="32"/>
      <c r="AK43" s="32"/>
      <c r="AL43" s="32"/>
      <c r="AM43" s="32"/>
    </row>
    <row r="44" spans="2:39" x14ac:dyDescent="0.2">
      <c r="B44" s="12" t="s">
        <v>131</v>
      </c>
      <c r="C44" s="32"/>
      <c r="D44" s="32"/>
      <c r="E44" s="32"/>
      <c r="F44" s="32"/>
      <c r="G44" s="32"/>
      <c r="H44" s="32"/>
      <c r="I44" s="32"/>
      <c r="J44" s="32"/>
      <c r="K44" s="32"/>
      <c r="L44" s="32"/>
      <c r="M44" s="32"/>
      <c r="N44" s="32"/>
      <c r="O44" s="32"/>
      <c r="P44" s="32">
        <v>20.100000000000001</v>
      </c>
      <c r="Q44" s="32">
        <v>24.8</v>
      </c>
      <c r="R44" s="32">
        <v>20.9</v>
      </c>
      <c r="S44" s="32">
        <v>25.1</v>
      </c>
      <c r="T44" s="32">
        <v>37.299999999999997</v>
      </c>
      <c r="U44" s="32">
        <v>35.4</v>
      </c>
      <c r="V44" s="32">
        <v>32.6</v>
      </c>
      <c r="W44" s="32">
        <v>32.700000000000003</v>
      </c>
      <c r="X44" s="32">
        <v>36.5</v>
      </c>
      <c r="Y44" s="32">
        <v>33.6</v>
      </c>
      <c r="Z44" s="32">
        <v>27</v>
      </c>
      <c r="AA44" s="32">
        <v>32.4</v>
      </c>
      <c r="AB44" s="32">
        <v>35.6</v>
      </c>
      <c r="AC44" s="32">
        <f>71-AB44</f>
        <v>35.4</v>
      </c>
      <c r="AD44" s="32">
        <v>33</v>
      </c>
      <c r="AE44" s="32">
        <v>40.299999999999997</v>
      </c>
      <c r="AF44" s="32"/>
      <c r="AG44" s="32"/>
      <c r="AH44" s="32"/>
      <c r="AI44" s="32"/>
      <c r="AJ44" s="32"/>
      <c r="AK44" s="32"/>
      <c r="AL44" s="32"/>
      <c r="AM44" s="32"/>
    </row>
    <row r="45" spans="2:39" x14ac:dyDescent="0.2">
      <c r="B45" s="12" t="s">
        <v>132</v>
      </c>
      <c r="C45" s="32"/>
      <c r="D45" s="32"/>
      <c r="E45" s="32"/>
      <c r="F45" s="32"/>
      <c r="G45" s="32"/>
      <c r="H45" s="32"/>
      <c r="I45" s="32"/>
      <c r="J45" s="32"/>
      <c r="K45" s="32"/>
      <c r="L45" s="32"/>
      <c r="M45" s="32"/>
      <c r="N45" s="32"/>
      <c r="O45" s="32"/>
      <c r="P45" s="32">
        <v>7.1</v>
      </c>
      <c r="Q45" s="32">
        <v>8</v>
      </c>
      <c r="R45" s="32">
        <v>7.9</v>
      </c>
      <c r="S45" s="32">
        <v>9.1</v>
      </c>
      <c r="T45" s="32">
        <v>12</v>
      </c>
      <c r="U45" s="32">
        <v>12.4</v>
      </c>
      <c r="V45" s="32">
        <v>10.8</v>
      </c>
      <c r="W45" s="32">
        <v>11.1</v>
      </c>
      <c r="X45" s="32">
        <v>13</v>
      </c>
      <c r="Y45" s="32">
        <v>11.5</v>
      </c>
      <c r="Z45" s="32">
        <v>9.1999999999999993</v>
      </c>
      <c r="AA45" s="32">
        <v>10.1</v>
      </c>
      <c r="AB45" s="32">
        <v>10.9</v>
      </c>
      <c r="AC45" s="32">
        <f>22.4-AB45</f>
        <v>11.499999999999998</v>
      </c>
      <c r="AD45" s="32">
        <v>9.1</v>
      </c>
      <c r="AE45" s="32">
        <v>11.5</v>
      </c>
      <c r="AF45" s="32"/>
      <c r="AG45" s="32"/>
      <c r="AH45" s="32"/>
      <c r="AI45" s="32"/>
      <c r="AJ45" s="32"/>
      <c r="AK45" s="32"/>
      <c r="AL45" s="32"/>
      <c r="AM45" s="32"/>
    </row>
    <row r="46" spans="2:39" x14ac:dyDescent="0.2">
      <c r="B46" s="12" t="s">
        <v>133</v>
      </c>
      <c r="C46" s="32"/>
      <c r="D46" s="32"/>
      <c r="E46" s="32"/>
      <c r="F46" s="32"/>
      <c r="G46" s="32"/>
      <c r="H46" s="32"/>
      <c r="I46" s="32"/>
      <c r="J46" s="32"/>
      <c r="K46" s="32"/>
      <c r="L46" s="32"/>
      <c r="M46" s="32"/>
      <c r="N46" s="32"/>
      <c r="O46" s="32"/>
      <c r="P46" s="32">
        <v>10.6</v>
      </c>
      <c r="Q46" s="32">
        <v>8.1</v>
      </c>
      <c r="R46" s="32">
        <v>12.4</v>
      </c>
      <c r="S46" s="32">
        <v>16.8</v>
      </c>
      <c r="T46" s="32">
        <v>17.3</v>
      </c>
      <c r="U46" s="32">
        <v>13.1</v>
      </c>
      <c r="V46" s="32">
        <v>14.8</v>
      </c>
      <c r="W46" s="32">
        <v>23.5</v>
      </c>
      <c r="X46" s="32">
        <v>20.100000000000001</v>
      </c>
      <c r="Y46" s="32">
        <v>20.8</v>
      </c>
      <c r="Z46" s="32">
        <v>21.6</v>
      </c>
      <c r="AA46" s="32">
        <v>29.5</v>
      </c>
      <c r="AB46" s="32">
        <v>30.9</v>
      </c>
      <c r="AC46" s="32">
        <f>58.1-AB46</f>
        <v>27.200000000000003</v>
      </c>
      <c r="AD46" s="32">
        <v>32.299999999999997</v>
      </c>
      <c r="AE46" s="32">
        <v>37.5</v>
      </c>
      <c r="AF46" s="32"/>
      <c r="AG46" s="32"/>
      <c r="AH46" s="32"/>
      <c r="AI46" s="32"/>
      <c r="AJ46" s="32"/>
      <c r="AK46" s="32"/>
      <c r="AL46" s="32"/>
      <c r="AM46" s="32"/>
    </row>
    <row r="48" spans="2:39" x14ac:dyDescent="0.2">
      <c r="B48" s="12" t="s">
        <v>134</v>
      </c>
      <c r="C48" s="32"/>
      <c r="D48" s="32"/>
      <c r="E48" s="32"/>
      <c r="F48" s="32"/>
      <c r="G48" s="32"/>
      <c r="H48" s="32"/>
      <c r="I48" s="32"/>
      <c r="J48" s="32"/>
      <c r="K48" s="32"/>
      <c r="L48" s="32"/>
      <c r="M48" s="32"/>
      <c r="N48" s="32"/>
      <c r="O48" s="32"/>
      <c r="P48" s="32">
        <v>38.299999999999997</v>
      </c>
      <c r="Q48" s="32">
        <v>46.4</v>
      </c>
      <c r="R48" s="32">
        <v>45.4</v>
      </c>
      <c r="S48" s="32">
        <v>52.2</v>
      </c>
      <c r="T48" s="32">
        <v>70.599999999999994</v>
      </c>
      <c r="U48" s="32">
        <v>77.5</v>
      </c>
      <c r="V48" s="32">
        <v>65.400000000000006</v>
      </c>
      <c r="W48" s="32">
        <v>68.099999999999994</v>
      </c>
      <c r="X48" s="32">
        <v>73.7</v>
      </c>
      <c r="Y48" s="32">
        <v>84</v>
      </c>
      <c r="Z48" s="32">
        <v>66.2</v>
      </c>
      <c r="AA48" s="32">
        <v>73.2</v>
      </c>
      <c r="AB48" s="32">
        <v>83.6</v>
      </c>
      <c r="AC48" s="32">
        <f>170.3-AB48</f>
        <v>86.700000000000017</v>
      </c>
      <c r="AD48" s="32">
        <v>77</v>
      </c>
      <c r="AE48" s="32">
        <v>91.5</v>
      </c>
      <c r="AF48" s="32"/>
      <c r="AG48" s="32"/>
      <c r="AH48" s="32"/>
      <c r="AI48" s="32"/>
      <c r="AJ48" s="32"/>
      <c r="AK48" s="32"/>
      <c r="AL48" s="32"/>
      <c r="AM48" s="32"/>
    </row>
    <row r="49" spans="2:39" x14ac:dyDescent="0.2">
      <c r="B49" s="12" t="s">
        <v>135</v>
      </c>
      <c r="C49" s="32"/>
      <c r="D49" s="32"/>
      <c r="E49" s="32"/>
      <c r="F49" s="32"/>
      <c r="G49" s="32"/>
      <c r="H49" s="32"/>
      <c r="I49" s="32"/>
      <c r="J49" s="32"/>
      <c r="K49" s="32"/>
      <c r="L49" s="32"/>
      <c r="M49" s="32"/>
      <c r="N49" s="32"/>
      <c r="O49" s="32"/>
      <c r="P49" s="32">
        <v>26.3</v>
      </c>
      <c r="Q49" s="32">
        <v>33</v>
      </c>
      <c r="R49" s="32">
        <v>27.3</v>
      </c>
      <c r="S49" s="32">
        <v>31.7</v>
      </c>
      <c r="T49" s="32">
        <v>39.5</v>
      </c>
      <c r="U49" s="32">
        <v>44.1</v>
      </c>
      <c r="V49" s="32">
        <v>41.2</v>
      </c>
      <c r="W49" s="32">
        <v>41.3</v>
      </c>
      <c r="X49" s="32">
        <v>40.9</v>
      </c>
      <c r="Y49" s="32">
        <v>44.3</v>
      </c>
      <c r="Z49" s="32">
        <v>36.5</v>
      </c>
      <c r="AA49" s="32">
        <v>38.9</v>
      </c>
      <c r="AB49" s="32">
        <v>41.1</v>
      </c>
      <c r="AC49" s="32">
        <f>88.4-AB49</f>
        <v>47.300000000000004</v>
      </c>
      <c r="AD49" s="32">
        <v>46.7</v>
      </c>
      <c r="AE49" s="32">
        <v>41.7</v>
      </c>
      <c r="AF49" s="32"/>
      <c r="AG49" s="32"/>
      <c r="AH49" s="32"/>
      <c r="AI49" s="32"/>
      <c r="AJ49" s="32"/>
      <c r="AK49" s="32"/>
      <c r="AL49" s="32"/>
      <c r="AM49" s="32"/>
    </row>
    <row r="50" spans="2:39" x14ac:dyDescent="0.2">
      <c r="B50" s="12" t="s">
        <v>136</v>
      </c>
      <c r="C50" s="32"/>
      <c r="D50" s="32"/>
      <c r="E50" s="32"/>
      <c r="F50" s="32"/>
      <c r="G50" s="32"/>
      <c r="H50" s="32"/>
      <c r="I50" s="32"/>
      <c r="J50" s="32"/>
      <c r="K50" s="32"/>
      <c r="L50" s="32"/>
      <c r="M50" s="32"/>
      <c r="N50" s="32"/>
      <c r="O50" s="32"/>
      <c r="P50" s="32">
        <v>8.1</v>
      </c>
      <c r="Q50" s="32">
        <v>7.2</v>
      </c>
      <c r="R50" s="32">
        <v>6.5</v>
      </c>
      <c r="S50" s="32">
        <v>8.8000000000000007</v>
      </c>
      <c r="T50" s="32">
        <v>12.9</v>
      </c>
      <c r="U50" s="32">
        <v>14.4</v>
      </c>
      <c r="V50" s="32">
        <v>11.8</v>
      </c>
      <c r="W50" s="32">
        <v>14.8</v>
      </c>
      <c r="X50" s="32">
        <v>16.399999999999999</v>
      </c>
      <c r="Y50" s="32">
        <v>15.8</v>
      </c>
      <c r="Z50" s="32">
        <v>14.5</v>
      </c>
      <c r="AA50" s="32">
        <v>17.3</v>
      </c>
      <c r="AB50" s="32">
        <v>16.8</v>
      </c>
      <c r="AC50" s="32">
        <f>34.7-AB50</f>
        <v>17.900000000000002</v>
      </c>
      <c r="AD50" s="32">
        <v>13.6</v>
      </c>
      <c r="AE50" s="32">
        <v>17.399999999999999</v>
      </c>
      <c r="AF50" s="32"/>
      <c r="AG50" s="32"/>
      <c r="AH50" s="32"/>
      <c r="AI50" s="32"/>
      <c r="AJ50" s="32"/>
      <c r="AK50" s="32"/>
      <c r="AL50" s="32"/>
      <c r="AM50" s="32"/>
    </row>
    <row r="51" spans="2:39" x14ac:dyDescent="0.2">
      <c r="B51" s="12" t="s">
        <v>137</v>
      </c>
      <c r="C51" s="32"/>
      <c r="D51" s="32"/>
      <c r="E51" s="32"/>
      <c r="F51" s="32"/>
      <c r="G51" s="32"/>
      <c r="H51" s="32"/>
      <c r="I51" s="32"/>
      <c r="J51" s="32"/>
      <c r="K51" s="32"/>
      <c r="L51" s="32"/>
      <c r="M51" s="32"/>
      <c r="N51" s="32"/>
      <c r="O51" s="32"/>
      <c r="P51" s="32">
        <v>2.5</v>
      </c>
      <c r="Q51" s="32">
        <v>2.9</v>
      </c>
      <c r="R51" s="32">
        <v>4.3</v>
      </c>
      <c r="S51" s="32">
        <v>3.8</v>
      </c>
      <c r="T51" s="32">
        <v>2.9</v>
      </c>
      <c r="U51" s="32">
        <v>2.7</v>
      </c>
      <c r="V51" s="32">
        <v>2.2999999999999998</v>
      </c>
      <c r="W51" s="32">
        <v>2.4</v>
      </c>
      <c r="X51" s="32">
        <v>1.8</v>
      </c>
      <c r="Y51" s="32">
        <v>2.2000000000000002</v>
      </c>
      <c r="Z51" s="32">
        <v>2</v>
      </c>
      <c r="AA51" s="32">
        <v>2.2999999999999998</v>
      </c>
      <c r="AB51" s="32">
        <v>2.4</v>
      </c>
      <c r="AC51" s="32">
        <f>5.3-AB51</f>
        <v>2.9</v>
      </c>
      <c r="AD51" s="32">
        <v>2.2999999999999998</v>
      </c>
      <c r="AE51" s="32">
        <v>3</v>
      </c>
      <c r="AF51" s="32"/>
      <c r="AG51" s="32"/>
      <c r="AH51" s="32"/>
      <c r="AI51" s="32"/>
      <c r="AJ51" s="32"/>
      <c r="AK51" s="32"/>
      <c r="AL51" s="32"/>
      <c r="AM51" s="32"/>
    </row>
    <row r="53" spans="2:39" x14ac:dyDescent="0.2">
      <c r="B53" s="12" t="s">
        <v>138</v>
      </c>
    </row>
    <row r="54" spans="2:39" x14ac:dyDescent="0.2">
      <c r="B54" s="12" t="s">
        <v>139</v>
      </c>
      <c r="C54" s="24"/>
      <c r="D54" s="24"/>
      <c r="E54" s="24"/>
      <c r="F54" s="24"/>
      <c r="G54" s="24"/>
      <c r="H54" s="24"/>
      <c r="I54" s="24"/>
      <c r="J54" s="24"/>
      <c r="K54" s="24"/>
      <c r="L54" s="24"/>
      <c r="M54" s="24"/>
      <c r="N54" s="24"/>
      <c r="O54" s="24"/>
      <c r="P54" s="24">
        <v>136</v>
      </c>
      <c r="Q54" s="24">
        <v>170</v>
      </c>
      <c r="R54" s="24">
        <v>182</v>
      </c>
      <c r="S54" s="24">
        <v>214</v>
      </c>
      <c r="T54" s="24">
        <v>142</v>
      </c>
      <c r="U54" s="24">
        <v>195</v>
      </c>
      <c r="V54" s="24">
        <v>312</v>
      </c>
      <c r="W54" s="24">
        <v>366</v>
      </c>
      <c r="X54" s="24">
        <v>405</v>
      </c>
      <c r="Y54" s="24">
        <v>447</v>
      </c>
      <c r="Z54" s="24">
        <v>310</v>
      </c>
      <c r="AA54" s="24">
        <v>362</v>
      </c>
      <c r="AB54" s="24">
        <v>413</v>
      </c>
      <c r="AD54" s="24">
        <v>250</v>
      </c>
      <c r="AE54" s="24">
        <v>205</v>
      </c>
      <c r="AF54" s="24"/>
      <c r="AG54" s="24"/>
      <c r="AH54" s="24"/>
      <c r="AI54" s="24"/>
      <c r="AJ54" s="24"/>
      <c r="AK54" s="24"/>
      <c r="AL54" s="24"/>
      <c r="AM54" s="24"/>
    </row>
    <row r="55" spans="2:39" x14ac:dyDescent="0.2">
      <c r="B55" s="12" t="s">
        <v>140</v>
      </c>
      <c r="C55" s="24"/>
      <c r="D55" s="24"/>
      <c r="E55" s="24"/>
      <c r="F55" s="24"/>
      <c r="G55" s="24"/>
      <c r="H55" s="24"/>
      <c r="I55" s="24"/>
      <c r="J55" s="24"/>
      <c r="K55" s="24"/>
      <c r="L55" s="24"/>
      <c r="M55" s="24"/>
      <c r="N55" s="24"/>
      <c r="O55" s="24"/>
      <c r="P55" s="24">
        <v>963</v>
      </c>
      <c r="Q55" s="24">
        <v>1119</v>
      </c>
      <c r="R55" s="24">
        <v>1261</v>
      </c>
      <c r="S55" s="24">
        <v>1095</v>
      </c>
      <c r="T55" s="24">
        <v>1083</v>
      </c>
      <c r="U55" s="24">
        <v>1044</v>
      </c>
      <c r="V55" s="24">
        <v>1044</v>
      </c>
      <c r="W55" s="24">
        <v>1025</v>
      </c>
      <c r="X55" s="24">
        <v>995</v>
      </c>
      <c r="Y55" s="24">
        <v>884</v>
      </c>
      <c r="Z55" s="24"/>
      <c r="AA55" s="24">
        <v>826</v>
      </c>
      <c r="AB55" s="24">
        <v>828</v>
      </c>
      <c r="AD55" s="24">
        <v>908</v>
      </c>
      <c r="AE55" s="24">
        <v>898</v>
      </c>
      <c r="AF55" s="24"/>
      <c r="AG55" s="24"/>
      <c r="AH55" s="24"/>
      <c r="AI55" s="24"/>
      <c r="AJ55" s="24"/>
      <c r="AK55" s="24"/>
      <c r="AL55" s="24"/>
      <c r="AM55" s="24"/>
    </row>
    <row r="56" spans="2:39" x14ac:dyDescent="0.2">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D56" s="75">
        <f>AD54/Z54-1</f>
        <v>-0.19354838709677424</v>
      </c>
      <c r="AE56" s="75"/>
      <c r="AF56" s="75"/>
      <c r="AG56" s="75"/>
      <c r="AH56" s="75"/>
      <c r="AI56" s="75"/>
      <c r="AJ56" s="75"/>
      <c r="AK56" s="75"/>
      <c r="AL56" s="75"/>
      <c r="AM56" s="75"/>
    </row>
    <row r="57" spans="2:39" x14ac:dyDescent="0.2">
      <c r="AD57" s="75" t="e">
        <f>AD55/Z55-1</f>
        <v>#DIV/0!</v>
      </c>
      <c r="AE57" s="75"/>
      <c r="AF57" s="75"/>
      <c r="AG57" s="75"/>
      <c r="AH57" s="75"/>
      <c r="AI57" s="75"/>
      <c r="AJ57" s="75"/>
      <c r="AK57" s="75"/>
      <c r="AL57" s="75"/>
      <c r="AM57" s="75"/>
    </row>
    <row r="58" spans="2:39" x14ac:dyDescent="0.2">
      <c r="B58" s="54" t="s">
        <v>141</v>
      </c>
      <c r="C58" s="53">
        <f t="shared" ref="C58:AB58" si="15">C12-SUM(C43:C46)</f>
        <v>0</v>
      </c>
      <c r="D58" s="53">
        <f t="shared" si="15"/>
        <v>0</v>
      </c>
      <c r="E58" s="53">
        <f t="shared" si="15"/>
        <v>0</v>
      </c>
      <c r="F58" s="53">
        <f t="shared" si="15"/>
        <v>0</v>
      </c>
      <c r="G58" s="53">
        <f t="shared" si="15"/>
        <v>0</v>
      </c>
      <c r="H58" s="53">
        <f t="shared" si="15"/>
        <v>0</v>
      </c>
      <c r="I58" s="53">
        <f t="shared" si="15"/>
        <v>0</v>
      </c>
      <c r="J58" s="53">
        <f t="shared" si="15"/>
        <v>0</v>
      </c>
      <c r="K58" s="53">
        <f t="shared" si="15"/>
        <v>0</v>
      </c>
      <c r="L58" s="53">
        <f t="shared" si="15"/>
        <v>0</v>
      </c>
      <c r="M58" s="53">
        <f t="shared" si="15"/>
        <v>0</v>
      </c>
      <c r="N58" s="53">
        <f t="shared" si="15"/>
        <v>0</v>
      </c>
      <c r="O58" s="53">
        <f t="shared" si="15"/>
        <v>0</v>
      </c>
      <c r="P58" s="53">
        <f t="shared" si="15"/>
        <v>0</v>
      </c>
      <c r="Q58" s="53">
        <f t="shared" si="15"/>
        <v>0</v>
      </c>
      <c r="R58" s="53">
        <f t="shared" si="15"/>
        <v>0</v>
      </c>
      <c r="S58" s="53">
        <f t="shared" si="15"/>
        <v>0</v>
      </c>
      <c r="T58" s="53">
        <f t="shared" si="15"/>
        <v>0</v>
      </c>
      <c r="U58" s="53">
        <f t="shared" si="15"/>
        <v>0</v>
      </c>
      <c r="V58" s="53">
        <f t="shared" si="15"/>
        <v>0</v>
      </c>
      <c r="W58" s="53">
        <f t="shared" si="15"/>
        <v>0</v>
      </c>
      <c r="X58" s="53">
        <f t="shared" si="15"/>
        <v>0</v>
      </c>
      <c r="Y58" s="53">
        <f t="shared" si="15"/>
        <v>0</v>
      </c>
      <c r="Z58" s="53">
        <f t="shared" si="15"/>
        <v>0</v>
      </c>
      <c r="AA58" s="53">
        <f t="shared" si="15"/>
        <v>-9.9999999999994316E-2</v>
      </c>
      <c r="AB58" s="53">
        <f t="shared" si="15"/>
        <v>0</v>
      </c>
      <c r="AD58" s="53">
        <f>AD12-SUM(AD43:AD46)</f>
        <v>0</v>
      </c>
      <c r="AE58" s="53"/>
      <c r="AF58" s="53"/>
      <c r="AG58" s="53"/>
      <c r="AH58" s="53"/>
      <c r="AI58" s="53"/>
      <c r="AJ58" s="53"/>
      <c r="AK58" s="53"/>
      <c r="AL58" s="53"/>
      <c r="AM58" s="53"/>
    </row>
    <row r="59" spans="2:39" x14ac:dyDescent="0.2">
      <c r="B59" s="54" t="s">
        <v>141</v>
      </c>
      <c r="C59" s="53">
        <f t="shared" ref="C59:T59" si="16">C12-SUM(C48:C51)</f>
        <v>0</v>
      </c>
      <c r="D59" s="53">
        <f t="shared" si="16"/>
        <v>0</v>
      </c>
      <c r="E59" s="53">
        <f t="shared" si="16"/>
        <v>0</v>
      </c>
      <c r="F59" s="53">
        <f t="shared" si="16"/>
        <v>0</v>
      </c>
      <c r="G59" s="53">
        <f t="shared" si="16"/>
        <v>0</v>
      </c>
      <c r="H59" s="53">
        <f t="shared" si="16"/>
        <v>0</v>
      </c>
      <c r="I59" s="53">
        <f t="shared" si="16"/>
        <v>0</v>
      </c>
      <c r="J59" s="53">
        <f t="shared" si="16"/>
        <v>0</v>
      </c>
      <c r="K59" s="53">
        <f t="shared" si="16"/>
        <v>0</v>
      </c>
      <c r="L59" s="53">
        <f t="shared" si="16"/>
        <v>0</v>
      </c>
      <c r="M59" s="53">
        <f t="shared" si="16"/>
        <v>0</v>
      </c>
      <c r="N59" s="53">
        <f t="shared" si="16"/>
        <v>0</v>
      </c>
      <c r="O59" s="53">
        <f t="shared" si="16"/>
        <v>0</v>
      </c>
      <c r="P59" s="53">
        <f t="shared" si="16"/>
        <v>0</v>
      </c>
      <c r="Q59" s="53">
        <f t="shared" si="16"/>
        <v>0</v>
      </c>
      <c r="R59" s="53">
        <f t="shared" si="16"/>
        <v>0</v>
      </c>
      <c r="S59" s="53">
        <f t="shared" si="16"/>
        <v>0</v>
      </c>
      <c r="T59" s="53">
        <f t="shared" si="16"/>
        <v>0</v>
      </c>
      <c r="U59" s="53">
        <f>U12-SUM(U43:U46)</f>
        <v>0</v>
      </c>
      <c r="V59" s="53">
        <f t="shared" ref="V59:AB59" si="17">V12-SUM(V48:V51)</f>
        <v>0</v>
      </c>
      <c r="W59" s="53">
        <f t="shared" si="17"/>
        <v>0.10000000000000853</v>
      </c>
      <c r="X59" s="53">
        <f t="shared" si="17"/>
        <v>0</v>
      </c>
      <c r="Y59" s="53">
        <f t="shared" si="17"/>
        <v>0</v>
      </c>
      <c r="Z59" s="53">
        <f t="shared" si="17"/>
        <v>-0.10000000000000853</v>
      </c>
      <c r="AA59" s="53">
        <f t="shared" si="17"/>
        <v>-0.10000000000002274</v>
      </c>
      <c r="AB59" s="53">
        <f t="shared" si="17"/>
        <v>0</v>
      </c>
      <c r="AD59" s="53">
        <f>AD12-SUM(AD48:AD51)</f>
        <v>0</v>
      </c>
      <c r="AE59" s="53"/>
      <c r="AF59" s="53"/>
      <c r="AG59" s="53"/>
      <c r="AH59" s="53"/>
      <c r="AI59" s="53"/>
      <c r="AJ59" s="53"/>
      <c r="AK59" s="53"/>
      <c r="AL59" s="53"/>
      <c r="AM59" s="53"/>
    </row>
    <row r="61" spans="2:39" x14ac:dyDescent="0.2">
      <c r="B61" s="12" t="s">
        <v>142</v>
      </c>
    </row>
    <row r="62" spans="2:39" x14ac:dyDescent="0.2">
      <c r="B62" s="12" t="s">
        <v>134</v>
      </c>
      <c r="C62" s="55"/>
      <c r="D62" s="55"/>
      <c r="E62" s="55"/>
      <c r="F62" s="55"/>
      <c r="G62" s="55"/>
      <c r="H62" s="55"/>
      <c r="I62" s="55"/>
      <c r="J62" s="55"/>
      <c r="K62" s="55"/>
      <c r="L62" s="55"/>
      <c r="M62" s="55"/>
      <c r="N62" s="55"/>
      <c r="O62" s="55"/>
      <c r="P62" s="55">
        <v>0.11600000000000001</v>
      </c>
      <c r="Q62" s="55">
        <v>0.112</v>
      </c>
      <c r="R62" s="55">
        <v>0.12</v>
      </c>
      <c r="S62" s="55">
        <v>0.11600000000000001</v>
      </c>
      <c r="T62" s="55">
        <v>0.128</v>
      </c>
      <c r="U62" s="55">
        <v>0.106</v>
      </c>
      <c r="V62" s="55">
        <v>0.124</v>
      </c>
      <c r="W62" s="55">
        <v>0.125</v>
      </c>
      <c r="X62" s="55">
        <v>0.113</v>
      </c>
      <c r="Y62" s="55">
        <v>0.10100000000000001</v>
      </c>
      <c r="Z62" s="55">
        <v>0.111</v>
      </c>
      <c r="AA62" s="55">
        <v>0.108</v>
      </c>
      <c r="AB62" s="55">
        <v>0.105</v>
      </c>
      <c r="AD62" s="55">
        <v>0.127</v>
      </c>
      <c r="AE62" s="55"/>
      <c r="AF62" s="55"/>
      <c r="AG62" s="55"/>
      <c r="AH62" s="55"/>
      <c r="AI62" s="55"/>
      <c r="AJ62" s="55"/>
      <c r="AK62" s="55"/>
      <c r="AL62" s="55"/>
      <c r="AM62" s="55"/>
    </row>
    <row r="63" spans="2:39" x14ac:dyDescent="0.2">
      <c r="B63" s="12" t="s">
        <v>135</v>
      </c>
      <c r="C63" s="55"/>
      <c r="D63" s="55"/>
      <c r="E63" s="55"/>
      <c r="F63" s="55"/>
      <c r="G63" s="55"/>
      <c r="H63" s="55"/>
      <c r="I63" s="55"/>
      <c r="J63" s="55"/>
      <c r="K63" s="55"/>
      <c r="L63" s="55"/>
      <c r="M63" s="55"/>
      <c r="N63" s="55"/>
      <c r="O63" s="55"/>
      <c r="P63" s="55">
        <v>8.4000000000000005E-2</v>
      </c>
      <c r="Q63" s="55">
        <v>8.6999999999999994E-2</v>
      </c>
      <c r="R63" s="55">
        <v>7.9000000000000001E-2</v>
      </c>
      <c r="S63" s="55">
        <v>8.1000000000000003E-2</v>
      </c>
      <c r="T63" s="55">
        <v>9.8000000000000004E-2</v>
      </c>
      <c r="U63" s="55">
        <v>8.5999999999999993E-2</v>
      </c>
      <c r="V63" s="55">
        <v>8.6999999999999994E-2</v>
      </c>
      <c r="W63" s="55">
        <v>7.5999999999999998E-2</v>
      </c>
      <c r="X63" s="55">
        <v>8.2000000000000003E-2</v>
      </c>
      <c r="Y63" s="55">
        <v>7.0000000000000007E-2</v>
      </c>
      <c r="Z63" s="55">
        <v>8.4000000000000005E-2</v>
      </c>
      <c r="AA63" s="55">
        <v>7.4999999999999997E-2</v>
      </c>
      <c r="AB63" s="55">
        <v>0.08</v>
      </c>
      <c r="AD63" s="55">
        <v>7.8E-2</v>
      </c>
      <c r="AE63" s="55"/>
      <c r="AF63" s="55"/>
      <c r="AG63" s="55"/>
      <c r="AH63" s="55"/>
      <c r="AI63" s="55"/>
      <c r="AJ63" s="55"/>
      <c r="AK63" s="55"/>
      <c r="AL63" s="55"/>
      <c r="AM63" s="55"/>
    </row>
    <row r="64" spans="2:39" x14ac:dyDescent="0.2">
      <c r="B64" s="12" t="s">
        <v>136</v>
      </c>
      <c r="C64" s="55"/>
      <c r="D64" s="55"/>
      <c r="E64" s="55"/>
      <c r="F64" s="55"/>
      <c r="G64" s="55"/>
      <c r="H64" s="55"/>
      <c r="I64" s="55"/>
      <c r="J64" s="55"/>
      <c r="K64" s="55"/>
      <c r="L64" s="55"/>
      <c r="M64" s="55"/>
      <c r="N64" s="55"/>
      <c r="O64" s="55"/>
      <c r="P64" s="55">
        <v>0.11600000000000001</v>
      </c>
      <c r="Q64" s="55">
        <v>0.112</v>
      </c>
      <c r="R64" s="55">
        <v>0.10199999999999999</v>
      </c>
      <c r="S64" s="55">
        <v>0.128</v>
      </c>
      <c r="T64" s="55">
        <v>0.123</v>
      </c>
      <c r="U64" s="55">
        <v>0.115</v>
      </c>
      <c r="V64" s="55">
        <v>0.11899999999999999</v>
      </c>
      <c r="W64" s="55">
        <v>0.13100000000000001</v>
      </c>
      <c r="X64" s="55">
        <v>0.106</v>
      </c>
      <c r="Y64" s="55">
        <v>0.11700000000000001</v>
      </c>
      <c r="Z64" s="55">
        <v>0.121</v>
      </c>
      <c r="AA64" s="55">
        <v>0.104</v>
      </c>
      <c r="AB64" s="55">
        <v>0.11899999999999999</v>
      </c>
      <c r="AD64" s="55">
        <v>0.129</v>
      </c>
      <c r="AE64" s="55"/>
      <c r="AF64" s="55"/>
      <c r="AG64" s="55"/>
      <c r="AH64" s="55"/>
      <c r="AI64" s="55"/>
      <c r="AJ64" s="55"/>
      <c r="AK64" s="55"/>
      <c r="AL64" s="55"/>
      <c r="AM64" s="55"/>
    </row>
    <row r="65" spans="2:39" x14ac:dyDescent="0.2">
      <c r="B65" s="12" t="s">
        <v>137</v>
      </c>
      <c r="C65" s="55"/>
      <c r="D65" s="55"/>
      <c r="E65" s="55"/>
      <c r="F65" s="55"/>
      <c r="G65" s="55"/>
      <c r="H65" s="55"/>
      <c r="I65" s="55"/>
      <c r="J65" s="55"/>
      <c r="K65" s="55"/>
      <c r="L65" s="55"/>
      <c r="M65" s="55"/>
      <c r="N65" s="55"/>
      <c r="O65" s="55"/>
      <c r="P65" s="55">
        <v>3.5999999999999997E-2</v>
      </c>
      <c r="Q65" s="55">
        <v>7.6999999999999999E-2</v>
      </c>
      <c r="R65" s="55">
        <v>6.2E-2</v>
      </c>
      <c r="S65" s="55">
        <v>8.2000000000000003E-2</v>
      </c>
      <c r="T65" s="55">
        <v>9.7000000000000003E-2</v>
      </c>
      <c r="U65" s="55">
        <v>-3.0000000000000001E-3</v>
      </c>
      <c r="V65" s="55">
        <v>5.2999999999999999E-2</v>
      </c>
      <c r="W65" s="55">
        <v>0.154</v>
      </c>
      <c r="X65" s="55">
        <v>5.7000000000000002E-2</v>
      </c>
      <c r="Y65" s="55">
        <v>-5.0000000000000001E-3</v>
      </c>
      <c r="Z65" s="55">
        <v>0.112</v>
      </c>
      <c r="AA65" s="55">
        <v>0.151</v>
      </c>
      <c r="AB65" s="55">
        <v>9.1999999999999998E-2</v>
      </c>
      <c r="AD65" s="55">
        <v>5.7000000000000002E-2</v>
      </c>
      <c r="AE65" s="32"/>
      <c r="AF65" s="32"/>
      <c r="AG65" s="32"/>
      <c r="AH65" s="32"/>
      <c r="AI65" s="32"/>
      <c r="AJ65" s="32"/>
      <c r="AK65" s="32"/>
      <c r="AL65" s="32"/>
      <c r="AM65" s="32"/>
    </row>
    <row r="67" spans="2:39" x14ac:dyDescent="0.2">
      <c r="B67" s="12" t="s">
        <v>130</v>
      </c>
      <c r="Z67" s="26"/>
      <c r="AA67" s="26">
        <f t="shared" ref="AA67:AC70" si="18">AA43/W43-1</f>
        <v>5.050505050505194E-3</v>
      </c>
      <c r="AB67" s="26">
        <f t="shared" si="18"/>
        <v>5.2215189873417778E-2</v>
      </c>
      <c r="AC67" s="26">
        <f t="shared" si="18"/>
        <v>3.7313432835819338E-3</v>
      </c>
      <c r="AD67" s="26">
        <f>AD43/Z43-1</f>
        <v>6.3621533442088207E-2</v>
      </c>
      <c r="AE67" s="26"/>
      <c r="AF67" s="26"/>
    </row>
    <row r="68" spans="2:39" x14ac:dyDescent="0.2">
      <c r="B68" s="12" t="s">
        <v>131</v>
      </c>
      <c r="Z68" s="26"/>
      <c r="AA68" s="26">
        <f t="shared" si="18"/>
        <v>-9.1743119266056716E-3</v>
      </c>
      <c r="AB68" s="26">
        <f t="shared" si="18"/>
        <v>-2.4657534246575352E-2</v>
      </c>
      <c r="AC68" s="26">
        <f t="shared" si="18"/>
        <v>5.3571428571428381E-2</v>
      </c>
      <c r="AD68" s="26">
        <f>AD44/Z44-1</f>
        <v>0.22222222222222232</v>
      </c>
      <c r="AE68" s="26"/>
      <c r="AF68" s="26"/>
    </row>
    <row r="69" spans="2:39" x14ac:dyDescent="0.2">
      <c r="B69" s="12" t="s">
        <v>132</v>
      </c>
      <c r="Z69" s="26"/>
      <c r="AA69" s="26">
        <f t="shared" si="18"/>
        <v>-9.0090090090090058E-2</v>
      </c>
      <c r="AB69" s="26">
        <f t="shared" si="18"/>
        <v>-0.16153846153846152</v>
      </c>
      <c r="AC69" s="26">
        <f t="shared" si="18"/>
        <v>0</v>
      </c>
      <c r="AD69" s="26">
        <f>AD45/Z45-1</f>
        <v>-1.0869565217391242E-2</v>
      </c>
      <c r="AE69" s="26"/>
      <c r="AF69" s="26"/>
    </row>
    <row r="70" spans="2:39" x14ac:dyDescent="0.2">
      <c r="B70" s="12" t="s">
        <v>133</v>
      </c>
      <c r="Z70" s="26"/>
      <c r="AA70" s="26">
        <f t="shared" si="18"/>
        <v>0.25531914893617014</v>
      </c>
      <c r="AB70" s="26">
        <f t="shared" si="18"/>
        <v>0.53731343283582067</v>
      </c>
      <c r="AC70" s="26">
        <f t="shared" si="18"/>
        <v>0.30769230769230771</v>
      </c>
      <c r="AD70" s="26">
        <f>AD46/Z46-1</f>
        <v>0.49537037037037024</v>
      </c>
      <c r="AE70" s="26"/>
      <c r="AF70" s="26"/>
    </row>
    <row r="72" spans="2:39" x14ac:dyDescent="0.2">
      <c r="B72" s="12" t="s">
        <v>130</v>
      </c>
      <c r="C72" s="26"/>
      <c r="D72" s="26"/>
      <c r="E72" s="26"/>
      <c r="F72" s="26"/>
      <c r="G72" s="26"/>
      <c r="H72" s="26"/>
      <c r="I72" s="26"/>
      <c r="J72" s="26"/>
      <c r="K72" s="26"/>
      <c r="L72" s="26"/>
      <c r="M72" s="26"/>
      <c r="N72" s="26"/>
      <c r="O72" s="26"/>
      <c r="P72" s="26">
        <f t="shared" ref="P72:AD75" si="19">P43/P$12</f>
        <v>0.49734042553191488</v>
      </c>
      <c r="Q72" s="26">
        <f t="shared" si="19"/>
        <v>0.5430167597765363</v>
      </c>
      <c r="R72" s="26">
        <f t="shared" si="19"/>
        <v>0.50658682634730534</v>
      </c>
      <c r="S72" s="26">
        <f t="shared" si="19"/>
        <v>0.47150259067357514</v>
      </c>
      <c r="T72" s="26">
        <f t="shared" si="19"/>
        <v>0.47100873709293084</v>
      </c>
      <c r="U72" s="26">
        <f t="shared" si="19"/>
        <v>0.56060606060606066</v>
      </c>
      <c r="V72" s="26">
        <f t="shared" si="19"/>
        <v>0.51781275890637946</v>
      </c>
      <c r="W72" s="26">
        <f t="shared" si="19"/>
        <v>0.46882399368587213</v>
      </c>
      <c r="X72" s="26">
        <f t="shared" si="19"/>
        <v>0.4759036144578313</v>
      </c>
      <c r="Y72" s="26">
        <f t="shared" si="19"/>
        <v>0.54955570745044424</v>
      </c>
      <c r="Z72" s="26">
        <f t="shared" si="19"/>
        <v>0.5146935348446684</v>
      </c>
      <c r="AA72" s="26">
        <f t="shared" si="19"/>
        <v>0.45364741641337392</v>
      </c>
      <c r="AB72" s="26">
        <f t="shared" si="19"/>
        <v>0.46212647671994439</v>
      </c>
      <c r="AC72" s="26">
        <f t="shared" si="19"/>
        <v>0.52131782945736427</v>
      </c>
      <c r="AD72" s="26">
        <f t="shared" si="19"/>
        <v>0.46704871060171926</v>
      </c>
      <c r="AE72" s="26">
        <f>AE43/AE$12</f>
        <v>0.41796875000000006</v>
      </c>
    </row>
    <row r="73" spans="2:39" x14ac:dyDescent="0.2">
      <c r="B73" s="12" t="s">
        <v>131</v>
      </c>
      <c r="C73" s="26"/>
      <c r="D73" s="26"/>
      <c r="E73" s="26"/>
      <c r="F73" s="26"/>
      <c r="G73" s="26"/>
      <c r="H73" s="26"/>
      <c r="I73" s="26"/>
      <c r="J73" s="26"/>
      <c r="K73" s="26"/>
      <c r="L73" s="26"/>
      <c r="M73" s="26"/>
      <c r="N73" s="26"/>
      <c r="O73" s="26"/>
      <c r="P73" s="26">
        <f t="shared" si="19"/>
        <v>0.26728723404255322</v>
      </c>
      <c r="Q73" s="26">
        <f t="shared" si="19"/>
        <v>0.27709497206703909</v>
      </c>
      <c r="R73" s="26">
        <f t="shared" si="19"/>
        <v>0.2502994011976048</v>
      </c>
      <c r="S73" s="26">
        <f t="shared" si="19"/>
        <v>0.26010362694300521</v>
      </c>
      <c r="T73" s="26">
        <f t="shared" si="19"/>
        <v>0.29626687847498012</v>
      </c>
      <c r="U73" s="26">
        <f t="shared" si="19"/>
        <v>0.25541125541125542</v>
      </c>
      <c r="V73" s="26">
        <f t="shared" si="19"/>
        <v>0.27009113504556753</v>
      </c>
      <c r="W73" s="26">
        <f t="shared" si="19"/>
        <v>0.25808997632202052</v>
      </c>
      <c r="X73" s="26">
        <f t="shared" si="19"/>
        <v>0.27484939759036142</v>
      </c>
      <c r="Y73" s="26">
        <f t="shared" si="19"/>
        <v>0.22966507177033493</v>
      </c>
      <c r="Z73" s="26">
        <f t="shared" si="19"/>
        <v>0.22670025188916879</v>
      </c>
      <c r="AA73" s="26">
        <f t="shared" si="19"/>
        <v>0.24620060790273557</v>
      </c>
      <c r="AB73" s="26">
        <f t="shared" si="19"/>
        <v>0.24739402362751911</v>
      </c>
      <c r="AC73" s="26">
        <f t="shared" si="19"/>
        <v>0.22868217054263562</v>
      </c>
      <c r="AD73" s="26">
        <f t="shared" si="19"/>
        <v>0.23638968481375358</v>
      </c>
      <c r="AE73" s="26">
        <f>AE44/AE$12</f>
        <v>0.26236979166666669</v>
      </c>
    </row>
    <row r="74" spans="2:39" x14ac:dyDescent="0.2">
      <c r="B74" s="12" t="s">
        <v>132</v>
      </c>
      <c r="C74" s="26"/>
      <c r="D74" s="26"/>
      <c r="E74" s="26"/>
      <c r="F74" s="26"/>
      <c r="G74" s="26"/>
      <c r="H74" s="26"/>
      <c r="I74" s="26"/>
      <c r="J74" s="26"/>
      <c r="K74" s="26"/>
      <c r="L74" s="26"/>
      <c r="M74" s="26"/>
      <c r="N74" s="26"/>
      <c r="O74" s="26"/>
      <c r="P74" s="26">
        <f t="shared" si="19"/>
        <v>9.4414893617021267E-2</v>
      </c>
      <c r="Q74" s="26">
        <f t="shared" si="19"/>
        <v>8.9385474860335198E-2</v>
      </c>
      <c r="R74" s="26">
        <f t="shared" si="19"/>
        <v>9.4610778443113774E-2</v>
      </c>
      <c r="S74" s="26">
        <f t="shared" si="19"/>
        <v>9.4300518134715017E-2</v>
      </c>
      <c r="T74" s="26">
        <f t="shared" si="19"/>
        <v>9.5313741064336766E-2</v>
      </c>
      <c r="U74" s="26">
        <f t="shared" si="19"/>
        <v>8.9466089466089471E-2</v>
      </c>
      <c r="V74" s="26">
        <f t="shared" si="19"/>
        <v>8.9478044739022378E-2</v>
      </c>
      <c r="W74" s="26">
        <f t="shared" si="19"/>
        <v>8.7608524072612465E-2</v>
      </c>
      <c r="X74" s="26">
        <f t="shared" si="19"/>
        <v>9.7891566265060237E-2</v>
      </c>
      <c r="Y74" s="26">
        <f t="shared" si="19"/>
        <v>7.8605604921394387E-2</v>
      </c>
      <c r="Z74" s="26">
        <f t="shared" si="19"/>
        <v>7.724601175482787E-2</v>
      </c>
      <c r="AA74" s="26">
        <f t="shared" si="19"/>
        <v>7.6747720364741645E-2</v>
      </c>
      <c r="AB74" s="26">
        <f t="shared" si="19"/>
        <v>7.5747046560111192E-2</v>
      </c>
      <c r="AC74" s="26">
        <f t="shared" si="19"/>
        <v>7.4289405684754506E-2</v>
      </c>
      <c r="AD74" s="26">
        <f t="shared" si="19"/>
        <v>6.5186246418338104E-2</v>
      </c>
      <c r="AE74" s="26">
        <f>AE45/AE$12</f>
        <v>7.4869791666666671E-2</v>
      </c>
    </row>
    <row r="75" spans="2:39" x14ac:dyDescent="0.2">
      <c r="B75" s="12" t="s">
        <v>133</v>
      </c>
      <c r="C75" s="26"/>
      <c r="D75" s="26"/>
      <c r="E75" s="26"/>
      <c r="F75" s="26"/>
      <c r="G75" s="26"/>
      <c r="H75" s="26"/>
      <c r="I75" s="26"/>
      <c r="J75" s="26"/>
      <c r="K75" s="26"/>
      <c r="L75" s="26"/>
      <c r="M75" s="26"/>
      <c r="N75" s="26"/>
      <c r="O75" s="26"/>
      <c r="P75" s="26">
        <f t="shared" si="19"/>
        <v>0.14095744680851063</v>
      </c>
      <c r="Q75" s="26">
        <f t="shared" si="19"/>
        <v>9.0502793296089387E-2</v>
      </c>
      <c r="R75" s="26">
        <f t="shared" si="19"/>
        <v>0.14850299401197606</v>
      </c>
      <c r="S75" s="26">
        <f t="shared" si="19"/>
        <v>0.17409326424870467</v>
      </c>
      <c r="T75" s="26">
        <f t="shared" si="19"/>
        <v>0.13741064336775219</v>
      </c>
      <c r="U75" s="26">
        <f t="shared" si="19"/>
        <v>9.4516594516594513E-2</v>
      </c>
      <c r="V75" s="26">
        <f t="shared" si="19"/>
        <v>0.12261806130903066</v>
      </c>
      <c r="W75" s="26">
        <f t="shared" si="19"/>
        <v>0.18547750591949486</v>
      </c>
      <c r="X75" s="26">
        <f t="shared" si="19"/>
        <v>0.15135542168674698</v>
      </c>
      <c r="Y75" s="26">
        <f t="shared" si="19"/>
        <v>0.14217361585782637</v>
      </c>
      <c r="Z75" s="26">
        <f t="shared" si="19"/>
        <v>0.18136020151133503</v>
      </c>
      <c r="AA75" s="26">
        <f t="shared" si="19"/>
        <v>0.22416413373860183</v>
      </c>
      <c r="AB75" s="26">
        <f t="shared" si="19"/>
        <v>0.21473245309242528</v>
      </c>
      <c r="AC75" s="26">
        <f t="shared" si="19"/>
        <v>0.17571059431524549</v>
      </c>
      <c r="AD75" s="26">
        <f t="shared" si="19"/>
        <v>0.23137535816618909</v>
      </c>
      <c r="AE75" s="26">
        <f>AE46/AE$12</f>
        <v>0.244140625</v>
      </c>
    </row>
  </sheetData>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05C6-C911-40F4-8D25-9D9425C527A0}">
  <sheetPr>
    <tabColor theme="3" tint="0.79998168889431442"/>
  </sheetPr>
  <dimension ref="B2:BG35"/>
  <sheetViews>
    <sheetView workbookViewId="0">
      <selection activeCell="AB46" sqref="AB46"/>
    </sheetView>
  </sheetViews>
  <sheetFormatPr defaultRowHeight="11.25" outlineLevelCol="1" x14ac:dyDescent="0.2"/>
  <cols>
    <col min="1" max="1" width="9.140625" style="12"/>
    <col min="2" max="2" width="22.28515625" style="12" bestFit="1" customWidth="1"/>
    <col min="3" max="23" width="7.7109375" style="12" hidden="1" customWidth="1" outlineLevel="1"/>
    <col min="24" max="24" width="7.7109375" style="12" customWidth="1" collapsed="1"/>
    <col min="25" max="31" width="7.7109375" style="12" customWidth="1"/>
    <col min="32" max="39" width="7.7109375" style="12" hidden="1" customWidth="1" outlineLevel="1"/>
    <col min="40" max="40" width="9.140625" style="12" collapsed="1"/>
    <col min="41" max="51" width="7.7109375" style="12" hidden="1" customWidth="1" outlineLevel="1"/>
    <col min="52" max="52" width="7.7109375" style="12" customWidth="1" collapsed="1"/>
    <col min="53" max="59" width="7.7109375" style="12" customWidth="1"/>
    <col min="60" max="16384" width="9.140625" style="12"/>
  </cols>
  <sheetData>
    <row r="2" spans="2:59" ht="15" x14ac:dyDescent="0.25">
      <c r="B2" s="161" t="s">
        <v>591</v>
      </c>
      <c r="C2" s="15"/>
      <c r="AO2" s="15"/>
    </row>
    <row r="3" spans="2:59" x14ac:dyDescent="0.2">
      <c r="C3" s="15" t="str">
        <f>IF(MONTH(C11)&gt;6,RIGHT(YEAR(C11),2)+1,RIGHT(YEAR(C11),2))</f>
        <v>17</v>
      </c>
      <c r="D3" s="15">
        <f t="shared" ref="D3:AM3" si="0">IF(MONTH(D11)&gt;6,RIGHT(YEAR(D11),2)+1,RIGHT(YEAR(D11),2))</f>
        <v>18</v>
      </c>
      <c r="E3" s="15">
        <f t="shared" si="0"/>
        <v>18</v>
      </c>
      <c r="F3" s="15" t="str">
        <f t="shared" si="0"/>
        <v>18</v>
      </c>
      <c r="G3" s="15" t="str">
        <f t="shared" si="0"/>
        <v>18</v>
      </c>
      <c r="H3" s="15">
        <f t="shared" si="0"/>
        <v>19</v>
      </c>
      <c r="I3" s="15">
        <f t="shared" si="0"/>
        <v>19</v>
      </c>
      <c r="J3" s="15" t="str">
        <f t="shared" si="0"/>
        <v>19</v>
      </c>
      <c r="K3" s="15" t="str">
        <f t="shared" si="0"/>
        <v>19</v>
      </c>
      <c r="L3" s="15">
        <f t="shared" si="0"/>
        <v>20</v>
      </c>
      <c r="M3" s="15">
        <f t="shared" si="0"/>
        <v>20</v>
      </c>
      <c r="N3" s="15" t="str">
        <f t="shared" si="0"/>
        <v>20</v>
      </c>
      <c r="O3" s="15" t="str">
        <f t="shared" si="0"/>
        <v>20</v>
      </c>
      <c r="P3" s="15">
        <f t="shared" si="0"/>
        <v>21</v>
      </c>
      <c r="Q3" s="15">
        <f t="shared" si="0"/>
        <v>21</v>
      </c>
      <c r="R3" s="15" t="str">
        <f t="shared" si="0"/>
        <v>21</v>
      </c>
      <c r="S3" s="15" t="str">
        <f t="shared" si="0"/>
        <v>21</v>
      </c>
      <c r="T3" s="15">
        <f t="shared" si="0"/>
        <v>22</v>
      </c>
      <c r="U3" s="15">
        <f t="shared" si="0"/>
        <v>22</v>
      </c>
      <c r="V3" s="15" t="str">
        <f t="shared" si="0"/>
        <v>22</v>
      </c>
      <c r="W3" s="15" t="str">
        <f t="shared" si="0"/>
        <v>22</v>
      </c>
      <c r="X3" s="15">
        <f t="shared" si="0"/>
        <v>23</v>
      </c>
      <c r="Y3" s="15">
        <f t="shared" si="0"/>
        <v>23</v>
      </c>
      <c r="Z3" s="15" t="str">
        <f t="shared" si="0"/>
        <v>23</v>
      </c>
      <c r="AA3" s="15" t="str">
        <f t="shared" si="0"/>
        <v>23</v>
      </c>
      <c r="AB3" s="15">
        <f t="shared" si="0"/>
        <v>24</v>
      </c>
      <c r="AC3" s="15">
        <f t="shared" si="0"/>
        <v>24</v>
      </c>
      <c r="AD3" s="15" t="str">
        <f t="shared" si="0"/>
        <v>24</v>
      </c>
      <c r="AE3" s="15" t="str">
        <f t="shared" si="0"/>
        <v>24</v>
      </c>
      <c r="AF3" s="15">
        <f t="shared" si="0"/>
        <v>25</v>
      </c>
      <c r="AG3" s="15">
        <f t="shared" si="0"/>
        <v>25</v>
      </c>
      <c r="AH3" s="15" t="str">
        <f t="shared" si="0"/>
        <v>25</v>
      </c>
      <c r="AI3" s="15" t="str">
        <f t="shared" si="0"/>
        <v>25</v>
      </c>
      <c r="AJ3" s="15">
        <f t="shared" si="0"/>
        <v>26</v>
      </c>
      <c r="AK3" s="15">
        <f t="shared" si="0"/>
        <v>26</v>
      </c>
      <c r="AL3" s="15" t="str">
        <f t="shared" si="0"/>
        <v>26</v>
      </c>
      <c r="AM3" s="15" t="str">
        <f t="shared" si="0"/>
        <v>26</v>
      </c>
      <c r="AO3" s="15" t="str">
        <f>IF(MONTH(AO11)&gt;6,RIGHT(YEAR(AO11),2)+1,RIGHT(YEAR(AO11),2))</f>
        <v>17</v>
      </c>
      <c r="AP3" s="15">
        <f t="shared" ref="AP3:BG3" si="1">IF(MONTH(AP11)&gt;6,RIGHT(YEAR(AP11),2)+1,RIGHT(YEAR(AP11),2))</f>
        <v>18</v>
      </c>
      <c r="AQ3" s="15" t="str">
        <f t="shared" si="1"/>
        <v>18</v>
      </c>
      <c r="AR3" s="15">
        <f t="shared" si="1"/>
        <v>19</v>
      </c>
      <c r="AS3" s="15" t="str">
        <f t="shared" si="1"/>
        <v>19</v>
      </c>
      <c r="AT3" s="15">
        <f t="shared" si="1"/>
        <v>20</v>
      </c>
      <c r="AU3" s="15" t="str">
        <f t="shared" si="1"/>
        <v>20</v>
      </c>
      <c r="AV3" s="15">
        <f t="shared" si="1"/>
        <v>21</v>
      </c>
      <c r="AW3" s="15" t="str">
        <f t="shared" si="1"/>
        <v>21</v>
      </c>
      <c r="AX3" s="15">
        <f t="shared" si="1"/>
        <v>22</v>
      </c>
      <c r="AY3" s="15" t="str">
        <f t="shared" si="1"/>
        <v>22</v>
      </c>
      <c r="AZ3" s="15">
        <f t="shared" si="1"/>
        <v>23</v>
      </c>
      <c r="BA3" s="15" t="str">
        <f t="shared" si="1"/>
        <v>23</v>
      </c>
      <c r="BB3" s="15">
        <f t="shared" si="1"/>
        <v>24</v>
      </c>
      <c r="BC3" s="15" t="str">
        <f t="shared" si="1"/>
        <v>24</v>
      </c>
      <c r="BD3" s="15">
        <f t="shared" si="1"/>
        <v>25</v>
      </c>
      <c r="BE3" s="15" t="str">
        <f t="shared" si="1"/>
        <v>25</v>
      </c>
      <c r="BF3" s="15">
        <f t="shared" si="1"/>
        <v>26</v>
      </c>
      <c r="BG3" s="15" t="str">
        <f t="shared" si="1"/>
        <v>26</v>
      </c>
    </row>
    <row r="4" spans="2:59" x14ac:dyDescent="0.2">
      <c r="C4" s="15" t="str">
        <f>RIGHT(YEAR(C$11),2)</f>
        <v>17</v>
      </c>
      <c r="D4" s="15" t="str">
        <f t="shared" ref="D4:AM4" si="2">RIGHT(YEAR(D$11),2)</f>
        <v>17</v>
      </c>
      <c r="E4" s="15" t="str">
        <f t="shared" si="2"/>
        <v>17</v>
      </c>
      <c r="F4" s="15" t="str">
        <f t="shared" si="2"/>
        <v>18</v>
      </c>
      <c r="G4" s="15" t="str">
        <f t="shared" si="2"/>
        <v>18</v>
      </c>
      <c r="H4" s="15" t="str">
        <f t="shared" si="2"/>
        <v>18</v>
      </c>
      <c r="I4" s="15" t="str">
        <f t="shared" si="2"/>
        <v>18</v>
      </c>
      <c r="J4" s="15" t="str">
        <f t="shared" si="2"/>
        <v>19</v>
      </c>
      <c r="K4" s="15" t="str">
        <f t="shared" si="2"/>
        <v>19</v>
      </c>
      <c r="L4" s="15" t="str">
        <f t="shared" si="2"/>
        <v>19</v>
      </c>
      <c r="M4" s="15" t="str">
        <f t="shared" si="2"/>
        <v>19</v>
      </c>
      <c r="N4" s="15" t="str">
        <f t="shared" si="2"/>
        <v>20</v>
      </c>
      <c r="O4" s="15" t="str">
        <f t="shared" si="2"/>
        <v>20</v>
      </c>
      <c r="P4" s="15" t="str">
        <f t="shared" si="2"/>
        <v>20</v>
      </c>
      <c r="Q4" s="15" t="str">
        <f t="shared" si="2"/>
        <v>20</v>
      </c>
      <c r="R4" s="15" t="str">
        <f t="shared" si="2"/>
        <v>21</v>
      </c>
      <c r="S4" s="15" t="str">
        <f t="shared" si="2"/>
        <v>21</v>
      </c>
      <c r="T4" s="15" t="str">
        <f t="shared" si="2"/>
        <v>21</v>
      </c>
      <c r="U4" s="15" t="str">
        <f t="shared" si="2"/>
        <v>21</v>
      </c>
      <c r="V4" s="15" t="str">
        <f t="shared" si="2"/>
        <v>22</v>
      </c>
      <c r="W4" s="15" t="str">
        <f t="shared" si="2"/>
        <v>22</v>
      </c>
      <c r="X4" s="15" t="str">
        <f t="shared" si="2"/>
        <v>22</v>
      </c>
      <c r="Y4" s="15" t="str">
        <f t="shared" si="2"/>
        <v>22</v>
      </c>
      <c r="Z4" s="15" t="str">
        <f t="shared" si="2"/>
        <v>23</v>
      </c>
      <c r="AA4" s="15" t="str">
        <f t="shared" si="2"/>
        <v>23</v>
      </c>
      <c r="AB4" s="15" t="str">
        <f t="shared" si="2"/>
        <v>23</v>
      </c>
      <c r="AC4" s="15" t="str">
        <f t="shared" si="2"/>
        <v>23</v>
      </c>
      <c r="AD4" s="15" t="str">
        <f t="shared" si="2"/>
        <v>24</v>
      </c>
      <c r="AE4" s="15" t="str">
        <f t="shared" si="2"/>
        <v>24</v>
      </c>
      <c r="AF4" s="15" t="str">
        <f t="shared" si="2"/>
        <v>24</v>
      </c>
      <c r="AG4" s="15" t="str">
        <f t="shared" si="2"/>
        <v>24</v>
      </c>
      <c r="AH4" s="15" t="str">
        <f t="shared" si="2"/>
        <v>25</v>
      </c>
      <c r="AI4" s="15" t="str">
        <f t="shared" si="2"/>
        <v>25</v>
      </c>
      <c r="AJ4" s="15" t="str">
        <f t="shared" si="2"/>
        <v>25</v>
      </c>
      <c r="AK4" s="15" t="str">
        <f t="shared" si="2"/>
        <v>25</v>
      </c>
      <c r="AL4" s="15" t="str">
        <f t="shared" si="2"/>
        <v>26</v>
      </c>
      <c r="AM4" s="15" t="str">
        <f t="shared" si="2"/>
        <v>26</v>
      </c>
      <c r="AO4" s="15" t="str">
        <f>RIGHT(YEAR(AO$11),2)</f>
        <v>17</v>
      </c>
      <c r="AP4" s="15" t="str">
        <f t="shared" ref="AP4:BG4" si="3">RIGHT(YEAR(AP$11),2)</f>
        <v>17</v>
      </c>
      <c r="AQ4" s="15" t="str">
        <f t="shared" si="3"/>
        <v>18</v>
      </c>
      <c r="AR4" s="15" t="str">
        <f t="shared" si="3"/>
        <v>18</v>
      </c>
      <c r="AS4" s="15" t="str">
        <f t="shared" si="3"/>
        <v>19</v>
      </c>
      <c r="AT4" s="15" t="str">
        <f t="shared" si="3"/>
        <v>19</v>
      </c>
      <c r="AU4" s="15" t="str">
        <f t="shared" si="3"/>
        <v>20</v>
      </c>
      <c r="AV4" s="15" t="str">
        <f t="shared" si="3"/>
        <v>20</v>
      </c>
      <c r="AW4" s="15" t="str">
        <f t="shared" si="3"/>
        <v>21</v>
      </c>
      <c r="AX4" s="15" t="str">
        <f t="shared" si="3"/>
        <v>21</v>
      </c>
      <c r="AY4" s="15" t="str">
        <f t="shared" si="3"/>
        <v>22</v>
      </c>
      <c r="AZ4" s="15" t="str">
        <f t="shared" si="3"/>
        <v>22</v>
      </c>
      <c r="BA4" s="15" t="str">
        <f t="shared" si="3"/>
        <v>23</v>
      </c>
      <c r="BB4" s="15" t="str">
        <f t="shared" si="3"/>
        <v>23</v>
      </c>
      <c r="BC4" s="15" t="str">
        <f t="shared" si="3"/>
        <v>24</v>
      </c>
      <c r="BD4" s="15" t="str">
        <f t="shared" si="3"/>
        <v>24</v>
      </c>
      <c r="BE4" s="15" t="str">
        <f t="shared" si="3"/>
        <v>25</v>
      </c>
      <c r="BF4" s="15" t="str">
        <f t="shared" si="3"/>
        <v>25</v>
      </c>
      <c r="BG4" s="15" t="str">
        <f t="shared" si="3"/>
        <v>26</v>
      </c>
    </row>
    <row r="5" spans="2:59" x14ac:dyDescent="0.2">
      <c r="C5" s="15" t="str">
        <f>"FY"&amp;TEXT(C$3,"00")</f>
        <v>FY17</v>
      </c>
      <c r="D5" s="15" t="str">
        <f t="shared" ref="D5:AM5" si="4">"FY"&amp;TEXT(D$3,"00")</f>
        <v>FY18</v>
      </c>
      <c r="E5" s="15" t="str">
        <f t="shared" si="4"/>
        <v>FY18</v>
      </c>
      <c r="F5" s="15" t="str">
        <f t="shared" si="4"/>
        <v>FY18</v>
      </c>
      <c r="G5" s="15" t="str">
        <f t="shared" si="4"/>
        <v>FY18</v>
      </c>
      <c r="H5" s="15" t="str">
        <f t="shared" si="4"/>
        <v>FY19</v>
      </c>
      <c r="I5" s="15" t="str">
        <f t="shared" si="4"/>
        <v>FY19</v>
      </c>
      <c r="J5" s="15" t="str">
        <f t="shared" si="4"/>
        <v>FY19</v>
      </c>
      <c r="K5" s="15" t="str">
        <f t="shared" si="4"/>
        <v>FY19</v>
      </c>
      <c r="L5" s="15" t="str">
        <f t="shared" si="4"/>
        <v>FY20</v>
      </c>
      <c r="M5" s="15" t="str">
        <f t="shared" si="4"/>
        <v>FY20</v>
      </c>
      <c r="N5" s="15" t="str">
        <f t="shared" si="4"/>
        <v>FY20</v>
      </c>
      <c r="O5" s="15" t="str">
        <f t="shared" si="4"/>
        <v>FY20</v>
      </c>
      <c r="P5" s="15" t="str">
        <f t="shared" si="4"/>
        <v>FY21</v>
      </c>
      <c r="Q5" s="15" t="str">
        <f t="shared" si="4"/>
        <v>FY21</v>
      </c>
      <c r="R5" s="15" t="str">
        <f t="shared" si="4"/>
        <v>FY21</v>
      </c>
      <c r="S5" s="15" t="str">
        <f t="shared" si="4"/>
        <v>FY21</v>
      </c>
      <c r="T5" s="15" t="str">
        <f t="shared" si="4"/>
        <v>FY22</v>
      </c>
      <c r="U5" s="15" t="str">
        <f t="shared" si="4"/>
        <v>FY22</v>
      </c>
      <c r="V5" s="15" t="str">
        <f t="shared" si="4"/>
        <v>FY22</v>
      </c>
      <c r="W5" s="15" t="str">
        <f t="shared" si="4"/>
        <v>FY22</v>
      </c>
      <c r="X5" s="15" t="str">
        <f t="shared" si="4"/>
        <v>FY23</v>
      </c>
      <c r="Y5" s="15" t="str">
        <f t="shared" si="4"/>
        <v>FY23</v>
      </c>
      <c r="Z5" s="15" t="str">
        <f t="shared" si="4"/>
        <v>FY23</v>
      </c>
      <c r="AA5" s="15" t="str">
        <f t="shared" si="4"/>
        <v>FY23</v>
      </c>
      <c r="AB5" s="15" t="str">
        <f t="shared" si="4"/>
        <v>FY24</v>
      </c>
      <c r="AC5" s="15" t="str">
        <f t="shared" si="4"/>
        <v>FY24</v>
      </c>
      <c r="AD5" s="15" t="str">
        <f t="shared" si="4"/>
        <v>FY24</v>
      </c>
      <c r="AE5" s="15" t="str">
        <f t="shared" si="4"/>
        <v>FY24</v>
      </c>
      <c r="AF5" s="15" t="str">
        <f t="shared" si="4"/>
        <v>FY25</v>
      </c>
      <c r="AG5" s="15" t="str">
        <f t="shared" si="4"/>
        <v>FY25</v>
      </c>
      <c r="AH5" s="15" t="str">
        <f t="shared" si="4"/>
        <v>FY25</v>
      </c>
      <c r="AI5" s="15" t="str">
        <f t="shared" si="4"/>
        <v>FY25</v>
      </c>
      <c r="AJ5" s="15" t="str">
        <f t="shared" si="4"/>
        <v>FY26</v>
      </c>
      <c r="AK5" s="15" t="str">
        <f t="shared" si="4"/>
        <v>FY26</v>
      </c>
      <c r="AL5" s="15" t="str">
        <f t="shared" si="4"/>
        <v>FY26</v>
      </c>
      <c r="AM5" s="15" t="str">
        <f t="shared" si="4"/>
        <v>FY26</v>
      </c>
      <c r="AO5" s="15" t="str">
        <f>"FY"&amp;TEXT(AO$3,"00")</f>
        <v>FY17</v>
      </c>
      <c r="AP5" s="15" t="str">
        <f t="shared" ref="AP5:BG5" si="5">"FY"&amp;TEXT(AP$3,"00")</f>
        <v>FY18</v>
      </c>
      <c r="AQ5" s="15" t="str">
        <f t="shared" si="5"/>
        <v>FY18</v>
      </c>
      <c r="AR5" s="15" t="str">
        <f t="shared" si="5"/>
        <v>FY19</v>
      </c>
      <c r="AS5" s="15" t="str">
        <f t="shared" si="5"/>
        <v>FY19</v>
      </c>
      <c r="AT5" s="15" t="str">
        <f t="shared" si="5"/>
        <v>FY20</v>
      </c>
      <c r="AU5" s="15" t="str">
        <f t="shared" si="5"/>
        <v>FY20</v>
      </c>
      <c r="AV5" s="15" t="str">
        <f t="shared" si="5"/>
        <v>FY21</v>
      </c>
      <c r="AW5" s="15" t="str">
        <f t="shared" si="5"/>
        <v>FY21</v>
      </c>
      <c r="AX5" s="15" t="str">
        <f t="shared" si="5"/>
        <v>FY22</v>
      </c>
      <c r="AY5" s="15" t="str">
        <f t="shared" si="5"/>
        <v>FY22</v>
      </c>
      <c r="AZ5" s="15" t="str">
        <f t="shared" si="5"/>
        <v>FY23</v>
      </c>
      <c r="BA5" s="15" t="str">
        <f t="shared" si="5"/>
        <v>FY23</v>
      </c>
      <c r="BB5" s="15" t="str">
        <f t="shared" si="5"/>
        <v>FY24</v>
      </c>
      <c r="BC5" s="15" t="str">
        <f t="shared" si="5"/>
        <v>FY24</v>
      </c>
      <c r="BD5" s="15" t="str">
        <f t="shared" si="5"/>
        <v>FY25</v>
      </c>
      <c r="BE5" s="15" t="str">
        <f t="shared" si="5"/>
        <v>FY25</v>
      </c>
      <c r="BF5" s="15" t="str">
        <f t="shared" si="5"/>
        <v>FY26</v>
      </c>
      <c r="BG5" s="15" t="str">
        <f t="shared" si="5"/>
        <v>FY26</v>
      </c>
    </row>
    <row r="6" spans="2:59" x14ac:dyDescent="0.2">
      <c r="C6" s="15" t="str">
        <f>"CY"&amp;TEXT(C$4,"00")</f>
        <v>CY17</v>
      </c>
      <c r="D6" s="15" t="str">
        <f t="shared" ref="D6:AM6" si="6">"CY"&amp;TEXT(D$4,"00")</f>
        <v>CY17</v>
      </c>
      <c r="E6" s="15" t="str">
        <f t="shared" si="6"/>
        <v>CY17</v>
      </c>
      <c r="F6" s="15" t="str">
        <f t="shared" si="6"/>
        <v>CY18</v>
      </c>
      <c r="G6" s="15" t="str">
        <f t="shared" si="6"/>
        <v>CY18</v>
      </c>
      <c r="H6" s="15" t="str">
        <f t="shared" si="6"/>
        <v>CY18</v>
      </c>
      <c r="I6" s="15" t="str">
        <f t="shared" si="6"/>
        <v>CY18</v>
      </c>
      <c r="J6" s="15" t="str">
        <f t="shared" si="6"/>
        <v>CY19</v>
      </c>
      <c r="K6" s="15" t="str">
        <f t="shared" si="6"/>
        <v>CY19</v>
      </c>
      <c r="L6" s="15" t="str">
        <f t="shared" si="6"/>
        <v>CY19</v>
      </c>
      <c r="M6" s="15" t="str">
        <f t="shared" si="6"/>
        <v>CY19</v>
      </c>
      <c r="N6" s="15" t="str">
        <f t="shared" si="6"/>
        <v>CY20</v>
      </c>
      <c r="O6" s="15" t="str">
        <f t="shared" si="6"/>
        <v>CY20</v>
      </c>
      <c r="P6" s="15" t="str">
        <f t="shared" si="6"/>
        <v>CY20</v>
      </c>
      <c r="Q6" s="15" t="str">
        <f t="shared" si="6"/>
        <v>CY20</v>
      </c>
      <c r="R6" s="15" t="str">
        <f t="shared" si="6"/>
        <v>CY21</v>
      </c>
      <c r="S6" s="15" t="str">
        <f t="shared" si="6"/>
        <v>CY21</v>
      </c>
      <c r="T6" s="15" t="str">
        <f t="shared" si="6"/>
        <v>CY21</v>
      </c>
      <c r="U6" s="15" t="str">
        <f t="shared" si="6"/>
        <v>CY21</v>
      </c>
      <c r="V6" s="15" t="str">
        <f t="shared" si="6"/>
        <v>CY22</v>
      </c>
      <c r="W6" s="15" t="str">
        <f t="shared" si="6"/>
        <v>CY22</v>
      </c>
      <c r="X6" s="15" t="str">
        <f t="shared" si="6"/>
        <v>CY22</v>
      </c>
      <c r="Y6" s="15" t="str">
        <f t="shared" si="6"/>
        <v>CY22</v>
      </c>
      <c r="Z6" s="15" t="str">
        <f t="shared" si="6"/>
        <v>CY23</v>
      </c>
      <c r="AA6" s="15" t="str">
        <f t="shared" si="6"/>
        <v>CY23</v>
      </c>
      <c r="AB6" s="15" t="str">
        <f t="shared" si="6"/>
        <v>CY23</v>
      </c>
      <c r="AC6" s="15" t="str">
        <f t="shared" si="6"/>
        <v>CY23</v>
      </c>
      <c r="AD6" s="15" t="str">
        <f t="shared" si="6"/>
        <v>CY24</v>
      </c>
      <c r="AE6" s="15" t="str">
        <f t="shared" si="6"/>
        <v>CY24</v>
      </c>
      <c r="AF6" s="15" t="str">
        <f t="shared" si="6"/>
        <v>CY24</v>
      </c>
      <c r="AG6" s="15" t="str">
        <f t="shared" si="6"/>
        <v>CY24</v>
      </c>
      <c r="AH6" s="15" t="str">
        <f t="shared" si="6"/>
        <v>CY25</v>
      </c>
      <c r="AI6" s="15" t="str">
        <f t="shared" si="6"/>
        <v>CY25</v>
      </c>
      <c r="AJ6" s="15" t="str">
        <f t="shared" si="6"/>
        <v>CY25</v>
      </c>
      <c r="AK6" s="15" t="str">
        <f t="shared" si="6"/>
        <v>CY25</v>
      </c>
      <c r="AL6" s="15" t="str">
        <f t="shared" si="6"/>
        <v>CY26</v>
      </c>
      <c r="AM6" s="15" t="str">
        <f t="shared" si="6"/>
        <v>CY26</v>
      </c>
      <c r="AO6" s="15" t="str">
        <f>"CY"&amp;TEXT(AO$4,"00")</f>
        <v>CY17</v>
      </c>
      <c r="AP6" s="15" t="str">
        <f t="shared" ref="AP6:BG6" si="7">"CY"&amp;TEXT(AP$4,"00")</f>
        <v>CY17</v>
      </c>
      <c r="AQ6" s="15" t="str">
        <f t="shared" si="7"/>
        <v>CY18</v>
      </c>
      <c r="AR6" s="15" t="str">
        <f t="shared" si="7"/>
        <v>CY18</v>
      </c>
      <c r="AS6" s="15" t="str">
        <f t="shared" si="7"/>
        <v>CY19</v>
      </c>
      <c r="AT6" s="15" t="str">
        <f t="shared" si="7"/>
        <v>CY19</v>
      </c>
      <c r="AU6" s="15" t="str">
        <f t="shared" si="7"/>
        <v>CY20</v>
      </c>
      <c r="AV6" s="15" t="str">
        <f t="shared" si="7"/>
        <v>CY20</v>
      </c>
      <c r="AW6" s="15" t="str">
        <f t="shared" si="7"/>
        <v>CY21</v>
      </c>
      <c r="AX6" s="15" t="str">
        <f t="shared" si="7"/>
        <v>CY21</v>
      </c>
      <c r="AY6" s="15" t="str">
        <f t="shared" si="7"/>
        <v>CY22</v>
      </c>
      <c r="AZ6" s="15" t="str">
        <f t="shared" si="7"/>
        <v>CY22</v>
      </c>
      <c r="BA6" s="15" t="str">
        <f t="shared" si="7"/>
        <v>CY23</v>
      </c>
      <c r="BB6" s="15" t="str">
        <f t="shared" si="7"/>
        <v>CY23</v>
      </c>
      <c r="BC6" s="15" t="str">
        <f t="shared" si="7"/>
        <v>CY24</v>
      </c>
      <c r="BD6" s="15" t="str">
        <f t="shared" si="7"/>
        <v>CY24</v>
      </c>
      <c r="BE6" s="15" t="str">
        <f t="shared" si="7"/>
        <v>CY25</v>
      </c>
      <c r="BF6" s="15" t="str">
        <f t="shared" si="7"/>
        <v>CY25</v>
      </c>
      <c r="BG6" s="15" t="str">
        <f t="shared" si="7"/>
        <v>CY26</v>
      </c>
    </row>
    <row r="7" spans="2:59" x14ac:dyDescent="0.2">
      <c r="C7" s="175">
        <f>C11-EOMONTH(C11,-3)</f>
        <v>91</v>
      </c>
      <c r="D7" s="175">
        <f t="shared" ref="D7:AM7" si="8">D11-EOMONTH(D11,-3)</f>
        <v>92</v>
      </c>
      <c r="E7" s="175">
        <f t="shared" si="8"/>
        <v>92</v>
      </c>
      <c r="F7" s="175">
        <f t="shared" si="8"/>
        <v>90</v>
      </c>
      <c r="G7" s="175">
        <f t="shared" si="8"/>
        <v>91</v>
      </c>
      <c r="H7" s="175">
        <f t="shared" si="8"/>
        <v>92</v>
      </c>
      <c r="I7" s="175">
        <f t="shared" si="8"/>
        <v>92</v>
      </c>
      <c r="J7" s="175">
        <f t="shared" si="8"/>
        <v>90</v>
      </c>
      <c r="K7" s="175">
        <f t="shared" si="8"/>
        <v>91</v>
      </c>
      <c r="L7" s="175">
        <f t="shared" si="8"/>
        <v>92</v>
      </c>
      <c r="M7" s="175">
        <f t="shared" si="8"/>
        <v>92</v>
      </c>
      <c r="N7" s="175">
        <f t="shared" si="8"/>
        <v>91</v>
      </c>
      <c r="O7" s="175">
        <f t="shared" si="8"/>
        <v>91</v>
      </c>
      <c r="P7" s="175">
        <f t="shared" si="8"/>
        <v>92</v>
      </c>
      <c r="Q7" s="175">
        <f t="shared" si="8"/>
        <v>92</v>
      </c>
      <c r="R7" s="175">
        <f t="shared" si="8"/>
        <v>90</v>
      </c>
      <c r="S7" s="175">
        <f t="shared" si="8"/>
        <v>91</v>
      </c>
      <c r="T7" s="175">
        <f t="shared" si="8"/>
        <v>92</v>
      </c>
      <c r="U7" s="175">
        <f t="shared" si="8"/>
        <v>92</v>
      </c>
      <c r="V7" s="175">
        <f t="shared" si="8"/>
        <v>90</v>
      </c>
      <c r="W7" s="175">
        <f t="shared" si="8"/>
        <v>91</v>
      </c>
      <c r="X7" s="175">
        <f t="shared" si="8"/>
        <v>92</v>
      </c>
      <c r="Y7" s="175">
        <f t="shared" si="8"/>
        <v>92</v>
      </c>
      <c r="Z7" s="175">
        <f t="shared" si="8"/>
        <v>90</v>
      </c>
      <c r="AA7" s="175">
        <f t="shared" si="8"/>
        <v>91</v>
      </c>
      <c r="AB7" s="175">
        <f t="shared" si="8"/>
        <v>92</v>
      </c>
      <c r="AC7" s="175">
        <f t="shared" si="8"/>
        <v>92</v>
      </c>
      <c r="AD7" s="175">
        <f t="shared" si="8"/>
        <v>91</v>
      </c>
      <c r="AE7" s="175">
        <f t="shared" si="8"/>
        <v>91</v>
      </c>
      <c r="AF7" s="175">
        <f t="shared" si="8"/>
        <v>92</v>
      </c>
      <c r="AG7" s="175">
        <f t="shared" si="8"/>
        <v>92</v>
      </c>
      <c r="AH7" s="175">
        <f t="shared" si="8"/>
        <v>90</v>
      </c>
      <c r="AI7" s="175">
        <f t="shared" si="8"/>
        <v>91</v>
      </c>
      <c r="AJ7" s="175">
        <f t="shared" si="8"/>
        <v>92</v>
      </c>
      <c r="AK7" s="175">
        <f t="shared" si="8"/>
        <v>92</v>
      </c>
      <c r="AL7" s="175">
        <f t="shared" si="8"/>
        <v>90</v>
      </c>
      <c r="AM7" s="175">
        <f t="shared" si="8"/>
        <v>91</v>
      </c>
      <c r="AO7" s="175">
        <f>AO11-EOMONTH(AO11,-3)</f>
        <v>91</v>
      </c>
      <c r="AP7" s="175">
        <f t="shared" ref="AP7:BG7" si="9">AP11-EOMONTH(AP11,-3)</f>
        <v>92</v>
      </c>
      <c r="AQ7" s="175">
        <f t="shared" si="9"/>
        <v>91</v>
      </c>
      <c r="AR7" s="175">
        <f t="shared" si="9"/>
        <v>92</v>
      </c>
      <c r="AS7" s="175">
        <f t="shared" si="9"/>
        <v>91</v>
      </c>
      <c r="AT7" s="175">
        <f t="shared" si="9"/>
        <v>92</v>
      </c>
      <c r="AU7" s="175">
        <f t="shared" si="9"/>
        <v>91</v>
      </c>
      <c r="AV7" s="175">
        <f t="shared" si="9"/>
        <v>92</v>
      </c>
      <c r="AW7" s="175">
        <f t="shared" si="9"/>
        <v>91</v>
      </c>
      <c r="AX7" s="175">
        <f t="shared" si="9"/>
        <v>92</v>
      </c>
      <c r="AY7" s="175">
        <f t="shared" si="9"/>
        <v>91</v>
      </c>
      <c r="AZ7" s="175">
        <f t="shared" si="9"/>
        <v>92</v>
      </c>
      <c r="BA7" s="175">
        <f t="shared" si="9"/>
        <v>91</v>
      </c>
      <c r="BB7" s="175">
        <f t="shared" si="9"/>
        <v>92</v>
      </c>
      <c r="BC7" s="175">
        <f t="shared" si="9"/>
        <v>91</v>
      </c>
      <c r="BD7" s="175">
        <f t="shared" si="9"/>
        <v>92</v>
      </c>
      <c r="BE7" s="175">
        <f t="shared" si="9"/>
        <v>91</v>
      </c>
      <c r="BF7" s="175">
        <f t="shared" si="9"/>
        <v>92</v>
      </c>
      <c r="BG7" s="175">
        <f t="shared" si="9"/>
        <v>91</v>
      </c>
    </row>
    <row r="9" spans="2:59" x14ac:dyDescent="0.2">
      <c r="C9" s="7"/>
      <c r="D9" s="15" t="s">
        <v>41</v>
      </c>
      <c r="E9" s="15" t="s">
        <v>41</v>
      </c>
      <c r="F9" s="15" t="s">
        <v>42</v>
      </c>
      <c r="G9" s="15" t="s">
        <v>42</v>
      </c>
      <c r="H9" s="15" t="s">
        <v>43</v>
      </c>
      <c r="I9" s="15" t="s">
        <v>43</v>
      </c>
      <c r="J9" s="15" t="s">
        <v>44</v>
      </c>
      <c r="K9" s="15" t="s">
        <v>44</v>
      </c>
      <c r="L9" s="15" t="s">
        <v>45</v>
      </c>
      <c r="M9" s="15" t="s">
        <v>45</v>
      </c>
      <c r="N9" s="15" t="s">
        <v>46</v>
      </c>
      <c r="O9" s="15" t="s">
        <v>46</v>
      </c>
      <c r="P9" s="15" t="s">
        <v>47</v>
      </c>
      <c r="Q9" s="15" t="s">
        <v>47</v>
      </c>
      <c r="R9" s="15" t="s">
        <v>48</v>
      </c>
      <c r="S9" s="15" t="s">
        <v>48</v>
      </c>
      <c r="T9" s="15" t="s">
        <v>49</v>
      </c>
      <c r="U9" s="15" t="s">
        <v>49</v>
      </c>
      <c r="V9" s="15" t="s">
        <v>50</v>
      </c>
      <c r="W9" s="15" t="s">
        <v>50</v>
      </c>
      <c r="X9" s="15" t="s">
        <v>51</v>
      </c>
      <c r="Y9" s="15" t="s">
        <v>51</v>
      </c>
      <c r="Z9" s="15" t="s">
        <v>52</v>
      </c>
      <c r="AA9" s="15" t="s">
        <v>52</v>
      </c>
      <c r="AB9" s="15" t="s">
        <v>53</v>
      </c>
      <c r="AC9" s="15" t="s">
        <v>53</v>
      </c>
      <c r="AD9" s="15" t="s">
        <v>54</v>
      </c>
      <c r="AE9" s="15" t="s">
        <v>54</v>
      </c>
      <c r="AF9" s="15" t="s">
        <v>55</v>
      </c>
      <c r="AG9" s="15" t="s">
        <v>55</v>
      </c>
      <c r="AH9" s="15" t="s">
        <v>56</v>
      </c>
      <c r="AI9" s="15" t="s">
        <v>56</v>
      </c>
      <c r="AJ9" s="15" t="s">
        <v>57</v>
      </c>
      <c r="AK9" s="15" t="s">
        <v>57</v>
      </c>
      <c r="AL9" s="15" t="s">
        <v>58</v>
      </c>
      <c r="AM9" s="15" t="s">
        <v>58</v>
      </c>
      <c r="AO9" s="7"/>
      <c r="AP9" s="15"/>
      <c r="AQ9" s="15"/>
      <c r="AR9" s="15"/>
      <c r="AS9" s="15"/>
      <c r="AT9" s="15"/>
      <c r="AU9" s="15"/>
      <c r="AV9" s="15"/>
      <c r="AW9" s="15"/>
      <c r="AX9" s="15"/>
      <c r="AY9" s="15"/>
      <c r="AZ9" s="15"/>
      <c r="BA9" s="15"/>
      <c r="BB9" s="15"/>
      <c r="BC9" s="15"/>
      <c r="BD9" s="15"/>
      <c r="BE9" s="15"/>
      <c r="BF9" s="15"/>
      <c r="BG9" s="15"/>
    </row>
    <row r="10" spans="2:59" x14ac:dyDescent="0.2">
      <c r="B10" s="172" t="s">
        <v>59</v>
      </c>
      <c r="C10" s="172" t="s">
        <v>59</v>
      </c>
      <c r="D10" s="172" t="s">
        <v>60</v>
      </c>
      <c r="E10" s="172" t="s">
        <v>61</v>
      </c>
      <c r="F10" s="172" t="s">
        <v>62</v>
      </c>
      <c r="G10" s="172" t="s">
        <v>63</v>
      </c>
      <c r="H10" s="172" t="s">
        <v>64</v>
      </c>
      <c r="I10" s="172" t="s">
        <v>65</v>
      </c>
      <c r="J10" s="172" t="s">
        <v>66</v>
      </c>
      <c r="K10" s="172" t="s">
        <v>67</v>
      </c>
      <c r="L10" s="172" t="s">
        <v>68</v>
      </c>
      <c r="M10" s="172" t="s">
        <v>69</v>
      </c>
      <c r="N10" s="172" t="s">
        <v>70</v>
      </c>
      <c r="O10" s="172" t="s">
        <v>71</v>
      </c>
      <c r="P10" s="172" t="s">
        <v>72</v>
      </c>
      <c r="Q10" s="172" t="s">
        <v>73</v>
      </c>
      <c r="R10" s="172" t="s">
        <v>74</v>
      </c>
      <c r="S10" s="172" t="s">
        <v>75</v>
      </c>
      <c r="T10" s="172" t="s">
        <v>76</v>
      </c>
      <c r="U10" s="172" t="s">
        <v>77</v>
      </c>
      <c r="V10" s="172" t="s">
        <v>78</v>
      </c>
      <c r="W10" s="172" t="s">
        <v>79</v>
      </c>
      <c r="X10" s="172" t="s">
        <v>80</v>
      </c>
      <c r="Y10" s="172" t="s">
        <v>81</v>
      </c>
      <c r="Z10" s="172" t="s">
        <v>82</v>
      </c>
      <c r="AA10" s="172" t="s">
        <v>83</v>
      </c>
      <c r="AB10" s="172" t="s">
        <v>84</v>
      </c>
      <c r="AC10" s="172" t="s">
        <v>85</v>
      </c>
      <c r="AD10" s="172" t="s">
        <v>86</v>
      </c>
      <c r="AE10" s="172" t="s">
        <v>87</v>
      </c>
      <c r="AF10" s="172" t="s">
        <v>88</v>
      </c>
      <c r="AG10" s="172" t="s">
        <v>89</v>
      </c>
      <c r="AH10" s="172" t="s">
        <v>90</v>
      </c>
      <c r="AI10" s="172" t="s">
        <v>91</v>
      </c>
      <c r="AJ10" s="172" t="s">
        <v>92</v>
      </c>
      <c r="AK10" s="172" t="s">
        <v>93</v>
      </c>
      <c r="AL10" s="172" t="s">
        <v>94</v>
      </c>
      <c r="AM10" s="172" t="s">
        <v>95</v>
      </c>
      <c r="AO10" s="191" t="s">
        <v>592</v>
      </c>
      <c r="AP10" s="191" t="s">
        <v>41</v>
      </c>
      <c r="AQ10" s="191" t="s">
        <v>42</v>
      </c>
      <c r="AR10" s="191" t="s">
        <v>43</v>
      </c>
      <c r="AS10" s="191" t="s">
        <v>44</v>
      </c>
      <c r="AT10" s="191" t="s">
        <v>45</v>
      </c>
      <c r="AU10" s="191" t="s">
        <v>46</v>
      </c>
      <c r="AV10" s="191" t="s">
        <v>47</v>
      </c>
      <c r="AW10" s="191" t="s">
        <v>48</v>
      </c>
      <c r="AX10" s="191" t="s">
        <v>49</v>
      </c>
      <c r="AY10" s="191" t="s">
        <v>50</v>
      </c>
      <c r="AZ10" s="191" t="s">
        <v>51</v>
      </c>
      <c r="BA10" s="191" t="s">
        <v>52</v>
      </c>
      <c r="BB10" s="191" t="s">
        <v>53</v>
      </c>
      <c r="BC10" s="191" t="s">
        <v>54</v>
      </c>
      <c r="BD10" s="191" t="s">
        <v>55</v>
      </c>
      <c r="BE10" s="191" t="s">
        <v>56</v>
      </c>
      <c r="BF10" s="191" t="s">
        <v>57</v>
      </c>
      <c r="BG10" s="191" t="s">
        <v>58</v>
      </c>
    </row>
    <row r="11" spans="2:59" x14ac:dyDescent="0.2">
      <c r="B11" s="173"/>
      <c r="C11" s="173">
        <v>42916</v>
      </c>
      <c r="D11" s="174">
        <f t="shared" ref="D11:AM11" si="10" xml:space="preserve"> EOMONTH( C11, 3)</f>
        <v>43008</v>
      </c>
      <c r="E11" s="174">
        <f t="shared" si="10"/>
        <v>43100</v>
      </c>
      <c r="F11" s="174">
        <f t="shared" si="10"/>
        <v>43190</v>
      </c>
      <c r="G11" s="174">
        <f t="shared" si="10"/>
        <v>43281</v>
      </c>
      <c r="H11" s="174">
        <f t="shared" si="10"/>
        <v>43373</v>
      </c>
      <c r="I11" s="174">
        <f t="shared" si="10"/>
        <v>43465</v>
      </c>
      <c r="J11" s="174">
        <f t="shared" si="10"/>
        <v>43555</v>
      </c>
      <c r="K11" s="174">
        <f t="shared" si="10"/>
        <v>43646</v>
      </c>
      <c r="L11" s="174">
        <f t="shared" si="10"/>
        <v>43738</v>
      </c>
      <c r="M11" s="174">
        <f t="shared" si="10"/>
        <v>43830</v>
      </c>
      <c r="N11" s="174">
        <f t="shared" si="10"/>
        <v>43921</v>
      </c>
      <c r="O11" s="174">
        <f t="shared" si="10"/>
        <v>44012</v>
      </c>
      <c r="P11" s="174">
        <f t="shared" si="10"/>
        <v>44104</v>
      </c>
      <c r="Q11" s="174">
        <f t="shared" si="10"/>
        <v>44196</v>
      </c>
      <c r="R11" s="174">
        <f t="shared" si="10"/>
        <v>44286</v>
      </c>
      <c r="S11" s="174">
        <f t="shared" si="10"/>
        <v>44377</v>
      </c>
      <c r="T11" s="174">
        <f t="shared" si="10"/>
        <v>44469</v>
      </c>
      <c r="U11" s="174">
        <f t="shared" si="10"/>
        <v>44561</v>
      </c>
      <c r="V11" s="174">
        <f t="shared" si="10"/>
        <v>44651</v>
      </c>
      <c r="W11" s="174">
        <f t="shared" si="10"/>
        <v>44742</v>
      </c>
      <c r="X11" s="174">
        <f t="shared" si="10"/>
        <v>44834</v>
      </c>
      <c r="Y11" s="174">
        <f t="shared" si="10"/>
        <v>44926</v>
      </c>
      <c r="Z11" s="174">
        <f t="shared" si="10"/>
        <v>45016</v>
      </c>
      <c r="AA11" s="174">
        <f t="shared" si="10"/>
        <v>45107</v>
      </c>
      <c r="AB11" s="174">
        <f t="shared" si="10"/>
        <v>45199</v>
      </c>
      <c r="AC11" s="174">
        <f t="shared" si="10"/>
        <v>45291</v>
      </c>
      <c r="AD11" s="174">
        <f t="shared" si="10"/>
        <v>45382</v>
      </c>
      <c r="AE11" s="174">
        <f t="shared" si="10"/>
        <v>45473</v>
      </c>
      <c r="AF11" s="174">
        <f t="shared" si="10"/>
        <v>45565</v>
      </c>
      <c r="AG11" s="174">
        <f t="shared" si="10"/>
        <v>45657</v>
      </c>
      <c r="AH11" s="174">
        <f t="shared" si="10"/>
        <v>45747</v>
      </c>
      <c r="AI11" s="174">
        <f t="shared" si="10"/>
        <v>45838</v>
      </c>
      <c r="AJ11" s="174">
        <f t="shared" si="10"/>
        <v>45930</v>
      </c>
      <c r="AK11" s="174">
        <f t="shared" si="10"/>
        <v>46022</v>
      </c>
      <c r="AL11" s="174">
        <f t="shared" si="10"/>
        <v>46112</v>
      </c>
      <c r="AM11" s="174">
        <f t="shared" si="10"/>
        <v>46203</v>
      </c>
      <c r="AO11" s="173">
        <v>42916</v>
      </c>
      <c r="AP11" s="174">
        <f xml:space="preserve"> EOMONTH( AO11, 6)</f>
        <v>43100</v>
      </c>
      <c r="AQ11" s="174">
        <f t="shared" ref="AQ11:BG11" si="11" xml:space="preserve"> EOMONTH( AP11, 6)</f>
        <v>43281</v>
      </c>
      <c r="AR11" s="174">
        <f t="shared" si="11"/>
        <v>43465</v>
      </c>
      <c r="AS11" s="174">
        <f t="shared" si="11"/>
        <v>43646</v>
      </c>
      <c r="AT11" s="174">
        <f t="shared" si="11"/>
        <v>43830</v>
      </c>
      <c r="AU11" s="174">
        <f t="shared" si="11"/>
        <v>44012</v>
      </c>
      <c r="AV11" s="174">
        <f t="shared" si="11"/>
        <v>44196</v>
      </c>
      <c r="AW11" s="174">
        <f t="shared" si="11"/>
        <v>44377</v>
      </c>
      <c r="AX11" s="174">
        <f t="shared" si="11"/>
        <v>44561</v>
      </c>
      <c r="AY11" s="174">
        <f t="shared" si="11"/>
        <v>44742</v>
      </c>
      <c r="AZ11" s="174">
        <f t="shared" si="11"/>
        <v>44926</v>
      </c>
      <c r="BA11" s="174">
        <f t="shared" si="11"/>
        <v>45107</v>
      </c>
      <c r="BB11" s="174">
        <f t="shared" si="11"/>
        <v>45291</v>
      </c>
      <c r="BC11" s="174">
        <f t="shared" si="11"/>
        <v>45473</v>
      </c>
      <c r="BD11" s="174">
        <f t="shared" si="11"/>
        <v>45657</v>
      </c>
      <c r="BE11" s="174">
        <f t="shared" si="11"/>
        <v>45838</v>
      </c>
      <c r="BF11" s="174">
        <f t="shared" si="11"/>
        <v>46022</v>
      </c>
      <c r="BG11" s="174">
        <f t="shared" si="11"/>
        <v>46203</v>
      </c>
    </row>
    <row r="12" spans="2:59" x14ac:dyDescent="0.2">
      <c r="B12" s="12" t="s">
        <v>9</v>
      </c>
      <c r="C12" s="31"/>
      <c r="D12" s="31"/>
      <c r="E12" s="31"/>
      <c r="F12" s="31"/>
      <c r="G12" s="31"/>
      <c r="H12" s="32"/>
      <c r="I12" s="32"/>
      <c r="J12" s="32"/>
      <c r="K12" s="32"/>
      <c r="L12" s="32"/>
      <c r="M12" s="32"/>
      <c r="N12" s="32"/>
      <c r="O12" s="32"/>
      <c r="P12" s="32"/>
      <c r="Q12" s="32"/>
      <c r="R12" s="32"/>
      <c r="S12" s="32"/>
      <c r="T12" s="32"/>
      <c r="U12" s="32"/>
      <c r="V12" s="32"/>
      <c r="W12" s="32"/>
      <c r="X12" s="32"/>
      <c r="Y12" s="32"/>
      <c r="Z12" s="32">
        <v>354.2</v>
      </c>
      <c r="AA12" s="32"/>
      <c r="AB12" s="32"/>
      <c r="AC12" s="32"/>
      <c r="AD12" s="32">
        <v>273.10000000000002</v>
      </c>
      <c r="AO12" s="31"/>
      <c r="AP12" s="31"/>
      <c r="AQ12" s="31"/>
      <c r="AR12" s="31"/>
      <c r="AS12" s="31"/>
      <c r="AT12" s="32"/>
      <c r="AU12" s="32"/>
      <c r="AV12" s="32"/>
      <c r="AW12" s="32"/>
      <c r="AX12" s="32"/>
      <c r="AY12" s="32"/>
      <c r="AZ12" s="32"/>
      <c r="BA12" s="32"/>
      <c r="BB12" s="32">
        <v>673.2</v>
      </c>
      <c r="BC12" s="32"/>
      <c r="BD12" s="32"/>
      <c r="BE12" s="32"/>
      <c r="BF12" s="32"/>
      <c r="BG12" s="32"/>
    </row>
    <row r="13" spans="2:59" x14ac:dyDescent="0.2">
      <c r="X13" s="32"/>
      <c r="Y13" s="32"/>
      <c r="Z13" s="32"/>
      <c r="AA13" s="32"/>
      <c r="AB13" s="32"/>
      <c r="AC13" s="32"/>
      <c r="AD13" s="32"/>
    </row>
    <row r="14" spans="2:59" x14ac:dyDescent="0.2">
      <c r="B14" s="12" t="s">
        <v>96</v>
      </c>
      <c r="H14" s="32"/>
      <c r="I14" s="32"/>
      <c r="J14" s="32"/>
      <c r="K14" s="32"/>
      <c r="L14" s="32"/>
      <c r="M14" s="32"/>
      <c r="N14" s="32"/>
      <c r="O14" s="32"/>
      <c r="P14" s="32"/>
      <c r="Q14" s="32"/>
      <c r="R14" s="32"/>
      <c r="S14" s="32"/>
      <c r="T14" s="32"/>
      <c r="U14" s="32"/>
      <c r="V14" s="32"/>
      <c r="W14" s="32"/>
      <c r="X14" s="32"/>
      <c r="Y14" s="32"/>
      <c r="Z14" s="32">
        <v>37.6</v>
      </c>
      <c r="AA14" s="32"/>
      <c r="AB14" s="32"/>
      <c r="AC14" s="32"/>
      <c r="AD14" s="32">
        <v>37.1</v>
      </c>
      <c r="AT14" s="32"/>
      <c r="AU14" s="32"/>
      <c r="AV14" s="32"/>
      <c r="AW14" s="32"/>
      <c r="AX14" s="32"/>
      <c r="AY14" s="32"/>
      <c r="AZ14" s="32"/>
      <c r="BA14" s="32"/>
      <c r="BB14" s="32">
        <v>79.8</v>
      </c>
      <c r="BC14" s="32"/>
      <c r="BD14" s="32"/>
      <c r="BE14" s="32"/>
      <c r="BF14" s="32"/>
      <c r="BG14" s="32"/>
    </row>
    <row r="15" spans="2:59" x14ac:dyDescent="0.2">
      <c r="B15" s="12" t="s">
        <v>97</v>
      </c>
      <c r="H15" s="26"/>
      <c r="I15" s="26"/>
      <c r="J15" s="26"/>
      <c r="K15" s="26"/>
      <c r="L15" s="26"/>
      <c r="M15" s="26"/>
      <c r="N15" s="26"/>
      <c r="O15" s="26"/>
      <c r="P15" s="26"/>
      <c r="Q15" s="26"/>
      <c r="R15" s="26"/>
      <c r="S15" s="26"/>
      <c r="T15" s="26"/>
      <c r="U15" s="26"/>
      <c r="V15" s="26"/>
      <c r="W15" s="26"/>
      <c r="X15" s="26"/>
      <c r="Y15" s="26"/>
      <c r="Z15" s="26">
        <f>Z14/Z12</f>
        <v>0.10615471485036704</v>
      </c>
      <c r="AA15" s="26"/>
      <c r="AB15" s="26"/>
      <c r="AC15" s="26"/>
      <c r="AD15" s="26">
        <f>AD14/AD12</f>
        <v>0.13584767484437935</v>
      </c>
      <c r="AT15" s="26"/>
      <c r="AU15" s="26"/>
      <c r="AV15" s="26"/>
      <c r="AW15" s="26"/>
      <c r="AX15" s="26"/>
      <c r="AY15" s="26"/>
      <c r="AZ15" s="26"/>
      <c r="BA15" s="26"/>
      <c r="BB15" s="26">
        <f>BB14/BB12</f>
        <v>0.11853832442067735</v>
      </c>
      <c r="BC15" s="26"/>
      <c r="BD15" s="26"/>
      <c r="BE15" s="26"/>
      <c r="BF15" s="26"/>
      <c r="BG15" s="26"/>
    </row>
    <row r="17" spans="2:59" x14ac:dyDescent="0.2">
      <c r="B17" s="12" t="s">
        <v>595</v>
      </c>
      <c r="H17" s="32"/>
      <c r="I17" s="32"/>
      <c r="J17" s="32"/>
      <c r="K17" s="32"/>
      <c r="L17" s="32"/>
      <c r="M17" s="32"/>
      <c r="N17" s="32"/>
      <c r="O17" s="32"/>
      <c r="P17" s="32"/>
      <c r="Q17" s="32"/>
      <c r="R17" s="32"/>
      <c r="S17" s="32"/>
      <c r="T17" s="32"/>
      <c r="U17" s="32"/>
      <c r="V17" s="32"/>
      <c r="W17" s="32"/>
      <c r="X17" s="32"/>
      <c r="Y17" s="32"/>
      <c r="Z17" s="32">
        <v>15</v>
      </c>
      <c r="AA17" s="32"/>
      <c r="AB17" s="32"/>
      <c r="AC17" s="32"/>
      <c r="AD17" s="32">
        <v>23.3</v>
      </c>
      <c r="AT17" s="32"/>
      <c r="AU17" s="32"/>
      <c r="AV17" s="32"/>
      <c r="AW17" s="32"/>
      <c r="AX17" s="32"/>
      <c r="AY17" s="32"/>
      <c r="AZ17" s="32"/>
      <c r="BA17" s="32"/>
      <c r="BB17" s="32">
        <v>49.8</v>
      </c>
      <c r="BC17" s="32"/>
      <c r="BD17" s="32"/>
      <c r="BE17" s="32"/>
      <c r="BF17" s="32"/>
      <c r="BG17" s="32"/>
    </row>
    <row r="18" spans="2:59" x14ac:dyDescent="0.2">
      <c r="B18" s="12" t="s">
        <v>99</v>
      </c>
      <c r="H18" s="26"/>
      <c r="I18" s="26"/>
      <c r="J18" s="26"/>
      <c r="K18" s="26"/>
      <c r="L18" s="26"/>
      <c r="M18" s="26"/>
      <c r="N18" s="26"/>
      <c r="O18" s="26"/>
      <c r="P18" s="26"/>
      <c r="Q18" s="26"/>
      <c r="R18" s="26"/>
      <c r="S18" s="26"/>
      <c r="T18" s="26"/>
      <c r="U18" s="26"/>
      <c r="V18" s="26"/>
      <c r="W18" s="26"/>
      <c r="X18" s="26"/>
      <c r="Y18" s="26"/>
      <c r="Z18" s="26">
        <f>Z17/Z12</f>
        <v>4.2348955392433656E-2</v>
      </c>
      <c r="AA18" s="26"/>
      <c r="AB18" s="26"/>
      <c r="AC18" s="26"/>
      <c r="AD18" s="26">
        <f>AD17/AD12</f>
        <v>8.5316733797143898E-2</v>
      </c>
      <c r="AT18" s="26"/>
      <c r="AU18" s="26"/>
      <c r="AV18" s="26"/>
      <c r="AW18" s="26"/>
      <c r="AX18" s="26"/>
      <c r="AY18" s="26"/>
      <c r="AZ18" s="26"/>
      <c r="BA18" s="26"/>
      <c r="BB18" s="26">
        <f>BB17/BB12</f>
        <v>7.3975044563279843E-2</v>
      </c>
      <c r="BC18" s="26"/>
      <c r="BD18" s="26"/>
      <c r="BE18" s="26"/>
      <c r="BF18" s="26"/>
      <c r="BG18" s="26"/>
    </row>
    <row r="20" spans="2:59" x14ac:dyDescent="0.2">
      <c r="B20" s="12" t="s">
        <v>593</v>
      </c>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Q20" s="24"/>
      <c r="AR20" s="24"/>
      <c r="AS20" s="24"/>
      <c r="AT20" s="24"/>
      <c r="AU20" s="24"/>
      <c r="AV20" s="24"/>
      <c r="AW20" s="24"/>
      <c r="AX20" s="24"/>
      <c r="AY20" s="24"/>
      <c r="AZ20" s="24"/>
      <c r="BA20" s="24"/>
      <c r="BB20" s="24">
        <v>112083</v>
      </c>
      <c r="BC20" s="24"/>
      <c r="BD20" s="24"/>
      <c r="BE20" s="24"/>
      <c r="BF20" s="24"/>
      <c r="BG20" s="24"/>
    </row>
    <row r="22" spans="2:59" x14ac:dyDescent="0.2">
      <c r="B22" s="12" t="s">
        <v>139</v>
      </c>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D22" s="24"/>
      <c r="AO22" s="24"/>
      <c r="AP22" s="24"/>
      <c r="AQ22" s="24"/>
      <c r="AR22" s="24"/>
      <c r="AS22" s="24"/>
      <c r="AT22" s="24"/>
      <c r="AU22" s="24"/>
      <c r="AV22" s="24"/>
      <c r="AW22" s="24"/>
      <c r="AX22" s="24"/>
      <c r="AY22" s="24"/>
      <c r="AZ22" s="24"/>
      <c r="BA22" s="24"/>
      <c r="BB22" s="24">
        <v>332</v>
      </c>
      <c r="BC22" s="24"/>
      <c r="BD22" s="24"/>
      <c r="BE22" s="24"/>
      <c r="BF22" s="24"/>
      <c r="BG22" s="24"/>
    </row>
    <row r="23" spans="2:59" x14ac:dyDescent="0.2">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D23" s="24"/>
      <c r="AO23" s="24"/>
      <c r="AP23" s="24"/>
      <c r="AQ23" s="24"/>
      <c r="AR23" s="24"/>
      <c r="AS23" s="24"/>
      <c r="AT23" s="24"/>
      <c r="AU23" s="24"/>
      <c r="AV23" s="24"/>
      <c r="AW23" s="24"/>
      <c r="AX23" s="24"/>
      <c r="AY23" s="24"/>
      <c r="AZ23" s="24"/>
      <c r="BA23" s="24"/>
      <c r="BB23" s="24"/>
      <c r="BC23" s="24"/>
      <c r="BD23" s="24"/>
      <c r="BE23" s="24"/>
      <c r="BF23" s="24"/>
      <c r="BG23" s="24"/>
    </row>
    <row r="24" spans="2:59" x14ac:dyDescent="0.2">
      <c r="B24" s="12" t="s">
        <v>594</v>
      </c>
      <c r="BB24" s="32">
        <v>-2.8</v>
      </c>
    </row>
    <row r="26" spans="2:59" x14ac:dyDescent="0.2">
      <c r="B26" s="12" t="s">
        <v>671</v>
      </c>
      <c r="BB26" s="32">
        <v>11.9</v>
      </c>
    </row>
    <row r="27" spans="2:59" x14ac:dyDescent="0.2">
      <c r="B27" s="12" t="s">
        <v>675</v>
      </c>
      <c r="BB27" s="32">
        <v>-28.6</v>
      </c>
    </row>
    <row r="33" spans="53:54" x14ac:dyDescent="0.2">
      <c r="BA33" s="12" t="s">
        <v>676</v>
      </c>
      <c r="BB33" s="12">
        <v>112</v>
      </c>
    </row>
    <row r="34" spans="53:54" x14ac:dyDescent="0.2">
      <c r="BA34" s="12" t="s">
        <v>677</v>
      </c>
      <c r="BB34" s="12">
        <f>341-112</f>
        <v>229</v>
      </c>
    </row>
    <row r="35" spans="53:54" x14ac:dyDescent="0.2">
      <c r="BA35" s="12" t="s">
        <v>678</v>
      </c>
      <c r="BB35" s="12">
        <v>341</v>
      </c>
    </row>
  </sheetData>
  <phoneticPr fontId="4" type="noConversion"/>
  <hyperlinks>
    <hyperlink ref="B2" r:id="rId1" xr:uid="{C810BC20-D039-402D-9B1F-2835E247C427}"/>
  </hyperlinks>
  <pageMargins left="0.7" right="0.7" top="0.75" bottom="0.75" header="0.3" footer="0.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BA159-5850-4598-8311-03D72FD5A20B}">
  <sheetPr>
    <tabColor theme="3" tint="0.79998168889431442"/>
  </sheetPr>
  <dimension ref="B2:K49"/>
  <sheetViews>
    <sheetView showGridLines="0" topLeftCell="A16" zoomScale="130" zoomScaleNormal="130" workbookViewId="0">
      <selection activeCell="G22" sqref="G22"/>
    </sheetView>
  </sheetViews>
  <sheetFormatPr defaultRowHeight="11.25" x14ac:dyDescent="0.2"/>
  <cols>
    <col min="1" max="2" width="9.140625" style="12"/>
    <col min="3" max="3" width="18.28515625" style="12" bestFit="1" customWidth="1"/>
    <col min="4" max="16384" width="9.140625" style="12"/>
  </cols>
  <sheetData>
    <row r="2" spans="3:11" x14ac:dyDescent="0.2">
      <c r="E2" s="12" t="s">
        <v>1212</v>
      </c>
      <c r="F2" s="12" t="s">
        <v>14</v>
      </c>
      <c r="G2" s="12" t="s">
        <v>16</v>
      </c>
      <c r="I2" s="12" t="s">
        <v>173</v>
      </c>
    </row>
    <row r="4" spans="3:11" x14ac:dyDescent="0.2">
      <c r="C4" s="12" t="s">
        <v>9</v>
      </c>
      <c r="E4" s="32">
        <v>17118.107793970543</v>
      </c>
      <c r="F4" s="32">
        <v>2676.8</v>
      </c>
      <c r="G4" s="32">
        <v>591.5</v>
      </c>
    </row>
    <row r="5" spans="3:11" x14ac:dyDescent="0.2">
      <c r="C5" s="12" t="s">
        <v>96</v>
      </c>
      <c r="E5" s="32"/>
      <c r="F5" s="32">
        <v>315.2</v>
      </c>
      <c r="G5" s="32">
        <v>79.5</v>
      </c>
    </row>
    <row r="6" spans="3:11" x14ac:dyDescent="0.2">
      <c r="C6" s="12" t="s">
        <v>98</v>
      </c>
      <c r="E6" s="32"/>
      <c r="F6" s="32">
        <v>233.1</v>
      </c>
      <c r="G6" s="32">
        <v>63.3</v>
      </c>
    </row>
    <row r="12" spans="3:11" x14ac:dyDescent="0.2">
      <c r="C12" s="12" t="s">
        <v>143</v>
      </c>
      <c r="E12" s="32">
        <v>2112.168100020745</v>
      </c>
      <c r="F12" s="32">
        <v>211.5</v>
      </c>
      <c r="G12" s="32">
        <v>57.588999999999999</v>
      </c>
    </row>
    <row r="13" spans="3:11" x14ac:dyDescent="0.2">
      <c r="C13" s="12" t="s">
        <v>1203</v>
      </c>
      <c r="E13" s="32">
        <v>-1135.8805634877899</v>
      </c>
      <c r="F13" s="189">
        <f>F14-F12</f>
        <v>-99.7</v>
      </c>
      <c r="G13" s="32">
        <v>-26.803999999999998</v>
      </c>
      <c r="K13" s="12" t="s">
        <v>1205</v>
      </c>
    </row>
    <row r="14" spans="3:11" x14ac:dyDescent="0.2">
      <c r="C14" s="12" t="s">
        <v>37</v>
      </c>
      <c r="E14" s="151">
        <f>SUM(E12:E13)</f>
        <v>976.28753653295507</v>
      </c>
      <c r="F14" s="32">
        <v>111.8</v>
      </c>
      <c r="G14" s="32">
        <v>30.785</v>
      </c>
      <c r="K14" s="12" t="s">
        <v>1206</v>
      </c>
    </row>
    <row r="15" spans="3:11" x14ac:dyDescent="0.2">
      <c r="K15" s="151">
        <f>F12-F6</f>
        <v>-21.599999999999994</v>
      </c>
    </row>
    <row r="16" spans="3:11" x14ac:dyDescent="0.2">
      <c r="C16" s="12" t="s">
        <v>1204</v>
      </c>
      <c r="E16" s="32">
        <v>-334.44614806511697</v>
      </c>
      <c r="F16" s="32">
        <v>-45.2</v>
      </c>
      <c r="G16" s="32"/>
    </row>
    <row r="17" spans="2:8" x14ac:dyDescent="0.2">
      <c r="C17" s="12" t="s">
        <v>269</v>
      </c>
      <c r="E17" s="32">
        <v>-154.19699564088199</v>
      </c>
      <c r="F17" s="189">
        <f>F20-F16-F14</f>
        <v>-39.799999999999997</v>
      </c>
      <c r="G17" s="32"/>
    </row>
    <row r="18" spans="2:8" x14ac:dyDescent="0.2">
      <c r="C18" s="12" t="s">
        <v>1202</v>
      </c>
      <c r="E18" s="32">
        <v>487.64439282695827</v>
      </c>
      <c r="F18" s="32"/>
      <c r="G18" s="32">
        <v>3.3</v>
      </c>
    </row>
    <row r="20" spans="2:8" x14ac:dyDescent="0.2">
      <c r="C20" s="12" t="s">
        <v>779</v>
      </c>
      <c r="F20" s="32">
        <v>26.8</v>
      </c>
      <c r="G20" s="32">
        <v>-3.3159999999999998</v>
      </c>
    </row>
    <row r="23" spans="2:8" s="66" customFormat="1" x14ac:dyDescent="0.2">
      <c r="C23" s="66" t="s">
        <v>143</v>
      </c>
      <c r="E23" s="598">
        <f t="shared" ref="E23:F25" si="0">E12</f>
        <v>2112.168100020745</v>
      </c>
      <c r="F23" s="598">
        <f t="shared" si="0"/>
        <v>211.5</v>
      </c>
      <c r="H23" s="598">
        <f t="shared" ref="H23:H28" si="1">E23/F23</f>
        <v>9.9866104019893385</v>
      </c>
    </row>
    <row r="24" spans="2:8" x14ac:dyDescent="0.2">
      <c r="C24" s="18" t="s">
        <v>1203</v>
      </c>
      <c r="E24" s="151">
        <f t="shared" si="0"/>
        <v>-1135.8805634877899</v>
      </c>
      <c r="F24" s="151">
        <f t="shared" si="0"/>
        <v>-99.7</v>
      </c>
      <c r="H24" s="151">
        <f t="shared" si="1"/>
        <v>11.392984588643831</v>
      </c>
    </row>
    <row r="25" spans="2:8" s="66" customFormat="1" x14ac:dyDescent="0.2">
      <c r="C25" s="66" t="s">
        <v>37</v>
      </c>
      <c r="E25" s="598">
        <f t="shared" si="0"/>
        <v>976.28753653295507</v>
      </c>
      <c r="F25" s="598">
        <f t="shared" si="0"/>
        <v>111.8</v>
      </c>
      <c r="H25" s="598">
        <f t="shared" si="1"/>
        <v>8.732446659507648</v>
      </c>
    </row>
    <row r="26" spans="2:8" x14ac:dyDescent="0.2">
      <c r="C26" s="18" t="s">
        <v>1204</v>
      </c>
      <c r="E26" s="151">
        <f>E16</f>
        <v>-334.44614806511697</v>
      </c>
      <c r="F26" s="151">
        <f>F16</f>
        <v>-45.2</v>
      </c>
      <c r="H26" s="151">
        <f t="shared" si="1"/>
        <v>7.3992510633875428</v>
      </c>
    </row>
    <row r="27" spans="2:8" x14ac:dyDescent="0.2">
      <c r="C27" s="18" t="s">
        <v>269</v>
      </c>
      <c r="E27" s="151">
        <f>E17</f>
        <v>-154.19699564088199</v>
      </c>
      <c r="F27" s="151">
        <f>F17</f>
        <v>-39.799999999999997</v>
      </c>
      <c r="H27" s="151">
        <f t="shared" si="1"/>
        <v>3.8742963728864823</v>
      </c>
    </row>
    <row r="28" spans="2:8" s="66" customFormat="1" x14ac:dyDescent="0.2">
      <c r="C28" s="66" t="s">
        <v>39</v>
      </c>
      <c r="E28" s="598">
        <f>E18</f>
        <v>487.64439282695827</v>
      </c>
      <c r="F28" s="599">
        <f>F20</f>
        <v>26.8</v>
      </c>
      <c r="H28" s="598">
        <f t="shared" si="1"/>
        <v>18.195686299513369</v>
      </c>
    </row>
    <row r="29" spans="2:8" x14ac:dyDescent="0.2">
      <c r="E29" s="151"/>
      <c r="F29" s="151"/>
    </row>
    <row r="30" spans="2:8" x14ac:dyDescent="0.2">
      <c r="B30" s="12" t="s">
        <v>1208</v>
      </c>
      <c r="C30" s="12" t="s">
        <v>1203</v>
      </c>
      <c r="E30" s="26">
        <f>-E24/E23</f>
        <v>0.53777943312212395</v>
      </c>
      <c r="F30" s="26">
        <f>-F24/F23</f>
        <v>0.47139479905437354</v>
      </c>
      <c r="G30" s="26"/>
    </row>
    <row r="31" spans="2:8" x14ac:dyDescent="0.2">
      <c r="B31" s="12" t="s">
        <v>1209</v>
      </c>
      <c r="C31" s="12" t="s">
        <v>998</v>
      </c>
      <c r="E31" s="26">
        <f>-E26/E23</f>
        <v>0.15834258081155195</v>
      </c>
      <c r="F31" s="26">
        <f>-F26/F23</f>
        <v>0.21371158392434988</v>
      </c>
      <c r="G31" s="26"/>
    </row>
    <row r="32" spans="2:8" x14ac:dyDescent="0.2">
      <c r="B32" s="12" t="s">
        <v>1210</v>
      </c>
      <c r="C32" s="12" t="s">
        <v>269</v>
      </c>
      <c r="E32" s="26">
        <f>-E27/E23</f>
        <v>7.3004130513744395E-2</v>
      </c>
      <c r="F32" s="26">
        <f>-F27/F23</f>
        <v>0.18817966903073285</v>
      </c>
      <c r="G32" s="26"/>
    </row>
    <row r="33" spans="2:8" x14ac:dyDescent="0.2">
      <c r="B33" s="12" t="s">
        <v>1211</v>
      </c>
      <c r="C33" s="12" t="s">
        <v>39</v>
      </c>
      <c r="E33" s="26">
        <f>E28/E23</f>
        <v>0.23087385555258069</v>
      </c>
      <c r="F33" s="26">
        <f>F28/F23</f>
        <v>0.12671394799054375</v>
      </c>
    </row>
    <row r="34" spans="2:8" x14ac:dyDescent="0.2">
      <c r="E34" s="151"/>
    </row>
    <row r="37" spans="2:8" x14ac:dyDescent="0.2">
      <c r="C37" s="12" t="s">
        <v>143</v>
      </c>
      <c r="E37" s="151">
        <f>E23</f>
        <v>2112.168100020745</v>
      </c>
      <c r="F37" s="151">
        <f>F23</f>
        <v>211.5</v>
      </c>
      <c r="H37" s="151">
        <f t="shared" ref="H37:H42" si="2">H23</f>
        <v>9.9866104019893385</v>
      </c>
    </row>
    <row r="38" spans="2:8" x14ac:dyDescent="0.2">
      <c r="C38" s="12" t="s">
        <v>1203</v>
      </c>
      <c r="E38" s="151">
        <f>-E24</f>
        <v>1135.8805634877899</v>
      </c>
      <c r="F38" s="151">
        <f>-F24</f>
        <v>99.7</v>
      </c>
      <c r="H38" s="151">
        <f t="shared" si="2"/>
        <v>11.392984588643831</v>
      </c>
    </row>
    <row r="39" spans="2:8" x14ac:dyDescent="0.2">
      <c r="C39" s="12" t="s">
        <v>37</v>
      </c>
      <c r="E39" s="151">
        <f>E25</f>
        <v>976.28753653295507</v>
      </c>
      <c r="F39" s="151">
        <f>F25</f>
        <v>111.8</v>
      </c>
      <c r="H39" s="151">
        <f t="shared" si="2"/>
        <v>8.732446659507648</v>
      </c>
    </row>
    <row r="40" spans="2:8" x14ac:dyDescent="0.2">
      <c r="C40" s="12" t="s">
        <v>998</v>
      </c>
      <c r="E40" s="151">
        <f>-E26</f>
        <v>334.44614806511697</v>
      </c>
      <c r="F40" s="151">
        <f>-F26</f>
        <v>45.2</v>
      </c>
      <c r="H40" s="151">
        <f t="shared" si="2"/>
        <v>7.3992510633875428</v>
      </c>
    </row>
    <row r="41" spans="2:8" x14ac:dyDescent="0.2">
      <c r="C41" s="12" t="s">
        <v>269</v>
      </c>
      <c r="E41" s="151">
        <f>-E27</f>
        <v>154.19699564088199</v>
      </c>
      <c r="F41" s="151">
        <f>-F27</f>
        <v>39.799999999999997</v>
      </c>
      <c r="H41" s="151">
        <f t="shared" si="2"/>
        <v>3.8742963728864823</v>
      </c>
    </row>
    <row r="42" spans="2:8" x14ac:dyDescent="0.2">
      <c r="C42" s="12" t="s">
        <v>39</v>
      </c>
      <c r="E42" s="151">
        <f>E28</f>
        <v>487.64439282695827</v>
      </c>
      <c r="F42" s="151">
        <f>F28</f>
        <v>26.8</v>
      </c>
      <c r="H42" s="151">
        <f t="shared" si="2"/>
        <v>18.195686299513369</v>
      </c>
    </row>
    <row r="45" spans="2:8" x14ac:dyDescent="0.2">
      <c r="C45" s="12">
        <v>2885</v>
      </c>
    </row>
    <row r="46" spans="2:8" x14ac:dyDescent="0.2">
      <c r="C46" s="65">
        <v>46713841.049999997</v>
      </c>
    </row>
    <row r="47" spans="2:8" x14ac:dyDescent="0.2">
      <c r="C47" s="65">
        <f>C46/C45</f>
        <v>16191.972634315423</v>
      </c>
    </row>
    <row r="48" spans="2:8" x14ac:dyDescent="0.2">
      <c r="C48" s="65">
        <f>C47/181</f>
        <v>89.458412344284113</v>
      </c>
    </row>
    <row r="49" spans="3:3" x14ac:dyDescent="0.2">
      <c r="C49" s="65"/>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B313-F65C-4B75-B4FC-224E8E39D5F1}">
  <sheetPr>
    <tabColor theme="3" tint="0.79998168889431442"/>
    <pageSetUpPr autoPageBreaks="0"/>
  </sheetPr>
  <dimension ref="C3:N57"/>
  <sheetViews>
    <sheetView showGridLines="0" workbookViewId="0">
      <selection activeCell="L61" sqref="L61"/>
    </sheetView>
  </sheetViews>
  <sheetFormatPr defaultRowHeight="15" x14ac:dyDescent="0.25"/>
  <cols>
    <col min="3" max="3" width="14.5703125" bestFit="1" customWidth="1"/>
    <col min="5" max="5" width="16.28515625" style="211" bestFit="1" customWidth="1"/>
    <col min="6" max="9" width="14.7109375" style="40" customWidth="1"/>
  </cols>
  <sheetData>
    <row r="3" spans="3:11" x14ac:dyDescent="0.25">
      <c r="C3" t="s">
        <v>583</v>
      </c>
      <c r="D3" s="4" t="s">
        <v>667</v>
      </c>
    </row>
    <row r="5" spans="3:11" x14ac:dyDescent="0.25">
      <c r="C5" s="22" t="s">
        <v>10</v>
      </c>
      <c r="D5" s="24">
        <v>2732.4</v>
      </c>
      <c r="K5">
        <f>D5/$E$12</f>
        <v>2.8114003498302291</v>
      </c>
    </row>
    <row r="6" spans="3:11" x14ac:dyDescent="0.25">
      <c r="C6" s="22" t="s">
        <v>11</v>
      </c>
      <c r="D6" s="24">
        <v>4731.2</v>
      </c>
      <c r="E6" s="212">
        <f>SUM(D5:D6)</f>
        <v>7463.6</v>
      </c>
      <c r="K6">
        <f t="shared" ref="K6:K12" si="0">D6/$E$12</f>
        <v>4.8679905340055551</v>
      </c>
    </row>
    <row r="7" spans="3:11" x14ac:dyDescent="0.25">
      <c r="C7" s="22" t="s">
        <v>12</v>
      </c>
      <c r="D7" s="25">
        <v>9099.9404926255283</v>
      </c>
      <c r="K7">
        <f t="shared" si="0"/>
        <v>9.3630419720398468</v>
      </c>
    </row>
    <row r="8" spans="3:11" x14ac:dyDescent="0.25">
      <c r="C8" s="22" t="s">
        <v>13</v>
      </c>
      <c r="D8" s="119">
        <f>D19/12%</f>
        <v>4897.2102890166616</v>
      </c>
      <c r="K8">
        <f t="shared" si="0"/>
        <v>5.0388005854683211</v>
      </c>
    </row>
    <row r="9" spans="3:11" x14ac:dyDescent="0.25">
      <c r="C9" s="22" t="s">
        <v>15</v>
      </c>
      <c r="D9" s="119"/>
      <c r="K9">
        <f t="shared" si="0"/>
        <v>0</v>
      </c>
    </row>
    <row r="10" spans="3:11" x14ac:dyDescent="0.25">
      <c r="C10" s="22" t="s">
        <v>14</v>
      </c>
      <c r="D10" s="25">
        <v>1468.5</v>
      </c>
      <c r="F10" s="112">
        <f>SUM(D11:D12)/SUM(D6:D12)</f>
        <v>4.5912014838534743E-2</v>
      </c>
      <c r="G10" s="112"/>
      <c r="K10">
        <f t="shared" si="0"/>
        <v>1.5109579174812222</v>
      </c>
    </row>
    <row r="11" spans="3:11" x14ac:dyDescent="0.25">
      <c r="C11" s="22" t="s">
        <v>16</v>
      </c>
      <c r="D11" s="25">
        <v>298.70000000000005</v>
      </c>
      <c r="F11" s="112">
        <f>SUM(D11:D12)/SUM(D5:D12)</f>
        <v>4.0663314033669434E-2</v>
      </c>
      <c r="G11" s="112"/>
      <c r="K11">
        <f t="shared" si="0"/>
        <v>0.30733614569400147</v>
      </c>
    </row>
    <row r="12" spans="3:11" x14ac:dyDescent="0.25">
      <c r="C12" s="22" t="s">
        <v>596</v>
      </c>
      <c r="D12" s="25">
        <v>673.2</v>
      </c>
      <c r="E12" s="212">
        <f>SUM(D11:D12)</f>
        <v>971.90000000000009</v>
      </c>
      <c r="F12" s="112"/>
      <c r="G12" s="112"/>
      <c r="K12">
        <f t="shared" si="0"/>
        <v>0.69266385430599853</v>
      </c>
    </row>
    <row r="14" spans="3:11" x14ac:dyDescent="0.25">
      <c r="E14" s="213"/>
    </row>
    <row r="15" spans="3:11" x14ac:dyDescent="0.25">
      <c r="D15" s="4" t="s">
        <v>667</v>
      </c>
      <c r="E15" s="213"/>
    </row>
    <row r="16" spans="3:11" x14ac:dyDescent="0.25">
      <c r="C16" s="22" t="s">
        <v>10</v>
      </c>
      <c r="D16" s="24">
        <v>458.1</v>
      </c>
      <c r="E16" s="222">
        <f>D16/D5</f>
        <v>0.1676548089591568</v>
      </c>
      <c r="K16">
        <f t="shared" ref="K16:K22" si="1">D16/$J$32</f>
        <v>14.921824104234529</v>
      </c>
    </row>
    <row r="17" spans="3:14" x14ac:dyDescent="0.25">
      <c r="C17" s="22" t="s">
        <v>11</v>
      </c>
      <c r="D17" s="24">
        <v>572.9</v>
      </c>
      <c r="E17" s="222">
        <f t="shared" ref="E17:E22" si="2">D17/D6</f>
        <v>0.12108978694622928</v>
      </c>
      <c r="K17">
        <f t="shared" si="1"/>
        <v>18.661237785016286</v>
      </c>
    </row>
    <row r="18" spans="3:14" x14ac:dyDescent="0.25">
      <c r="C18" s="22" t="s">
        <v>12</v>
      </c>
      <c r="D18" s="25">
        <v>1081.2000983358444</v>
      </c>
      <c r="E18" s="222">
        <f t="shared" si="2"/>
        <v>0.11881397457621121</v>
      </c>
      <c r="K18">
        <f t="shared" si="1"/>
        <v>35.218244245467247</v>
      </c>
    </row>
    <row r="19" spans="3:14" x14ac:dyDescent="0.25">
      <c r="C19" s="22" t="s">
        <v>13</v>
      </c>
      <c r="D19" s="25">
        <v>587.66523468199932</v>
      </c>
      <c r="E19" s="222">
        <f t="shared" si="2"/>
        <v>0.11999999999999998</v>
      </c>
      <c r="K19">
        <f t="shared" si="1"/>
        <v>19.142190054788252</v>
      </c>
    </row>
    <row r="20" spans="3:14" x14ac:dyDescent="0.25">
      <c r="C20" s="22" t="s">
        <v>15</v>
      </c>
      <c r="D20" s="119"/>
      <c r="E20" s="222" t="e">
        <f t="shared" si="2"/>
        <v>#DIV/0!</v>
      </c>
      <c r="K20">
        <f t="shared" si="1"/>
        <v>0</v>
      </c>
    </row>
    <row r="21" spans="3:14" x14ac:dyDescent="0.25">
      <c r="C21" s="22" t="s">
        <v>14</v>
      </c>
      <c r="D21" s="25">
        <v>112.3</v>
      </c>
      <c r="E21" s="222">
        <f t="shared" si="2"/>
        <v>7.6472591079332644E-2</v>
      </c>
      <c r="G21" s="112">
        <f>SUM(D22:D24)/SUM(D17:D24)</f>
        <v>1.7774696956274136E-2</v>
      </c>
      <c r="H21" s="112">
        <f>81/SUM(D17:D24)</f>
        <v>3.3796959001366311E-2</v>
      </c>
      <c r="K21">
        <f t="shared" si="1"/>
        <v>3.6579804560260585</v>
      </c>
    </row>
    <row r="22" spans="3:14" x14ac:dyDescent="0.25">
      <c r="C22" s="22" t="s">
        <v>16</v>
      </c>
      <c r="D22" s="25">
        <v>30.7</v>
      </c>
      <c r="E22" s="222">
        <f t="shared" si="2"/>
        <v>0.10277870773351187</v>
      </c>
      <c r="G22" s="112">
        <f>SUM(D22:D24)/SUM(D16:D24)</f>
        <v>1.492241744261567E-2</v>
      </c>
      <c r="H22" s="112">
        <f>81/SUM(D16:D24)</f>
        <v>2.837361063032557E-2</v>
      </c>
      <c r="K22">
        <f t="shared" si="1"/>
        <v>1</v>
      </c>
    </row>
    <row r="23" spans="3:14" x14ac:dyDescent="0.25">
      <c r="C23" s="22" t="s">
        <v>673</v>
      </c>
      <c r="E23" s="112">
        <f>49.8/D12</f>
        <v>7.3975044563279843E-2</v>
      </c>
      <c r="F23" s="112"/>
      <c r="K23">
        <f>D24/$J$32</f>
        <v>0.38762214983713356</v>
      </c>
    </row>
    <row r="24" spans="3:14" x14ac:dyDescent="0.25">
      <c r="C24" s="22" t="s">
        <v>672</v>
      </c>
      <c r="D24" s="25">
        <v>11.9</v>
      </c>
      <c r="E24" s="222">
        <f>D24/D12</f>
        <v>1.7676767676767676E-2</v>
      </c>
    </row>
    <row r="27" spans="3:14" x14ac:dyDescent="0.25">
      <c r="C27" s="22" t="s">
        <v>608</v>
      </c>
      <c r="D27" s="24">
        <v>2732.4</v>
      </c>
      <c r="E27" s="213">
        <v>4731.2</v>
      </c>
      <c r="G27" s="207">
        <v>458.1</v>
      </c>
      <c r="H27" s="207">
        <v>572.9</v>
      </c>
      <c r="J27" s="175">
        <f t="shared" ref="J27:J33" si="3">SUM(G27:H27)</f>
        <v>1031</v>
      </c>
      <c r="M27">
        <f t="shared" ref="M27:M32" si="4">J27/$J$32</f>
        <v>33.583061889250814</v>
      </c>
      <c r="N27">
        <f>G27/$J$32</f>
        <v>14.921824104234529</v>
      </c>
    </row>
    <row r="28" spans="3:14" x14ac:dyDescent="0.25">
      <c r="C28" s="22" t="s">
        <v>12</v>
      </c>
      <c r="E28" s="214">
        <v>9099.9404926255283</v>
      </c>
      <c r="H28" s="175">
        <v>1081.2000983358444</v>
      </c>
      <c r="J28" s="175">
        <f t="shared" si="3"/>
        <v>1081.2000983358444</v>
      </c>
      <c r="M28">
        <f t="shared" si="4"/>
        <v>35.218244245467247</v>
      </c>
    </row>
    <row r="29" spans="3:14" x14ac:dyDescent="0.25">
      <c r="C29" s="22" t="s">
        <v>13</v>
      </c>
      <c r="E29" s="215"/>
      <c r="H29" s="175">
        <v>587.66523468199932</v>
      </c>
      <c r="J29" s="175">
        <f t="shared" si="3"/>
        <v>587.66523468199932</v>
      </c>
      <c r="M29">
        <f t="shared" si="4"/>
        <v>19.142190054788252</v>
      </c>
    </row>
    <row r="30" spans="3:14" x14ac:dyDescent="0.25">
      <c r="C30" s="22" t="s">
        <v>15</v>
      </c>
      <c r="E30" s="215"/>
      <c r="H30" s="208"/>
      <c r="J30" s="175">
        <f t="shared" si="3"/>
        <v>0</v>
      </c>
      <c r="M30">
        <f t="shared" si="4"/>
        <v>0</v>
      </c>
    </row>
    <row r="31" spans="3:14" x14ac:dyDescent="0.25">
      <c r="C31" s="22" t="s">
        <v>14</v>
      </c>
      <c r="E31" s="214">
        <v>1468.5</v>
      </c>
      <c r="H31" s="175">
        <v>112.3</v>
      </c>
      <c r="J31" s="175">
        <f t="shared" si="3"/>
        <v>112.3</v>
      </c>
      <c r="M31">
        <f t="shared" si="4"/>
        <v>3.6579804560260585</v>
      </c>
    </row>
    <row r="32" spans="3:14" x14ac:dyDescent="0.25">
      <c r="C32" s="22" t="s">
        <v>16</v>
      </c>
      <c r="E32" s="214">
        <v>298.70000000000005</v>
      </c>
      <c r="F32" s="25">
        <v>673.2</v>
      </c>
      <c r="H32" s="175">
        <v>30.7</v>
      </c>
      <c r="I32" s="175">
        <v>11.9</v>
      </c>
      <c r="J32" s="175">
        <f t="shared" si="3"/>
        <v>30.7</v>
      </c>
      <c r="M32">
        <f t="shared" si="4"/>
        <v>1</v>
      </c>
    </row>
    <row r="33" spans="3:10" ht="23.25" x14ac:dyDescent="0.25">
      <c r="C33" s="206" t="s">
        <v>674</v>
      </c>
      <c r="H33" s="175">
        <v>30.7</v>
      </c>
      <c r="I33" s="175">
        <v>49.8</v>
      </c>
      <c r="J33" s="175">
        <f t="shared" si="3"/>
        <v>30.7</v>
      </c>
    </row>
    <row r="35" spans="3:10" x14ac:dyDescent="0.25">
      <c r="D35" t="s">
        <v>53</v>
      </c>
    </row>
    <row r="36" spans="3:10" x14ac:dyDescent="0.25">
      <c r="I36" s="223">
        <v>37900000</v>
      </c>
    </row>
    <row r="37" spans="3:10" x14ac:dyDescent="0.25">
      <c r="C37" s="22" t="s">
        <v>668</v>
      </c>
      <c r="D37" s="24">
        <v>971.90000000000009</v>
      </c>
      <c r="E37" s="213">
        <v>42.6</v>
      </c>
      <c r="F37" s="207">
        <v>80.5</v>
      </c>
      <c r="I37" s="223">
        <f>I36/1000</f>
        <v>37900</v>
      </c>
    </row>
    <row r="38" spans="3:10" ht="23.25" x14ac:dyDescent="0.25">
      <c r="C38" s="206" t="s">
        <v>669</v>
      </c>
    </row>
    <row r="39" spans="3:10" x14ac:dyDescent="0.25">
      <c r="C39" s="22" t="s">
        <v>670</v>
      </c>
      <c r="D39" s="24">
        <v>7463.6</v>
      </c>
      <c r="E39" s="213">
        <v>1031</v>
      </c>
      <c r="F39" s="207">
        <v>1031</v>
      </c>
      <c r="G39" s="209">
        <f>D39/D$37</f>
        <v>7.6793908838357856</v>
      </c>
      <c r="H39" s="209">
        <f>E39/E$37</f>
        <v>24.2018779342723</v>
      </c>
      <c r="I39" s="209">
        <f>F39/F$37</f>
        <v>12.807453416149068</v>
      </c>
    </row>
    <row r="40" spans="3:10" x14ac:dyDescent="0.25">
      <c r="C40" s="22" t="s">
        <v>11</v>
      </c>
      <c r="D40" s="24">
        <v>4731.2</v>
      </c>
      <c r="E40" s="213">
        <v>572.9</v>
      </c>
      <c r="F40" s="207">
        <v>572.9</v>
      </c>
      <c r="G40" s="209">
        <f t="shared" ref="G40:I42" si="5">D40/D$37</f>
        <v>4.8679905340055551</v>
      </c>
      <c r="H40" s="209">
        <f t="shared" si="5"/>
        <v>13.448356807511736</v>
      </c>
      <c r="I40" s="209">
        <f t="shared" si="5"/>
        <v>7.1167701863354038</v>
      </c>
    </row>
    <row r="41" spans="3:10" x14ac:dyDescent="0.25">
      <c r="C41" s="22" t="s">
        <v>12</v>
      </c>
      <c r="D41" s="24">
        <v>9099.9404926255283</v>
      </c>
      <c r="E41" s="213">
        <v>1081.2000983358444</v>
      </c>
      <c r="F41" s="207">
        <v>1081.2000983358444</v>
      </c>
      <c r="G41" s="209">
        <f t="shared" si="5"/>
        <v>9.3630419720398468</v>
      </c>
      <c r="H41" s="209">
        <f t="shared" si="5"/>
        <v>25.380283998493997</v>
      </c>
      <c r="I41" s="209">
        <f t="shared" si="5"/>
        <v>13.431057122184402</v>
      </c>
    </row>
    <row r="42" spans="3:10" x14ac:dyDescent="0.25">
      <c r="C42" s="22" t="s">
        <v>14</v>
      </c>
      <c r="D42" s="24">
        <v>1468.5</v>
      </c>
      <c r="E42" s="213">
        <v>112.3</v>
      </c>
      <c r="F42" s="207">
        <v>112.3</v>
      </c>
      <c r="G42" s="209">
        <f t="shared" si="5"/>
        <v>1.5109579174812222</v>
      </c>
      <c r="H42" s="209">
        <f t="shared" si="5"/>
        <v>2.636150234741784</v>
      </c>
      <c r="I42" s="209">
        <f t="shared" si="5"/>
        <v>1.3950310559006212</v>
      </c>
    </row>
    <row r="45" spans="3:10" x14ac:dyDescent="0.25">
      <c r="E45" s="207">
        <v>971.90000000000009</v>
      </c>
      <c r="F45" s="210">
        <v>7463.6</v>
      </c>
      <c r="G45" s="210">
        <v>4731.2</v>
      </c>
      <c r="H45" s="210">
        <v>9099.9404926255283</v>
      </c>
      <c r="I45" s="210">
        <v>1468.5</v>
      </c>
    </row>
    <row r="46" spans="3:10" x14ac:dyDescent="0.25">
      <c r="E46" s="210">
        <v>42.6</v>
      </c>
      <c r="F46" s="210">
        <v>1031</v>
      </c>
      <c r="G46" s="210">
        <v>572.9</v>
      </c>
      <c r="H46" s="210">
        <v>1081.2000983358444</v>
      </c>
      <c r="I46" s="210">
        <v>112.3</v>
      </c>
    </row>
    <row r="47" spans="3:10" x14ac:dyDescent="0.25">
      <c r="E47" s="207">
        <v>80.5</v>
      </c>
      <c r="F47" s="210">
        <v>1031</v>
      </c>
      <c r="G47" s="210">
        <v>572.9</v>
      </c>
      <c r="H47" s="210">
        <v>1081.2000983358444</v>
      </c>
      <c r="I47" s="210">
        <v>112.3</v>
      </c>
    </row>
    <row r="52" spans="5:9" x14ac:dyDescent="0.25">
      <c r="E52" s="216"/>
      <c r="F52" s="107"/>
      <c r="G52" s="107"/>
      <c r="H52" s="107"/>
      <c r="I52" s="107"/>
    </row>
    <row r="53" spans="5:9" x14ac:dyDescent="0.25">
      <c r="E53" s="217"/>
      <c r="F53" s="124" t="s">
        <v>670</v>
      </c>
      <c r="G53" s="124" t="s">
        <v>11</v>
      </c>
      <c r="H53" s="124" t="s">
        <v>12</v>
      </c>
      <c r="I53" s="124" t="s">
        <v>14</v>
      </c>
    </row>
    <row r="54" spans="5:9" x14ac:dyDescent="0.25">
      <c r="E54" s="218" t="s">
        <v>9</v>
      </c>
      <c r="F54" s="220">
        <f t="shared" ref="F54:I56" si="6">F45/$E45</f>
        <v>7.6793908838357856</v>
      </c>
      <c r="G54" s="219">
        <f t="shared" si="6"/>
        <v>4.8679905340055551</v>
      </c>
      <c r="H54" s="219">
        <f t="shared" si="6"/>
        <v>9.3630419720398468</v>
      </c>
      <c r="I54" s="219">
        <f t="shared" si="6"/>
        <v>1.5109579174812222</v>
      </c>
    </row>
    <row r="55" spans="5:9" x14ac:dyDescent="0.25">
      <c r="E55" s="218" t="s">
        <v>671</v>
      </c>
      <c r="F55" s="221">
        <f t="shared" si="6"/>
        <v>24.2018779342723</v>
      </c>
      <c r="G55" s="209">
        <f t="shared" si="6"/>
        <v>13.448356807511736</v>
      </c>
      <c r="H55" s="209">
        <f t="shared" si="6"/>
        <v>25.380283998493997</v>
      </c>
      <c r="I55" s="209">
        <f t="shared" si="6"/>
        <v>2.636150234741784</v>
      </c>
    </row>
    <row r="56" spans="5:9" x14ac:dyDescent="0.25">
      <c r="E56" s="218" t="s">
        <v>595</v>
      </c>
      <c r="F56" s="221">
        <f t="shared" si="6"/>
        <v>12.807453416149068</v>
      </c>
      <c r="G56" s="209">
        <f t="shared" si="6"/>
        <v>7.1167701863354038</v>
      </c>
      <c r="H56" s="209">
        <f t="shared" si="6"/>
        <v>13.431057122184402</v>
      </c>
      <c r="I56" s="209">
        <f t="shared" si="6"/>
        <v>1.3950310559006212</v>
      </c>
    </row>
    <row r="57" spans="5:9" x14ac:dyDescent="0.25">
      <c r="E57"/>
    </row>
  </sheetData>
  <pageMargins left="0.7" right="0.7" top="0.75" bottom="0.75" header="0.3" footer="0.3"/>
  <pageSetup paperSize="9" scale="96"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CC941-BFC6-4882-8FD2-86C94ECFD3C6}">
  <dimension ref="B2:M65"/>
  <sheetViews>
    <sheetView showGridLines="0" zoomScale="145" zoomScaleNormal="145" workbookViewId="0">
      <selection activeCell="K6" sqref="K6"/>
    </sheetView>
  </sheetViews>
  <sheetFormatPr defaultColWidth="8.7109375" defaultRowHeight="11.25" x14ac:dyDescent="0.2"/>
  <cols>
    <col min="1" max="1" width="2.7109375" style="429" customWidth="1"/>
    <col min="2" max="2" width="30.7109375" style="429" customWidth="1"/>
    <col min="3" max="3" width="5.7109375" style="430" customWidth="1"/>
    <col min="4" max="11" width="6.7109375" style="429" customWidth="1"/>
    <col min="12" max="16384" width="8.7109375" style="429"/>
  </cols>
  <sheetData>
    <row r="2" spans="2:11" x14ac:dyDescent="0.2">
      <c r="B2" s="172"/>
      <c r="C2" s="172"/>
      <c r="D2" s="172" t="s">
        <v>1065</v>
      </c>
      <c r="E2" s="172" t="s">
        <v>1066</v>
      </c>
      <c r="F2" s="172" t="s">
        <v>1067</v>
      </c>
      <c r="G2" s="172" t="s">
        <v>1068</v>
      </c>
      <c r="H2" s="172" t="s">
        <v>1069</v>
      </c>
      <c r="I2" s="172" t="s">
        <v>1070</v>
      </c>
      <c r="J2" s="172" t="s">
        <v>1071</v>
      </c>
      <c r="K2" s="172" t="s">
        <v>1072</v>
      </c>
    </row>
    <row r="3" spans="2:11" x14ac:dyDescent="0.2">
      <c r="B3" s="475" t="s">
        <v>1</v>
      </c>
      <c r="C3" s="476" t="s">
        <v>415</v>
      </c>
      <c r="D3" s="173">
        <v>43465</v>
      </c>
      <c r="E3" s="174">
        <f>EOMONTH(D3,12)</f>
        <v>43830</v>
      </c>
      <c r="F3" s="174">
        <f t="shared" ref="F3:K3" si="0">EOMONTH(E3,12)</f>
        <v>44196</v>
      </c>
      <c r="G3" s="174">
        <f t="shared" si="0"/>
        <v>44561</v>
      </c>
      <c r="H3" s="174">
        <f t="shared" si="0"/>
        <v>44926</v>
      </c>
      <c r="I3" s="174">
        <f t="shared" si="0"/>
        <v>45291</v>
      </c>
      <c r="J3" s="174">
        <f t="shared" si="0"/>
        <v>45657</v>
      </c>
      <c r="K3" s="174">
        <f t="shared" si="0"/>
        <v>46022</v>
      </c>
    </row>
    <row r="4" spans="2:11" x14ac:dyDescent="0.2">
      <c r="B4" s="428"/>
      <c r="C4" s="477"/>
      <c r="D4" s="430"/>
      <c r="E4" s="430"/>
      <c r="F4" s="430"/>
      <c r="G4" s="430"/>
      <c r="H4" s="430"/>
      <c r="I4" s="430"/>
      <c r="J4" s="430"/>
      <c r="K4" s="430"/>
    </row>
    <row r="5" spans="2:11" s="481" customFormat="1" x14ac:dyDescent="0.2">
      <c r="B5" s="481" t="s">
        <v>143</v>
      </c>
      <c r="C5" s="482" t="s">
        <v>123</v>
      </c>
      <c r="D5" s="483">
        <v>717075</v>
      </c>
      <c r="E5" s="483">
        <v>820508</v>
      </c>
      <c r="F5" s="483">
        <v>1653036</v>
      </c>
      <c r="G5" s="483">
        <v>2382238</v>
      </c>
      <c r="H5" s="483">
        <v>2245313</v>
      </c>
      <c r="I5" s="483">
        <v>2188859</v>
      </c>
      <c r="J5" s="483">
        <v>2114311</v>
      </c>
      <c r="K5" s="483">
        <v>2038378</v>
      </c>
    </row>
    <row r="6" spans="2:11" x14ac:dyDescent="0.2">
      <c r="B6" s="480" t="s">
        <v>740</v>
      </c>
      <c r="C6" s="430" t="s">
        <v>123</v>
      </c>
      <c r="D6" s="431">
        <v>-225058</v>
      </c>
      <c r="E6" s="431">
        <v>-342073</v>
      </c>
      <c r="F6" s="431">
        <v>-791608</v>
      </c>
      <c r="G6" s="431">
        <v>-1182658</v>
      </c>
      <c r="H6" s="431">
        <v>-1100899</v>
      </c>
      <c r="I6" s="431">
        <v>-1187752</v>
      </c>
      <c r="J6" s="431">
        <v>-1156895</v>
      </c>
      <c r="K6" s="431">
        <v>-1114650</v>
      </c>
    </row>
    <row r="7" spans="2:11" x14ac:dyDescent="0.2">
      <c r="B7" s="432" t="s">
        <v>37</v>
      </c>
      <c r="C7" s="478" t="s">
        <v>123</v>
      </c>
      <c r="D7" s="433">
        <f t="shared" ref="D7:K7" si="1">D5+D6</f>
        <v>492017</v>
      </c>
      <c r="E7" s="433">
        <f t="shared" si="1"/>
        <v>478435</v>
      </c>
      <c r="F7" s="433">
        <f t="shared" si="1"/>
        <v>861428</v>
      </c>
      <c r="G7" s="433">
        <f t="shared" si="1"/>
        <v>1199580</v>
      </c>
      <c r="H7" s="433">
        <f t="shared" si="1"/>
        <v>1144414</v>
      </c>
      <c r="I7" s="433">
        <f t="shared" si="1"/>
        <v>1001107</v>
      </c>
      <c r="J7" s="433">
        <f t="shared" si="1"/>
        <v>957416</v>
      </c>
      <c r="K7" s="433">
        <f t="shared" si="1"/>
        <v>923728</v>
      </c>
    </row>
    <row r="8" spans="2:11" x14ac:dyDescent="0.2">
      <c r="B8" s="480" t="s">
        <v>780</v>
      </c>
      <c r="C8" s="430" t="s">
        <v>123</v>
      </c>
      <c r="D8" s="431">
        <v>-122256</v>
      </c>
      <c r="E8" s="431">
        <v>-113544</v>
      </c>
      <c r="F8" s="431">
        <v>-156744</v>
      </c>
      <c r="G8" s="431">
        <v>-187505</v>
      </c>
      <c r="H8" s="431">
        <v>-217928</v>
      </c>
      <c r="I8" s="431">
        <v>-222334</v>
      </c>
      <c r="J8" s="431">
        <v>-232230</v>
      </c>
      <c r="K8" s="431">
        <v>-201911</v>
      </c>
    </row>
    <row r="9" spans="2:11" x14ac:dyDescent="0.2">
      <c r="B9" s="480" t="s">
        <v>269</v>
      </c>
      <c r="C9" s="430" t="s">
        <v>123</v>
      </c>
      <c r="D9" s="434">
        <f t="shared" ref="D9:K9" si="2">D23-D7-D8-D10</f>
        <v>-224427</v>
      </c>
      <c r="E9" s="434">
        <f t="shared" si="2"/>
        <v>-230864</v>
      </c>
      <c r="F9" s="434">
        <f t="shared" si="2"/>
        <v>-413454</v>
      </c>
      <c r="G9" s="434">
        <f t="shared" si="2"/>
        <v>-382731</v>
      </c>
      <c r="H9" s="434">
        <f t="shared" si="2"/>
        <v>-370612</v>
      </c>
      <c r="I9" s="434">
        <f t="shared" si="2"/>
        <v>-396363</v>
      </c>
      <c r="J9" s="434">
        <f t="shared" si="2"/>
        <v>-440202</v>
      </c>
      <c r="K9" s="434">
        <f t="shared" si="2"/>
        <v>-440402</v>
      </c>
    </row>
    <row r="10" spans="2:11" x14ac:dyDescent="0.2">
      <c r="B10" s="480" t="s">
        <v>781</v>
      </c>
      <c r="C10" s="430" t="s">
        <v>123</v>
      </c>
      <c r="D10" s="431">
        <v>-31421</v>
      </c>
      <c r="E10" s="431">
        <v>-43758</v>
      </c>
      <c r="F10" s="431">
        <v>-70016</v>
      </c>
      <c r="G10" s="431">
        <v>-81564</v>
      </c>
      <c r="H10" s="431">
        <v>-88447</v>
      </c>
      <c r="I10" s="431">
        <v>-94302</v>
      </c>
      <c r="J10" s="431">
        <v>-104289</v>
      </c>
      <c r="K10" s="431">
        <v>-110351</v>
      </c>
    </row>
    <row r="11" spans="2:11" x14ac:dyDescent="0.2">
      <c r="B11" s="480"/>
      <c r="D11" s="431"/>
      <c r="E11" s="431"/>
      <c r="F11" s="431"/>
      <c r="G11" s="431"/>
      <c r="H11" s="431"/>
      <c r="I11" s="431"/>
      <c r="J11" s="431"/>
      <c r="K11" s="431"/>
    </row>
    <row r="12" spans="2:11" x14ac:dyDescent="0.2">
      <c r="B12" s="432" t="s">
        <v>885</v>
      </c>
      <c r="C12" s="478" t="s">
        <v>123</v>
      </c>
      <c r="D12" s="435">
        <f t="shared" ref="D12:K12" si="3">D23-D10</f>
        <v>145334</v>
      </c>
      <c r="E12" s="435">
        <f t="shared" si="3"/>
        <v>134027</v>
      </c>
      <c r="F12" s="435">
        <f t="shared" si="3"/>
        <v>291230</v>
      </c>
      <c r="G12" s="435">
        <f t="shared" si="3"/>
        <v>629344</v>
      </c>
      <c r="H12" s="435">
        <f t="shared" si="3"/>
        <v>555874</v>
      </c>
      <c r="I12" s="435">
        <f t="shared" si="3"/>
        <v>382410</v>
      </c>
      <c r="J12" s="435">
        <f t="shared" si="3"/>
        <v>284984</v>
      </c>
      <c r="K12" s="435">
        <f t="shared" si="3"/>
        <v>281415</v>
      </c>
    </row>
    <row r="13" spans="2:11" x14ac:dyDescent="0.2">
      <c r="B13" s="432"/>
      <c r="C13" s="478"/>
      <c r="D13" s="435"/>
      <c r="E13" s="435"/>
      <c r="F13" s="435"/>
      <c r="G13" s="435"/>
      <c r="H13" s="435"/>
      <c r="I13" s="435"/>
      <c r="J13" s="435"/>
      <c r="K13" s="435"/>
    </row>
    <row r="14" spans="2:11" x14ac:dyDescent="0.2">
      <c r="B14" s="432" t="s">
        <v>1076</v>
      </c>
      <c r="C14" s="478"/>
      <c r="D14" s="433"/>
      <c r="E14" s="433"/>
      <c r="F14" s="433"/>
      <c r="G14" s="433"/>
      <c r="H14" s="433"/>
      <c r="I14" s="433"/>
      <c r="J14" s="433"/>
      <c r="K14" s="433"/>
    </row>
    <row r="23" spans="2:11" x14ac:dyDescent="0.2">
      <c r="B23" s="432" t="s">
        <v>782</v>
      </c>
      <c r="C23" s="478" t="s">
        <v>123</v>
      </c>
      <c r="D23" s="433">
        <v>113913</v>
      </c>
      <c r="E23" s="433">
        <v>90269</v>
      </c>
      <c r="F23" s="433">
        <v>221214</v>
      </c>
      <c r="G23" s="433">
        <v>547780</v>
      </c>
      <c r="H23" s="433">
        <v>467427</v>
      </c>
      <c r="I23" s="433">
        <v>288108</v>
      </c>
      <c r="J23" s="433">
        <v>180695</v>
      </c>
      <c r="K23" s="433">
        <v>171064</v>
      </c>
    </row>
    <row r="24" spans="2:11" x14ac:dyDescent="0.2">
      <c r="B24" s="484" t="s">
        <v>884</v>
      </c>
      <c r="C24" s="485"/>
      <c r="D24" s="486">
        <f t="shared" ref="D24:K24" si="4">D12/D5</f>
        <v>0.20267614963567271</v>
      </c>
      <c r="E24" s="486">
        <f t="shared" si="4"/>
        <v>0.16334636590989973</v>
      </c>
      <c r="F24" s="486">
        <f t="shared" si="4"/>
        <v>0.17617886119842521</v>
      </c>
      <c r="G24" s="486">
        <f t="shared" si="4"/>
        <v>0.26418183237778931</v>
      </c>
      <c r="H24" s="486">
        <f t="shared" si="4"/>
        <v>0.24757082865506946</v>
      </c>
      <c r="I24" s="486">
        <f t="shared" si="4"/>
        <v>0.17470746174148266</v>
      </c>
      <c r="J24" s="486">
        <f t="shared" si="4"/>
        <v>0.13478811773670005</v>
      </c>
      <c r="K24" s="486">
        <f t="shared" si="4"/>
        <v>0.13805829929483149</v>
      </c>
    </row>
    <row r="25" spans="2:11" x14ac:dyDescent="0.2">
      <c r="B25" s="484" t="s">
        <v>883</v>
      </c>
      <c r="C25" s="485"/>
      <c r="D25" s="486"/>
      <c r="E25" s="486">
        <f t="shared" ref="E25:K25" si="5">E5/D5-1</f>
        <v>0.14424293135306621</v>
      </c>
      <c r="F25" s="486">
        <f t="shared" si="5"/>
        <v>1.0146494610655838</v>
      </c>
      <c r="G25" s="486">
        <f t="shared" si="5"/>
        <v>0.44112892883155608</v>
      </c>
      <c r="H25" s="486">
        <f t="shared" si="5"/>
        <v>-5.7477464468285722E-2</v>
      </c>
      <c r="I25" s="486">
        <f t="shared" si="5"/>
        <v>-2.514304241769405E-2</v>
      </c>
      <c r="J25" s="486">
        <f t="shared" si="5"/>
        <v>-3.4057926983876108E-2</v>
      </c>
      <c r="K25" s="486">
        <f t="shared" si="5"/>
        <v>-3.5913827246795815E-2</v>
      </c>
    </row>
    <row r="27" spans="2:11" x14ac:dyDescent="0.2">
      <c r="B27" s="436" t="s">
        <v>882</v>
      </c>
      <c r="C27" s="479"/>
    </row>
    <row r="28" spans="2:11" x14ac:dyDescent="0.2">
      <c r="B28" s="436" t="s">
        <v>881</v>
      </c>
      <c r="C28" s="479"/>
    </row>
    <row r="29" spans="2:11" x14ac:dyDescent="0.2">
      <c r="B29" s="436" t="s">
        <v>880</v>
      </c>
      <c r="C29" s="479"/>
    </row>
    <row r="30" spans="2:11" x14ac:dyDescent="0.2">
      <c r="B30" s="436" t="s">
        <v>879</v>
      </c>
      <c r="C30" s="479"/>
    </row>
    <row r="32" spans="2:11" x14ac:dyDescent="0.2">
      <c r="B32" s="172"/>
      <c r="C32" s="172"/>
      <c r="D32" s="172" t="s">
        <v>1065</v>
      </c>
      <c r="E32" s="172" t="s">
        <v>1066</v>
      </c>
      <c r="F32" s="172" t="s">
        <v>1067</v>
      </c>
      <c r="G32" s="172" t="s">
        <v>1068</v>
      </c>
      <c r="H32" s="172" t="s">
        <v>1069</v>
      </c>
      <c r="I32" s="172" t="s">
        <v>1070</v>
      </c>
      <c r="J32" s="172" t="s">
        <v>1071</v>
      </c>
      <c r="K32" s="172" t="s">
        <v>1072</v>
      </c>
    </row>
    <row r="33" spans="2:13" x14ac:dyDescent="0.2">
      <c r="B33" s="475" t="s">
        <v>1</v>
      </c>
      <c r="C33" s="476" t="s">
        <v>415</v>
      </c>
      <c r="D33" s="173">
        <v>43465</v>
      </c>
      <c r="E33" s="174">
        <f t="shared" ref="E33:K33" si="6">EOMONTH(D33,12)</f>
        <v>43830</v>
      </c>
      <c r="F33" s="174">
        <f t="shared" si="6"/>
        <v>44196</v>
      </c>
      <c r="G33" s="174">
        <f t="shared" si="6"/>
        <v>44561</v>
      </c>
      <c r="H33" s="174">
        <f t="shared" si="6"/>
        <v>44926</v>
      </c>
      <c r="I33" s="174">
        <f t="shared" si="6"/>
        <v>45291</v>
      </c>
      <c r="J33" s="174">
        <f t="shared" si="6"/>
        <v>45657</v>
      </c>
      <c r="K33" s="174">
        <f t="shared" si="6"/>
        <v>46022</v>
      </c>
    </row>
    <row r="34" spans="2:13" x14ac:dyDescent="0.2">
      <c r="B34" s="428"/>
      <c r="C34" s="477"/>
      <c r="D34" s="430"/>
      <c r="E34" s="430"/>
      <c r="F34" s="430"/>
      <c r="G34" s="430"/>
      <c r="H34" s="430"/>
      <c r="I34" s="430"/>
      <c r="J34" s="430"/>
      <c r="K34" s="430"/>
    </row>
    <row r="35" spans="2:13" s="481" customFormat="1" x14ac:dyDescent="0.2">
      <c r="B35" s="481" t="s">
        <v>143</v>
      </c>
      <c r="C35" s="482" t="s">
        <v>123</v>
      </c>
      <c r="D35" s="487">
        <v>717075</v>
      </c>
      <c r="E35" s="487">
        <v>820508</v>
      </c>
      <c r="F35" s="487">
        <v>1653036</v>
      </c>
      <c r="G35" s="487">
        <v>2382238</v>
      </c>
      <c r="H35" s="487">
        <v>2245313</v>
      </c>
      <c r="I35" s="487">
        <v>2188859</v>
      </c>
      <c r="J35" s="487">
        <v>2114311</v>
      </c>
      <c r="K35" s="487">
        <v>2038378</v>
      </c>
      <c r="M35" s="429">
        <v>1E-3</v>
      </c>
    </row>
    <row r="36" spans="2:13" x14ac:dyDescent="0.2">
      <c r="B36" s="480" t="s">
        <v>740</v>
      </c>
      <c r="C36" s="430" t="s">
        <v>123</v>
      </c>
      <c r="D36" s="488">
        <v>-225058</v>
      </c>
      <c r="E36" s="488">
        <v>-342073</v>
      </c>
      <c r="F36" s="488">
        <v>-791608</v>
      </c>
      <c r="G36" s="488">
        <v>-1182658</v>
      </c>
      <c r="H36" s="488">
        <v>-1100899</v>
      </c>
      <c r="I36" s="488">
        <v>-1187752</v>
      </c>
      <c r="J36" s="488">
        <v>-1156895</v>
      </c>
      <c r="K36" s="488">
        <v>-1114650</v>
      </c>
    </row>
    <row r="37" spans="2:13" x14ac:dyDescent="0.2">
      <c r="B37" s="432" t="s">
        <v>37</v>
      </c>
      <c r="C37" s="478" t="s">
        <v>123</v>
      </c>
      <c r="D37" s="487">
        <f t="shared" ref="D37:K37" si="7">D35+D36</f>
        <v>492017</v>
      </c>
      <c r="E37" s="487">
        <f t="shared" si="7"/>
        <v>478435</v>
      </c>
      <c r="F37" s="487">
        <f t="shared" si="7"/>
        <v>861428</v>
      </c>
      <c r="G37" s="487">
        <f t="shared" si="7"/>
        <v>1199580</v>
      </c>
      <c r="H37" s="487">
        <f t="shared" si="7"/>
        <v>1144414</v>
      </c>
      <c r="I37" s="487">
        <f t="shared" si="7"/>
        <v>1001107</v>
      </c>
      <c r="J37" s="487">
        <f t="shared" si="7"/>
        <v>957416</v>
      </c>
      <c r="K37" s="487">
        <f t="shared" si="7"/>
        <v>923728</v>
      </c>
    </row>
    <row r="38" spans="2:13" x14ac:dyDescent="0.2">
      <c r="B38" s="480" t="s">
        <v>780</v>
      </c>
      <c r="C38" s="430" t="s">
        <v>123</v>
      </c>
      <c r="D38" s="488">
        <v>-122256</v>
      </c>
      <c r="E38" s="488">
        <v>-113544</v>
      </c>
      <c r="F38" s="488">
        <v>-156744</v>
      </c>
      <c r="G38" s="488">
        <v>-187505</v>
      </c>
      <c r="H38" s="488">
        <v>-217928</v>
      </c>
      <c r="I38" s="488">
        <v>-222334</v>
      </c>
      <c r="J38" s="488">
        <v>-232230</v>
      </c>
      <c r="K38" s="488">
        <v>-201911</v>
      </c>
    </row>
    <row r="39" spans="2:13" x14ac:dyDescent="0.2">
      <c r="B39" s="480" t="s">
        <v>269</v>
      </c>
      <c r="C39" s="430" t="s">
        <v>123</v>
      </c>
      <c r="D39" s="488">
        <v>-224427</v>
      </c>
      <c r="E39" s="488">
        <v>-230864</v>
      </c>
      <c r="F39" s="488">
        <v>-413454</v>
      </c>
      <c r="G39" s="488">
        <v>-382731</v>
      </c>
      <c r="H39" s="488">
        <v>-370612</v>
      </c>
      <c r="I39" s="488">
        <v>-396363</v>
      </c>
      <c r="J39" s="488">
        <v>-440202</v>
      </c>
      <c r="K39" s="488">
        <v>-440402</v>
      </c>
    </row>
    <row r="40" spans="2:13" x14ac:dyDescent="0.2">
      <c r="B40" s="432" t="s">
        <v>885</v>
      </c>
      <c r="C40" s="478" t="s">
        <v>123</v>
      </c>
      <c r="D40" s="487">
        <v>145334</v>
      </c>
      <c r="E40" s="487">
        <v>134027</v>
      </c>
      <c r="F40" s="487">
        <v>291230</v>
      </c>
      <c r="G40" s="487">
        <v>629344</v>
      </c>
      <c r="H40" s="487">
        <v>555874</v>
      </c>
      <c r="I40" s="487">
        <v>382410</v>
      </c>
      <c r="J40" s="487">
        <v>284984</v>
      </c>
      <c r="K40" s="487">
        <v>281415</v>
      </c>
    </row>
    <row r="41" spans="2:13" x14ac:dyDescent="0.2">
      <c r="B41" s="432" t="s">
        <v>1077</v>
      </c>
      <c r="C41" s="478" t="s">
        <v>123</v>
      </c>
      <c r="D41" s="487">
        <v>64111</v>
      </c>
      <c r="E41" s="487">
        <v>57120</v>
      </c>
      <c r="F41" s="487">
        <v>146551</v>
      </c>
      <c r="G41" s="487">
        <v>369312</v>
      </c>
      <c r="H41" s="487">
        <v>316348</v>
      </c>
      <c r="I41" s="487">
        <v>186310</v>
      </c>
      <c r="J41" s="487">
        <v>115841</v>
      </c>
      <c r="K41" s="487">
        <v>79722</v>
      </c>
    </row>
    <row r="42" spans="2:13" x14ac:dyDescent="0.2">
      <c r="B42" s="432"/>
      <c r="C42" s="478"/>
      <c r="D42" s="433"/>
      <c r="E42" s="433"/>
      <c r="F42" s="433"/>
      <c r="G42" s="433"/>
      <c r="H42" s="433"/>
      <c r="I42" s="433"/>
      <c r="J42" s="433"/>
      <c r="K42" s="433"/>
    </row>
    <row r="43" spans="2:13" x14ac:dyDescent="0.2">
      <c r="B43" s="432" t="s">
        <v>1076</v>
      </c>
      <c r="C43" s="478"/>
      <c r="D43" s="433"/>
      <c r="E43" s="433"/>
      <c r="F43" s="433"/>
      <c r="G43" s="433"/>
      <c r="H43" s="433"/>
      <c r="I43" s="433"/>
      <c r="J43" s="433"/>
      <c r="K43" s="433"/>
    </row>
    <row r="44" spans="2:13" x14ac:dyDescent="0.2">
      <c r="B44" s="480" t="s">
        <v>1073</v>
      </c>
      <c r="C44" s="430" t="s">
        <v>118</v>
      </c>
      <c r="D44" s="440">
        <f t="shared" ref="D44:K44" si="8">D6/D5</f>
        <v>-0.31385559390579787</v>
      </c>
      <c r="E44" s="440">
        <f t="shared" si="8"/>
        <v>-0.41690391806051863</v>
      </c>
      <c r="F44" s="440">
        <f t="shared" si="8"/>
        <v>-0.47888128268228886</v>
      </c>
      <c r="G44" s="440">
        <f t="shared" si="8"/>
        <v>-0.49644829777713229</v>
      </c>
      <c r="H44" s="440">
        <f t="shared" si="8"/>
        <v>-0.49030981426642967</v>
      </c>
      <c r="I44" s="440">
        <f t="shared" si="8"/>
        <v>-0.54263522684649856</v>
      </c>
      <c r="J44" s="440">
        <f t="shared" si="8"/>
        <v>-0.54717352366799399</v>
      </c>
      <c r="K44" s="440">
        <f t="shared" si="8"/>
        <v>-0.54683184375027594</v>
      </c>
    </row>
    <row r="45" spans="2:13" x14ac:dyDescent="0.2">
      <c r="B45" s="480" t="s">
        <v>1074</v>
      </c>
      <c r="C45" s="430" t="s">
        <v>118</v>
      </c>
      <c r="D45" s="440">
        <f t="shared" ref="D45:K45" si="9">D8/D5</f>
        <v>-0.17049262629432069</v>
      </c>
      <c r="E45" s="440">
        <f t="shared" si="9"/>
        <v>-0.13838256299755761</v>
      </c>
      <c r="F45" s="440">
        <f t="shared" si="9"/>
        <v>-9.4821891356268104E-2</v>
      </c>
      <c r="G45" s="440">
        <f t="shared" si="9"/>
        <v>-7.8709599964403215E-2</v>
      </c>
      <c r="H45" s="440">
        <f t="shared" si="9"/>
        <v>-9.7059073723797087E-2</v>
      </c>
      <c r="I45" s="440">
        <f t="shared" si="9"/>
        <v>-0.10157529562205697</v>
      </c>
      <c r="J45" s="440">
        <f t="shared" si="9"/>
        <v>-0.10983719991997393</v>
      </c>
      <c r="K45" s="440">
        <f t="shared" si="9"/>
        <v>-9.9054738620609137E-2</v>
      </c>
    </row>
    <row r="46" spans="2:13" x14ac:dyDescent="0.2">
      <c r="B46" s="480" t="s">
        <v>1075</v>
      </c>
      <c r="C46" s="430" t="s">
        <v>118</v>
      </c>
      <c r="D46" s="440">
        <f t="shared" ref="D46:K46" si="10">D12/D5</f>
        <v>0.20267614963567271</v>
      </c>
      <c r="E46" s="440">
        <f t="shared" si="10"/>
        <v>0.16334636590989973</v>
      </c>
      <c r="F46" s="440">
        <f t="shared" si="10"/>
        <v>0.17617886119842521</v>
      </c>
      <c r="G46" s="440">
        <f t="shared" si="10"/>
        <v>0.26418183237778931</v>
      </c>
      <c r="H46" s="440">
        <f t="shared" si="10"/>
        <v>0.24757082865506946</v>
      </c>
      <c r="I46" s="440">
        <f t="shared" si="10"/>
        <v>0.17470746174148266</v>
      </c>
      <c r="J46" s="440">
        <f t="shared" si="10"/>
        <v>0.13478811773670005</v>
      </c>
      <c r="K46" s="440">
        <f t="shared" si="10"/>
        <v>0.13805829929483149</v>
      </c>
    </row>
    <row r="47" spans="2:13" x14ac:dyDescent="0.2">
      <c r="B47" s="480" t="s">
        <v>1078</v>
      </c>
      <c r="C47" s="430" t="s">
        <v>118</v>
      </c>
      <c r="D47" s="440">
        <f>D41/D35</f>
        <v>8.9406268521423846E-2</v>
      </c>
      <c r="E47" s="440">
        <f t="shared" ref="E47:K47" si="11">E41/E35</f>
        <v>6.9615408990527816E-2</v>
      </c>
      <c r="F47" s="440">
        <f t="shared" si="11"/>
        <v>8.8655661461698357E-2</v>
      </c>
      <c r="G47" s="440">
        <f t="shared" si="11"/>
        <v>0.1550273314421145</v>
      </c>
      <c r="H47" s="440">
        <f t="shared" si="11"/>
        <v>0.140892606064277</v>
      </c>
      <c r="I47" s="440">
        <f t="shared" si="11"/>
        <v>8.5117405917877767E-2</v>
      </c>
      <c r="J47" s="440">
        <f t="shared" si="11"/>
        <v>5.4789006915255137E-2</v>
      </c>
      <c r="K47" s="440">
        <f t="shared" si="11"/>
        <v>3.9110508453289825E-2</v>
      </c>
    </row>
    <row r="50" spans="2:13" x14ac:dyDescent="0.2">
      <c r="B50" s="172"/>
      <c r="C50" s="172"/>
      <c r="D50" s="172" t="s">
        <v>1065</v>
      </c>
      <c r="E50" s="172" t="s">
        <v>1066</v>
      </c>
      <c r="F50" s="172" t="s">
        <v>1067</v>
      </c>
      <c r="G50" s="172" t="s">
        <v>1068</v>
      </c>
      <c r="H50" s="172" t="s">
        <v>1069</v>
      </c>
      <c r="I50" s="172" t="s">
        <v>1070</v>
      </c>
      <c r="J50" s="172" t="s">
        <v>1071</v>
      </c>
      <c r="K50" s="172" t="s">
        <v>1072</v>
      </c>
    </row>
    <row r="51" spans="2:13" x14ac:dyDescent="0.2">
      <c r="B51" s="491" t="s">
        <v>1</v>
      </c>
      <c r="C51" s="476" t="s">
        <v>415</v>
      </c>
      <c r="D51" s="476">
        <v>43465</v>
      </c>
      <c r="E51" s="174">
        <f t="shared" ref="E51:K51" si="12">EOMONTH(D51,12)</f>
        <v>43830</v>
      </c>
      <c r="F51" s="174">
        <f t="shared" si="12"/>
        <v>44196</v>
      </c>
      <c r="G51" s="174">
        <f t="shared" si="12"/>
        <v>44561</v>
      </c>
      <c r="H51" s="174">
        <f t="shared" si="12"/>
        <v>44926</v>
      </c>
      <c r="I51" s="174">
        <f t="shared" si="12"/>
        <v>45291</v>
      </c>
      <c r="J51" s="174">
        <f t="shared" si="12"/>
        <v>45657</v>
      </c>
      <c r="K51" s="174">
        <f t="shared" si="12"/>
        <v>46022</v>
      </c>
    </row>
    <row r="52" spans="2:13" x14ac:dyDescent="0.2">
      <c r="B52" s="516" t="s">
        <v>1080</v>
      </c>
      <c r="C52" s="477"/>
      <c r="D52" s="430"/>
      <c r="E52" s="430"/>
      <c r="F52" s="430"/>
      <c r="G52" s="430"/>
      <c r="H52" s="430"/>
      <c r="I52" s="430"/>
      <c r="J52" s="430"/>
      <c r="K52" s="430"/>
    </row>
    <row r="53" spans="2:13" s="481" customFormat="1" x14ac:dyDescent="0.2">
      <c r="B53" s="517" t="s">
        <v>143</v>
      </c>
      <c r="C53" s="482" t="s">
        <v>123</v>
      </c>
      <c r="D53" s="489">
        <f>D35/1000</f>
        <v>717.07500000000005</v>
      </c>
      <c r="E53" s="489">
        <f t="shared" ref="E53:K53" si="13">E35/1000</f>
        <v>820.50800000000004</v>
      </c>
      <c r="F53" s="489">
        <f t="shared" si="13"/>
        <v>1653.0360000000001</v>
      </c>
      <c r="G53" s="489">
        <f t="shared" si="13"/>
        <v>2382.2379999999998</v>
      </c>
      <c r="H53" s="489">
        <f t="shared" si="13"/>
        <v>2245.3130000000001</v>
      </c>
      <c r="I53" s="489">
        <f t="shared" si="13"/>
        <v>2188.8589999999999</v>
      </c>
      <c r="J53" s="489">
        <f t="shared" si="13"/>
        <v>2114.3110000000001</v>
      </c>
      <c r="K53" s="489">
        <f t="shared" si="13"/>
        <v>2038.3779999999999</v>
      </c>
      <c r="M53" s="429">
        <v>1E-3</v>
      </c>
    </row>
    <row r="54" spans="2:13" x14ac:dyDescent="0.2">
      <c r="B54" s="518" t="s">
        <v>740</v>
      </c>
      <c r="C54" s="430" t="s">
        <v>123</v>
      </c>
      <c r="D54" s="490">
        <f t="shared" ref="D54:K54" si="14">D36/1000</f>
        <v>-225.05799999999999</v>
      </c>
      <c r="E54" s="490">
        <f t="shared" si="14"/>
        <v>-342.07299999999998</v>
      </c>
      <c r="F54" s="490">
        <f t="shared" si="14"/>
        <v>-791.60799999999995</v>
      </c>
      <c r="G54" s="490">
        <f t="shared" si="14"/>
        <v>-1182.6579999999999</v>
      </c>
      <c r="H54" s="490">
        <f t="shared" si="14"/>
        <v>-1100.8989999999999</v>
      </c>
      <c r="I54" s="490">
        <f t="shared" si="14"/>
        <v>-1187.752</v>
      </c>
      <c r="J54" s="490">
        <f t="shared" si="14"/>
        <v>-1156.895</v>
      </c>
      <c r="K54" s="490">
        <f t="shared" si="14"/>
        <v>-1114.6500000000001</v>
      </c>
    </row>
    <row r="55" spans="2:13" x14ac:dyDescent="0.2">
      <c r="B55" s="519" t="s">
        <v>37</v>
      </c>
      <c r="C55" s="478" t="s">
        <v>123</v>
      </c>
      <c r="D55" s="489">
        <f t="shared" ref="D55:K55" si="15">D37/1000</f>
        <v>492.017</v>
      </c>
      <c r="E55" s="489">
        <f t="shared" si="15"/>
        <v>478.435</v>
      </c>
      <c r="F55" s="489">
        <f t="shared" si="15"/>
        <v>861.428</v>
      </c>
      <c r="G55" s="489">
        <f t="shared" si="15"/>
        <v>1199.58</v>
      </c>
      <c r="H55" s="489">
        <f t="shared" si="15"/>
        <v>1144.414</v>
      </c>
      <c r="I55" s="489">
        <f t="shared" si="15"/>
        <v>1001.107</v>
      </c>
      <c r="J55" s="489">
        <f t="shared" si="15"/>
        <v>957.41600000000005</v>
      </c>
      <c r="K55" s="489">
        <f t="shared" si="15"/>
        <v>923.72799999999995</v>
      </c>
    </row>
    <row r="56" spans="2:13" x14ac:dyDescent="0.2">
      <c r="B56" s="518" t="s">
        <v>780</v>
      </c>
      <c r="C56" s="430" t="s">
        <v>123</v>
      </c>
      <c r="D56" s="490">
        <f t="shared" ref="D56:K56" si="16">D38/1000</f>
        <v>-122.256</v>
      </c>
      <c r="E56" s="490">
        <f t="shared" si="16"/>
        <v>-113.544</v>
      </c>
      <c r="F56" s="490">
        <f t="shared" si="16"/>
        <v>-156.744</v>
      </c>
      <c r="G56" s="490">
        <f t="shared" si="16"/>
        <v>-187.505</v>
      </c>
      <c r="H56" s="490">
        <f t="shared" si="16"/>
        <v>-217.928</v>
      </c>
      <c r="I56" s="490">
        <f t="shared" si="16"/>
        <v>-222.334</v>
      </c>
      <c r="J56" s="490">
        <f t="shared" si="16"/>
        <v>-232.23</v>
      </c>
      <c r="K56" s="490">
        <f t="shared" si="16"/>
        <v>-201.911</v>
      </c>
    </row>
    <row r="57" spans="2:13" x14ac:dyDescent="0.2">
      <c r="B57" s="518" t="s">
        <v>269</v>
      </c>
      <c r="C57" s="430" t="s">
        <v>123</v>
      </c>
      <c r="D57" s="490">
        <f t="shared" ref="D57:K57" si="17">D39/1000</f>
        <v>-224.42699999999999</v>
      </c>
      <c r="E57" s="490">
        <f t="shared" si="17"/>
        <v>-230.864</v>
      </c>
      <c r="F57" s="490">
        <f t="shared" si="17"/>
        <v>-413.45400000000001</v>
      </c>
      <c r="G57" s="490">
        <f t="shared" si="17"/>
        <v>-382.73099999999999</v>
      </c>
      <c r="H57" s="490">
        <f t="shared" si="17"/>
        <v>-370.61200000000002</v>
      </c>
      <c r="I57" s="490">
        <f t="shared" si="17"/>
        <v>-396.363</v>
      </c>
      <c r="J57" s="490">
        <f t="shared" si="17"/>
        <v>-440.202</v>
      </c>
      <c r="K57" s="490">
        <f t="shared" si="17"/>
        <v>-440.40199999999999</v>
      </c>
    </row>
    <row r="58" spans="2:13" x14ac:dyDescent="0.2">
      <c r="B58" s="519" t="s">
        <v>1097</v>
      </c>
      <c r="C58" s="478" t="s">
        <v>123</v>
      </c>
      <c r="D58" s="489">
        <f t="shared" ref="D58:K58" si="18">D40/1000</f>
        <v>145.334</v>
      </c>
      <c r="E58" s="489">
        <f t="shared" si="18"/>
        <v>134.02699999999999</v>
      </c>
      <c r="F58" s="489">
        <f t="shared" si="18"/>
        <v>291.23</v>
      </c>
      <c r="G58" s="489">
        <f t="shared" si="18"/>
        <v>629.34400000000005</v>
      </c>
      <c r="H58" s="489">
        <f t="shared" si="18"/>
        <v>555.87400000000002</v>
      </c>
      <c r="I58" s="489">
        <f t="shared" si="18"/>
        <v>382.41</v>
      </c>
      <c r="J58" s="489">
        <f t="shared" si="18"/>
        <v>284.98399999999998</v>
      </c>
      <c r="K58" s="489">
        <f t="shared" si="18"/>
        <v>281.41500000000002</v>
      </c>
    </row>
    <row r="59" spans="2:13" x14ac:dyDescent="0.2">
      <c r="B59" s="519" t="s">
        <v>1098</v>
      </c>
      <c r="C59" s="478" t="s">
        <v>123</v>
      </c>
      <c r="D59" s="489">
        <f t="shared" ref="D59:K59" si="19">D41/1000</f>
        <v>64.111000000000004</v>
      </c>
      <c r="E59" s="489">
        <f t="shared" si="19"/>
        <v>57.12</v>
      </c>
      <c r="F59" s="489">
        <f t="shared" si="19"/>
        <v>146.55099999999999</v>
      </c>
      <c r="G59" s="489">
        <f t="shared" si="19"/>
        <v>369.31200000000001</v>
      </c>
      <c r="H59" s="489">
        <f t="shared" si="19"/>
        <v>316.34800000000001</v>
      </c>
      <c r="I59" s="489">
        <f t="shared" si="19"/>
        <v>186.31</v>
      </c>
      <c r="J59" s="489">
        <f t="shared" si="19"/>
        <v>115.84099999999999</v>
      </c>
      <c r="K59" s="489">
        <f t="shared" si="19"/>
        <v>79.721999999999994</v>
      </c>
    </row>
    <row r="60" spans="2:13" x14ac:dyDescent="0.2">
      <c r="B60" s="493"/>
      <c r="C60" s="478"/>
      <c r="D60" s="433"/>
      <c r="E60" s="433"/>
      <c r="F60" s="433"/>
      <c r="G60" s="433"/>
      <c r="H60" s="433"/>
      <c r="I60" s="433"/>
      <c r="J60" s="433"/>
      <c r="K60" s="433"/>
    </row>
    <row r="61" spans="2:13" x14ac:dyDescent="0.2">
      <c r="B61" s="516" t="s">
        <v>1076</v>
      </c>
      <c r="C61" s="478"/>
      <c r="D61" s="433"/>
      <c r="E61" s="433"/>
      <c r="F61" s="433"/>
      <c r="G61" s="433"/>
      <c r="H61" s="433"/>
      <c r="I61" s="433"/>
      <c r="J61" s="433"/>
      <c r="K61" s="433"/>
    </row>
    <row r="62" spans="2:13" x14ac:dyDescent="0.2">
      <c r="B62" s="492" t="s">
        <v>1073</v>
      </c>
      <c r="C62" s="430" t="s">
        <v>118</v>
      </c>
      <c r="D62" s="440">
        <f>D44</f>
        <v>-0.31385559390579787</v>
      </c>
      <c r="E62" s="440">
        <f t="shared" ref="E62:K62" si="20">E44</f>
        <v>-0.41690391806051863</v>
      </c>
      <c r="F62" s="440">
        <f t="shared" si="20"/>
        <v>-0.47888128268228886</v>
      </c>
      <c r="G62" s="440">
        <f t="shared" si="20"/>
        <v>-0.49644829777713229</v>
      </c>
      <c r="H62" s="440">
        <f t="shared" si="20"/>
        <v>-0.49030981426642967</v>
      </c>
      <c r="I62" s="440">
        <f t="shared" si="20"/>
        <v>-0.54263522684649856</v>
      </c>
      <c r="J62" s="440">
        <f t="shared" si="20"/>
        <v>-0.54717352366799399</v>
      </c>
      <c r="K62" s="440">
        <f t="shared" si="20"/>
        <v>-0.54683184375027594</v>
      </c>
    </row>
    <row r="63" spans="2:13" x14ac:dyDescent="0.2">
      <c r="B63" s="492" t="s">
        <v>1079</v>
      </c>
      <c r="C63" s="430" t="s">
        <v>118</v>
      </c>
      <c r="D63" s="440">
        <f t="shared" ref="D63:K63" si="21">D45</f>
        <v>-0.17049262629432069</v>
      </c>
      <c r="E63" s="440">
        <f t="shared" si="21"/>
        <v>-0.13838256299755761</v>
      </c>
      <c r="F63" s="440">
        <f t="shared" si="21"/>
        <v>-9.4821891356268104E-2</v>
      </c>
      <c r="G63" s="440">
        <f t="shared" si="21"/>
        <v>-7.8709599964403215E-2</v>
      </c>
      <c r="H63" s="440">
        <f t="shared" si="21"/>
        <v>-9.7059073723797087E-2</v>
      </c>
      <c r="I63" s="440">
        <f t="shared" si="21"/>
        <v>-0.10157529562205697</v>
      </c>
      <c r="J63" s="440">
        <f t="shared" si="21"/>
        <v>-0.10983719991997393</v>
      </c>
      <c r="K63" s="440">
        <f t="shared" si="21"/>
        <v>-9.9054738620609137E-2</v>
      </c>
    </row>
    <row r="64" spans="2:13" x14ac:dyDescent="0.2">
      <c r="B64" s="492" t="s">
        <v>1096</v>
      </c>
      <c r="C64" s="430" t="s">
        <v>118</v>
      </c>
      <c r="D64" s="440">
        <f t="shared" ref="D64:K64" si="22">D46</f>
        <v>0.20267614963567271</v>
      </c>
      <c r="E64" s="440">
        <f t="shared" si="22"/>
        <v>0.16334636590989973</v>
      </c>
      <c r="F64" s="440">
        <f t="shared" si="22"/>
        <v>0.17617886119842521</v>
      </c>
      <c r="G64" s="440">
        <f t="shared" si="22"/>
        <v>0.26418183237778931</v>
      </c>
      <c r="H64" s="440">
        <f t="shared" si="22"/>
        <v>0.24757082865506946</v>
      </c>
      <c r="I64" s="440">
        <f t="shared" si="22"/>
        <v>0.17470746174148266</v>
      </c>
      <c r="J64" s="440">
        <f t="shared" si="22"/>
        <v>0.13478811773670005</v>
      </c>
      <c r="K64" s="440">
        <f t="shared" si="22"/>
        <v>0.13805829929483149</v>
      </c>
    </row>
    <row r="65" spans="2:11" x14ac:dyDescent="0.2">
      <c r="B65" s="492" t="s">
        <v>1095</v>
      </c>
      <c r="C65" s="430" t="s">
        <v>118</v>
      </c>
      <c r="D65" s="440">
        <f t="shared" ref="D65:K65" si="23">D47</f>
        <v>8.9406268521423846E-2</v>
      </c>
      <c r="E65" s="440">
        <f t="shared" si="23"/>
        <v>6.9615408990527816E-2</v>
      </c>
      <c r="F65" s="440">
        <f t="shared" si="23"/>
        <v>8.8655661461698357E-2</v>
      </c>
      <c r="G65" s="440">
        <f t="shared" si="23"/>
        <v>0.1550273314421145</v>
      </c>
      <c r="H65" s="440">
        <f t="shared" si="23"/>
        <v>0.140892606064277</v>
      </c>
      <c r="I65" s="440">
        <f t="shared" si="23"/>
        <v>8.5117405917877767E-2</v>
      </c>
      <c r="J65" s="440">
        <f t="shared" si="23"/>
        <v>5.4789006915255137E-2</v>
      </c>
      <c r="K65" s="440">
        <f t="shared" si="23"/>
        <v>3.9110508453289825E-2</v>
      </c>
    </row>
  </sheetData>
  <pageMargins left="0.7" right="0.7" top="0.75" bottom="0.75" header="0.511811023622047" footer="0.511811023622047"/>
  <pageSetup paperSize="9" orientation="portrait" horizontalDpi="300" verticalDpi="300"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E5EE-EF61-47FD-96CE-12B7657B6AD0}">
  <dimension ref="A1:I109"/>
  <sheetViews>
    <sheetView workbookViewId="0">
      <selection activeCell="E78" sqref="E78:I78"/>
    </sheetView>
  </sheetViews>
  <sheetFormatPr defaultColWidth="8.7109375" defaultRowHeight="15" x14ac:dyDescent="0.25"/>
  <cols>
    <col min="1" max="1" width="54" customWidth="1"/>
    <col min="2" max="9" width="10" customWidth="1"/>
  </cols>
  <sheetData>
    <row r="1" spans="1:9" ht="15.75" x14ac:dyDescent="0.25">
      <c r="A1" s="695" t="s">
        <v>1213</v>
      </c>
      <c r="B1" s="695"/>
      <c r="C1" s="695"/>
      <c r="D1" s="695"/>
      <c r="E1" s="695"/>
      <c r="F1" s="695"/>
      <c r="G1" s="695"/>
      <c r="H1" s="695"/>
      <c r="I1" s="695"/>
    </row>
    <row r="2" spans="1:9" x14ac:dyDescent="0.25">
      <c r="A2" s="696" t="s">
        <v>1214</v>
      </c>
      <c r="B2" s="696"/>
      <c r="C2" s="696"/>
      <c r="D2" s="696"/>
      <c r="E2" s="696"/>
      <c r="F2" s="696"/>
      <c r="G2" s="696"/>
      <c r="H2" s="696"/>
      <c r="I2" s="696"/>
    </row>
    <row r="4" spans="1:9" x14ac:dyDescent="0.25">
      <c r="A4" s="586" t="s">
        <v>1215</v>
      </c>
      <c r="B4" s="587"/>
      <c r="C4" s="587"/>
      <c r="D4" s="587"/>
      <c r="E4" s="587"/>
      <c r="F4" s="587"/>
      <c r="G4" s="587"/>
      <c r="H4" s="587"/>
      <c r="I4" s="587"/>
    </row>
    <row r="5" spans="1:9" x14ac:dyDescent="0.25">
      <c r="A5" s="549" t="s">
        <v>123</v>
      </c>
      <c r="B5" s="588" t="s">
        <v>167</v>
      </c>
      <c r="C5" s="588" t="s">
        <v>168</v>
      </c>
      <c r="D5" s="588" t="s">
        <v>169</v>
      </c>
      <c r="E5" s="588" t="s">
        <v>170</v>
      </c>
      <c r="F5" s="588" t="s">
        <v>171</v>
      </c>
      <c r="G5" s="588" t="s">
        <v>172</v>
      </c>
      <c r="H5" s="588" t="s">
        <v>173</v>
      </c>
      <c r="I5" s="588" t="s">
        <v>174</v>
      </c>
    </row>
    <row r="6" spans="1:9" x14ac:dyDescent="0.25">
      <c r="A6" s="585" t="s">
        <v>1121</v>
      </c>
      <c r="B6" s="589" t="s">
        <v>1194</v>
      </c>
      <c r="C6" s="589" t="s">
        <v>1122</v>
      </c>
      <c r="D6" s="589" t="s">
        <v>1123</v>
      </c>
      <c r="E6" s="589" t="s">
        <v>1124</v>
      </c>
      <c r="F6" s="589" t="s">
        <v>1125</v>
      </c>
      <c r="G6" s="589" t="s">
        <v>1126</v>
      </c>
      <c r="H6" s="589" t="s">
        <v>1127</v>
      </c>
      <c r="I6" s="589" t="s">
        <v>1128</v>
      </c>
    </row>
    <row r="7" spans="1:9" x14ac:dyDescent="0.25">
      <c r="A7" s="548" t="s">
        <v>1216</v>
      </c>
      <c r="B7" s="590"/>
      <c r="C7" s="590"/>
      <c r="D7" s="590"/>
      <c r="E7" s="590"/>
      <c r="F7" s="591">
        <v>1073.5</v>
      </c>
      <c r="G7" s="591">
        <v>942.7</v>
      </c>
      <c r="H7" s="591">
        <v>922</v>
      </c>
      <c r="I7" s="591">
        <v>1069.7</v>
      </c>
    </row>
    <row r="8" spans="1:9" x14ac:dyDescent="0.25">
      <c r="A8" s="548" t="s">
        <v>1217</v>
      </c>
      <c r="B8" s="590"/>
      <c r="C8" s="590"/>
      <c r="D8" s="590"/>
      <c r="E8" s="590"/>
      <c r="F8" s="591">
        <v>654</v>
      </c>
      <c r="G8" s="591">
        <v>818.4</v>
      </c>
      <c r="H8" s="591">
        <v>821.8</v>
      </c>
      <c r="I8" s="591">
        <v>965.7</v>
      </c>
    </row>
    <row r="9" spans="1:9" x14ac:dyDescent="0.25">
      <c r="A9" s="549" t="s">
        <v>1218</v>
      </c>
      <c r="B9" s="592"/>
      <c r="C9" s="592"/>
      <c r="D9" s="592"/>
      <c r="E9" s="592"/>
      <c r="F9" s="593">
        <v>1727.5</v>
      </c>
      <c r="G9" s="593">
        <v>1761.1</v>
      </c>
      <c r="H9" s="593">
        <v>1743.8</v>
      </c>
      <c r="I9" s="593">
        <v>2035.4</v>
      </c>
    </row>
    <row r="10" spans="1:9" x14ac:dyDescent="0.25">
      <c r="A10" s="548" t="s">
        <v>1219</v>
      </c>
      <c r="B10" s="590"/>
      <c r="C10" s="590"/>
      <c r="D10" s="590"/>
      <c r="E10" s="590"/>
      <c r="F10" s="590"/>
      <c r="G10" s="591">
        <v>249.3</v>
      </c>
      <c r="H10" s="591">
        <v>212.3</v>
      </c>
      <c r="I10" s="591">
        <v>232.2</v>
      </c>
    </row>
    <row r="11" spans="1:9" x14ac:dyDescent="0.25">
      <c r="A11" s="549" t="s">
        <v>1220</v>
      </c>
      <c r="B11" s="592"/>
      <c r="C11" s="592"/>
      <c r="D11" s="592"/>
      <c r="E11" s="592"/>
      <c r="F11" s="592"/>
      <c r="G11" s="593">
        <v>2010.4</v>
      </c>
      <c r="H11" s="593">
        <v>1956.1</v>
      </c>
      <c r="I11" s="593">
        <v>2267.6</v>
      </c>
    </row>
    <row r="12" spans="1:9" x14ac:dyDescent="0.25">
      <c r="A12" s="548" t="s">
        <v>1221</v>
      </c>
      <c r="B12" s="590"/>
      <c r="C12" s="590"/>
      <c r="D12" s="590"/>
      <c r="E12" s="590"/>
      <c r="F12" s="590"/>
      <c r="G12" s="591">
        <v>220.4</v>
      </c>
      <c r="H12" s="591">
        <v>360.9</v>
      </c>
      <c r="I12" s="591">
        <v>370.6</v>
      </c>
    </row>
    <row r="13" spans="1:9" x14ac:dyDescent="0.25">
      <c r="A13" s="600" t="s">
        <v>1222</v>
      </c>
      <c r="B13" s="590"/>
      <c r="C13" s="590"/>
      <c r="D13" s="590"/>
      <c r="E13" s="590"/>
      <c r="F13" s="590"/>
      <c r="G13" s="590"/>
      <c r="H13" s="601">
        <v>-154.19999999999999</v>
      </c>
      <c r="I13" s="601">
        <v>-199.4</v>
      </c>
    </row>
    <row r="14" spans="1:9" x14ac:dyDescent="0.25">
      <c r="A14" s="600" t="s">
        <v>1223</v>
      </c>
      <c r="B14" s="590"/>
      <c r="C14" s="590"/>
      <c r="D14" s="590"/>
      <c r="E14" s="590"/>
      <c r="F14" s="601">
        <v>454.4</v>
      </c>
      <c r="G14" s="601">
        <v>469.7</v>
      </c>
      <c r="H14" s="590"/>
      <c r="I14" s="590"/>
    </row>
    <row r="15" spans="1:9" x14ac:dyDescent="0.25">
      <c r="A15" s="549" t="s">
        <v>1224</v>
      </c>
      <c r="B15" s="593">
        <v>2461.8000000000002</v>
      </c>
      <c r="C15" s="593">
        <v>2312.1999999999998</v>
      </c>
      <c r="D15" s="593">
        <v>2084</v>
      </c>
      <c r="E15" s="593">
        <v>2298</v>
      </c>
      <c r="F15" s="593">
        <v>2181.9</v>
      </c>
      <c r="G15" s="593">
        <v>2230.8000000000002</v>
      </c>
      <c r="H15" s="593">
        <v>2162.8000000000002</v>
      </c>
      <c r="I15" s="593">
        <v>2438.8000000000002</v>
      </c>
    </row>
    <row r="16" spans="1:9" x14ac:dyDescent="0.25">
      <c r="A16" s="548" t="s">
        <v>1225</v>
      </c>
      <c r="B16" s="591">
        <v>993.8</v>
      </c>
      <c r="C16" s="591">
        <v>944.3</v>
      </c>
      <c r="D16" s="591">
        <v>825</v>
      </c>
      <c r="E16" s="591">
        <v>883.6</v>
      </c>
      <c r="F16" s="591">
        <v>799.3</v>
      </c>
      <c r="G16" s="591">
        <v>815.1</v>
      </c>
      <c r="H16" s="591">
        <v>758.2</v>
      </c>
      <c r="I16" s="591">
        <v>915.9</v>
      </c>
    </row>
    <row r="17" spans="1:9" x14ac:dyDescent="0.25">
      <c r="A17" s="549" t="s">
        <v>1226</v>
      </c>
      <c r="B17" s="593">
        <v>451.8</v>
      </c>
      <c r="C17" s="593">
        <v>416</v>
      </c>
      <c r="D17" s="593">
        <v>371</v>
      </c>
      <c r="E17" s="593">
        <v>414.1</v>
      </c>
      <c r="F17" s="593">
        <v>306</v>
      </c>
      <c r="G17" s="593">
        <v>308</v>
      </c>
      <c r="H17" s="593">
        <v>251.2</v>
      </c>
      <c r="I17" s="593">
        <v>329.1</v>
      </c>
    </row>
    <row r="18" spans="1:9" ht="15" customHeight="1" x14ac:dyDescent="0.25">
      <c r="A18" s="694" t="s">
        <v>1227</v>
      </c>
      <c r="B18" s="694"/>
      <c r="C18" s="694"/>
      <c r="D18" s="694"/>
      <c r="E18" s="694"/>
      <c r="F18" s="694"/>
      <c r="G18" s="694"/>
      <c r="H18" s="694"/>
      <c r="I18" s="694"/>
    </row>
    <row r="19" spans="1:9" x14ac:dyDescent="0.25">
      <c r="A19" s="694"/>
      <c r="B19" s="694"/>
      <c r="C19" s="694"/>
      <c r="D19" s="694"/>
      <c r="E19" s="694"/>
      <c r="F19" s="694"/>
      <c r="G19" s="694"/>
      <c r="H19" s="694"/>
      <c r="I19" s="694"/>
    </row>
    <row r="20" spans="1:9" x14ac:dyDescent="0.25">
      <c r="A20" s="694"/>
      <c r="B20" s="694"/>
      <c r="C20" s="694"/>
      <c r="D20" s="694"/>
      <c r="E20" s="694"/>
      <c r="F20" s="694"/>
      <c r="G20" s="694"/>
      <c r="H20" s="694"/>
      <c r="I20" s="694"/>
    </row>
    <row r="21" spans="1:9" x14ac:dyDescent="0.25">
      <c r="A21" s="694"/>
      <c r="B21" s="694"/>
      <c r="C21" s="694"/>
      <c r="D21" s="694"/>
      <c r="E21" s="694"/>
      <c r="F21" s="694"/>
      <c r="G21" s="694"/>
      <c r="H21" s="694"/>
      <c r="I21" s="694"/>
    </row>
    <row r="23" spans="1:9" x14ac:dyDescent="0.25">
      <c r="A23" s="586" t="s">
        <v>1228</v>
      </c>
      <c r="B23" s="587"/>
      <c r="C23" s="587"/>
      <c r="D23" s="587"/>
      <c r="E23" s="587"/>
      <c r="F23" s="587"/>
      <c r="G23" s="587"/>
      <c r="H23" s="587"/>
      <c r="I23" s="587"/>
    </row>
    <row r="24" spans="1:9" x14ac:dyDescent="0.25">
      <c r="A24" s="549" t="s">
        <v>123</v>
      </c>
      <c r="B24" s="588" t="s">
        <v>167</v>
      </c>
      <c r="C24" s="588" t="s">
        <v>168</v>
      </c>
      <c r="D24" s="588" t="s">
        <v>169</v>
      </c>
      <c r="E24" s="588" t="s">
        <v>170</v>
      </c>
      <c r="F24" s="588" t="s">
        <v>171</v>
      </c>
      <c r="G24" s="588" t="s">
        <v>172</v>
      </c>
      <c r="H24" s="588" t="s">
        <v>173</v>
      </c>
      <c r="I24" s="588" t="s">
        <v>174</v>
      </c>
    </row>
    <row r="25" spans="1:9" x14ac:dyDescent="0.25">
      <c r="A25" s="585" t="s">
        <v>1121</v>
      </c>
      <c r="B25" s="589" t="s">
        <v>1194</v>
      </c>
      <c r="C25" s="589" t="s">
        <v>1122</v>
      </c>
      <c r="D25" s="589" t="s">
        <v>1123</v>
      </c>
      <c r="E25" s="589" t="s">
        <v>1124</v>
      </c>
      <c r="F25" s="589" t="s">
        <v>1125</v>
      </c>
      <c r="G25" s="589" t="s">
        <v>1126</v>
      </c>
      <c r="H25" s="589" t="s">
        <v>1127</v>
      </c>
      <c r="I25" s="589" t="s">
        <v>1128</v>
      </c>
    </row>
    <row r="26" spans="1:9" x14ac:dyDescent="0.25">
      <c r="A26" s="548" t="s">
        <v>1229</v>
      </c>
      <c r="B26" s="591">
        <v>315</v>
      </c>
      <c r="C26" s="591">
        <v>304</v>
      </c>
      <c r="D26" s="591">
        <v>221</v>
      </c>
      <c r="E26" s="591">
        <v>183.2</v>
      </c>
      <c r="F26" s="591">
        <v>192.9</v>
      </c>
      <c r="G26" s="591">
        <v>203.6</v>
      </c>
      <c r="H26" s="591">
        <v>176.1</v>
      </c>
      <c r="I26" s="591">
        <v>175.8</v>
      </c>
    </row>
    <row r="27" spans="1:9" x14ac:dyDescent="0.25">
      <c r="A27" s="549" t="s">
        <v>1230</v>
      </c>
      <c r="B27" s="593">
        <v>152</v>
      </c>
      <c r="C27" s="593">
        <v>139.69999999999999</v>
      </c>
      <c r="D27" s="593">
        <v>84</v>
      </c>
      <c r="E27" s="593">
        <v>70.7</v>
      </c>
      <c r="F27" s="593">
        <v>75.2</v>
      </c>
      <c r="G27" s="593">
        <v>83.1</v>
      </c>
      <c r="H27" s="593">
        <v>66.5</v>
      </c>
      <c r="I27" s="593">
        <v>62.4</v>
      </c>
    </row>
    <row r="28" spans="1:9" ht="15" customHeight="1" x14ac:dyDescent="0.25">
      <c r="A28" s="694" t="s">
        <v>1231</v>
      </c>
      <c r="B28" s="694"/>
      <c r="C28" s="694"/>
      <c r="D28" s="694"/>
      <c r="E28" s="694"/>
      <c r="F28" s="694"/>
      <c r="G28" s="694"/>
      <c r="H28" s="694"/>
      <c r="I28" s="694"/>
    </row>
    <row r="29" spans="1:9" x14ac:dyDescent="0.25">
      <c r="A29" s="694"/>
      <c r="B29" s="694"/>
      <c r="C29" s="694"/>
      <c r="D29" s="694"/>
      <c r="E29" s="694"/>
      <c r="F29" s="694"/>
      <c r="G29" s="694"/>
      <c r="H29" s="694"/>
      <c r="I29" s="694"/>
    </row>
    <row r="31" spans="1:9" x14ac:dyDescent="0.25">
      <c r="A31" s="586" t="s">
        <v>1232</v>
      </c>
      <c r="B31" s="587"/>
      <c r="C31" s="587"/>
      <c r="D31" s="587"/>
      <c r="E31" s="587"/>
      <c r="F31" s="587"/>
      <c r="G31" s="587"/>
      <c r="H31" s="587"/>
      <c r="I31" s="587"/>
    </row>
    <row r="32" spans="1:9" x14ac:dyDescent="0.25">
      <c r="A32" s="549" t="s">
        <v>123</v>
      </c>
      <c r="B32" s="588" t="s">
        <v>167</v>
      </c>
      <c r="C32" s="588" t="s">
        <v>168</v>
      </c>
      <c r="D32" s="588" t="s">
        <v>169</v>
      </c>
      <c r="E32" s="588" t="s">
        <v>170</v>
      </c>
      <c r="F32" s="588" t="s">
        <v>171</v>
      </c>
      <c r="G32" s="588" t="s">
        <v>172</v>
      </c>
      <c r="H32" s="588" t="s">
        <v>173</v>
      </c>
      <c r="I32" s="588" t="s">
        <v>174</v>
      </c>
    </row>
    <row r="33" spans="1:9" x14ac:dyDescent="0.25">
      <c r="A33" s="585" t="s">
        <v>1121</v>
      </c>
      <c r="B33" s="589" t="s">
        <v>1194</v>
      </c>
      <c r="C33" s="589" t="s">
        <v>1122</v>
      </c>
      <c r="D33" s="589" t="s">
        <v>1123</v>
      </c>
      <c r="E33" s="589" t="s">
        <v>1124</v>
      </c>
      <c r="F33" s="589" t="s">
        <v>1125</v>
      </c>
      <c r="G33" s="589" t="s">
        <v>1126</v>
      </c>
      <c r="H33" s="589" t="s">
        <v>1127</v>
      </c>
      <c r="I33" s="589" t="s">
        <v>1128</v>
      </c>
    </row>
    <row r="34" spans="1:9" x14ac:dyDescent="0.25">
      <c r="A34" s="548" t="s">
        <v>1233</v>
      </c>
      <c r="B34" s="590"/>
      <c r="C34" s="590"/>
      <c r="D34" s="590"/>
      <c r="E34" s="590"/>
      <c r="F34" s="591">
        <v>1302.0999999999999</v>
      </c>
      <c r="G34" s="591">
        <v>1142.0999999999999</v>
      </c>
      <c r="H34" s="591">
        <v>1116.4000000000001</v>
      </c>
      <c r="I34" s="591">
        <v>1081.2</v>
      </c>
    </row>
    <row r="35" spans="1:9" x14ac:dyDescent="0.25">
      <c r="A35" s="548" t="s">
        <v>1234</v>
      </c>
      <c r="B35" s="590"/>
      <c r="C35" s="590"/>
      <c r="D35" s="590"/>
      <c r="E35" s="590"/>
      <c r="F35" s="591">
        <v>698.8</v>
      </c>
      <c r="G35" s="591">
        <v>882</v>
      </c>
      <c r="H35" s="591">
        <v>895.8</v>
      </c>
      <c r="I35" s="591">
        <v>917.4</v>
      </c>
    </row>
    <row r="36" spans="1:9" ht="15" customHeight="1" x14ac:dyDescent="0.25">
      <c r="A36" s="694" t="s">
        <v>1235</v>
      </c>
      <c r="B36" s="694"/>
      <c r="C36" s="694"/>
      <c r="D36" s="694"/>
      <c r="E36" s="694"/>
      <c r="F36" s="694"/>
      <c r="G36" s="694"/>
      <c r="H36" s="694"/>
      <c r="I36" s="694"/>
    </row>
    <row r="37" spans="1:9" x14ac:dyDescent="0.25">
      <c r="A37" s="694"/>
      <c r="B37" s="694"/>
      <c r="C37" s="694"/>
      <c r="D37" s="694"/>
      <c r="E37" s="694"/>
      <c r="F37" s="694"/>
      <c r="G37" s="694"/>
      <c r="H37" s="694"/>
      <c r="I37" s="694"/>
    </row>
    <row r="39" spans="1:9" x14ac:dyDescent="0.25">
      <c r="A39" s="586" t="s">
        <v>1236</v>
      </c>
      <c r="B39" s="587"/>
      <c r="C39" s="587"/>
      <c r="D39" s="587"/>
      <c r="E39" s="587"/>
      <c r="F39" s="587"/>
      <c r="G39" s="587"/>
      <c r="H39" s="587"/>
      <c r="I39" s="587"/>
    </row>
    <row r="40" spans="1:9" x14ac:dyDescent="0.25">
      <c r="A40" s="549" t="s">
        <v>123</v>
      </c>
      <c r="B40" s="588" t="s">
        <v>167</v>
      </c>
      <c r="C40" s="588" t="s">
        <v>168</v>
      </c>
      <c r="D40" s="588" t="s">
        <v>169</v>
      </c>
      <c r="E40" s="588" t="s">
        <v>170</v>
      </c>
      <c r="F40" s="588" t="s">
        <v>171</v>
      </c>
      <c r="G40" s="588" t="s">
        <v>172</v>
      </c>
      <c r="H40" s="588" t="s">
        <v>173</v>
      </c>
      <c r="I40" s="588" t="s">
        <v>174</v>
      </c>
    </row>
    <row r="41" spans="1:9" x14ac:dyDescent="0.25">
      <c r="A41" s="585" t="s">
        <v>1121</v>
      </c>
      <c r="B41" s="589" t="s">
        <v>1194</v>
      </c>
      <c r="C41" s="589" t="s">
        <v>1122</v>
      </c>
      <c r="D41" s="589" t="s">
        <v>1123</v>
      </c>
      <c r="E41" s="589" t="s">
        <v>1124</v>
      </c>
      <c r="F41" s="589" t="s">
        <v>1125</v>
      </c>
      <c r="G41" s="589" t="s">
        <v>1126</v>
      </c>
      <c r="H41" s="589" t="s">
        <v>1127</v>
      </c>
      <c r="I41" s="589" t="s">
        <v>1128</v>
      </c>
    </row>
    <row r="42" spans="1:9" x14ac:dyDescent="0.25">
      <c r="A42" s="548" t="s">
        <v>1237</v>
      </c>
      <c r="B42" s="590"/>
      <c r="C42" s="590"/>
      <c r="D42" s="590"/>
      <c r="E42" s="590"/>
      <c r="F42" s="590"/>
      <c r="G42" s="591">
        <v>11946.5</v>
      </c>
      <c r="H42" s="591">
        <v>11361.2</v>
      </c>
      <c r="I42" s="591">
        <v>10903</v>
      </c>
    </row>
    <row r="43" spans="1:9" x14ac:dyDescent="0.25">
      <c r="A43" s="548" t="s">
        <v>1238</v>
      </c>
      <c r="B43" s="590"/>
      <c r="C43" s="590"/>
      <c r="D43" s="590"/>
      <c r="E43" s="590"/>
      <c r="F43" s="590"/>
      <c r="G43" s="591">
        <v>2604.3000000000002</v>
      </c>
      <c r="H43" s="591">
        <v>2696.5</v>
      </c>
      <c r="I43" s="591">
        <v>2840</v>
      </c>
    </row>
    <row r="44" spans="1:9" x14ac:dyDescent="0.25">
      <c r="A44" s="549" t="s">
        <v>1239</v>
      </c>
      <c r="B44" s="592"/>
      <c r="C44" s="592"/>
      <c r="D44" s="592"/>
      <c r="E44" s="592"/>
      <c r="F44" s="592"/>
      <c r="G44" s="593">
        <v>14550.8</v>
      </c>
      <c r="H44" s="593">
        <v>14057.7</v>
      </c>
      <c r="I44" s="593">
        <v>13742.9</v>
      </c>
    </row>
    <row r="45" spans="1:9" x14ac:dyDescent="0.25">
      <c r="A45" s="548" t="s">
        <v>1240</v>
      </c>
      <c r="B45" s="590"/>
      <c r="C45" s="590"/>
      <c r="D45" s="590"/>
      <c r="E45" s="590"/>
      <c r="F45" s="590"/>
      <c r="G45" s="591">
        <v>9266.7000000000007</v>
      </c>
      <c r="H45" s="591">
        <v>8809.1</v>
      </c>
      <c r="I45" s="591">
        <v>8381.9</v>
      </c>
    </row>
    <row r="46" spans="1:9" x14ac:dyDescent="0.25">
      <c r="A46" s="548" t="s">
        <v>1241</v>
      </c>
      <c r="B46" s="590"/>
      <c r="C46" s="590"/>
      <c r="D46" s="590"/>
      <c r="E46" s="590"/>
      <c r="F46" s="590"/>
      <c r="G46" s="591">
        <v>5284.1</v>
      </c>
      <c r="H46" s="591">
        <v>5248.6</v>
      </c>
      <c r="I46" s="591">
        <v>5361</v>
      </c>
    </row>
    <row r="47" spans="1:9" ht="15" customHeight="1" x14ac:dyDescent="0.25">
      <c r="A47" s="694" t="s">
        <v>1242</v>
      </c>
      <c r="B47" s="694"/>
      <c r="C47" s="694"/>
      <c r="D47" s="694"/>
      <c r="E47" s="694"/>
      <c r="F47" s="694"/>
      <c r="G47" s="694"/>
      <c r="H47" s="694"/>
      <c r="I47" s="694"/>
    </row>
    <row r="48" spans="1:9" x14ac:dyDescent="0.25">
      <c r="A48" s="694"/>
      <c r="B48" s="694"/>
      <c r="C48" s="694"/>
      <c r="D48" s="694"/>
      <c r="E48" s="694"/>
      <c r="F48" s="694"/>
      <c r="G48" s="694"/>
      <c r="H48" s="694"/>
      <c r="I48" s="694"/>
    </row>
    <row r="50" spans="1:9" x14ac:dyDescent="0.25">
      <c r="A50" s="586" t="s">
        <v>1243</v>
      </c>
      <c r="B50" s="587"/>
      <c r="C50" s="587"/>
      <c r="D50" s="587"/>
      <c r="E50" s="587"/>
      <c r="F50" s="587"/>
      <c r="G50" s="587"/>
      <c r="H50" s="587"/>
      <c r="I50" s="587"/>
    </row>
    <row r="51" spans="1:9" x14ac:dyDescent="0.25">
      <c r="A51" s="549" t="s">
        <v>123</v>
      </c>
      <c r="B51" s="588" t="s">
        <v>167</v>
      </c>
      <c r="C51" s="588" t="s">
        <v>168</v>
      </c>
      <c r="D51" s="588" t="s">
        <v>169</v>
      </c>
      <c r="E51" s="588" t="s">
        <v>170</v>
      </c>
      <c r="F51" s="588" t="s">
        <v>171</v>
      </c>
      <c r="G51" s="588" t="s">
        <v>172</v>
      </c>
      <c r="H51" s="588" t="s">
        <v>173</v>
      </c>
      <c r="I51" s="588" t="s">
        <v>174</v>
      </c>
    </row>
    <row r="52" spans="1:9" x14ac:dyDescent="0.25">
      <c r="A52" s="585" t="s">
        <v>1121</v>
      </c>
      <c r="B52" s="589" t="s">
        <v>1194</v>
      </c>
      <c r="C52" s="589" t="s">
        <v>1122</v>
      </c>
      <c r="D52" s="589" t="s">
        <v>1123</v>
      </c>
      <c r="E52" s="589" t="s">
        <v>1124</v>
      </c>
      <c r="F52" s="589" t="s">
        <v>1125</v>
      </c>
      <c r="G52" s="589" t="s">
        <v>1126</v>
      </c>
      <c r="H52" s="589" t="s">
        <v>1127</v>
      </c>
      <c r="I52" s="589" t="s">
        <v>1128</v>
      </c>
    </row>
    <row r="53" spans="1:9" x14ac:dyDescent="0.25">
      <c r="A53" s="548" t="s">
        <v>1244</v>
      </c>
      <c r="B53" s="591">
        <v>1300.3</v>
      </c>
      <c r="C53" s="591">
        <v>1183</v>
      </c>
      <c r="D53" s="591">
        <v>1026</v>
      </c>
      <c r="E53" s="591">
        <v>1071.8</v>
      </c>
      <c r="F53" s="591">
        <v>1119.7</v>
      </c>
      <c r="G53" s="590"/>
      <c r="H53" s="590"/>
      <c r="I53" s="590"/>
    </row>
    <row r="54" spans="1:9" x14ac:dyDescent="0.25">
      <c r="A54" s="548" t="s">
        <v>1245</v>
      </c>
      <c r="B54" s="591">
        <v>913.7</v>
      </c>
      <c r="C54" s="591">
        <v>911.9</v>
      </c>
      <c r="D54" s="591">
        <v>911</v>
      </c>
      <c r="E54" s="591">
        <v>977.3</v>
      </c>
      <c r="F54" s="591">
        <v>844.2</v>
      </c>
      <c r="G54" s="590"/>
      <c r="H54" s="590"/>
      <c r="I54" s="590"/>
    </row>
    <row r="55" spans="1:9" x14ac:dyDescent="0.25">
      <c r="A55" s="548" t="s">
        <v>1246</v>
      </c>
      <c r="B55" s="591">
        <v>277.89999999999998</v>
      </c>
      <c r="C55" s="591">
        <v>252.1</v>
      </c>
      <c r="D55" s="591">
        <v>193</v>
      </c>
      <c r="E55" s="591">
        <v>242.2</v>
      </c>
      <c r="F55" s="591">
        <v>228.5</v>
      </c>
      <c r="G55" s="590"/>
      <c r="H55" s="590"/>
      <c r="I55" s="590"/>
    </row>
    <row r="56" spans="1:9" x14ac:dyDescent="0.25">
      <c r="A56" s="548" t="s">
        <v>1247</v>
      </c>
      <c r="B56" s="591">
        <v>76.599999999999994</v>
      </c>
      <c r="C56" s="591">
        <v>72.400000000000006</v>
      </c>
      <c r="D56" s="591">
        <v>55</v>
      </c>
      <c r="E56" s="591">
        <v>52.7</v>
      </c>
      <c r="F56" s="591">
        <v>43.1</v>
      </c>
      <c r="G56" s="590"/>
      <c r="H56" s="590"/>
      <c r="I56" s="590"/>
    </row>
    <row r="57" spans="1:9" x14ac:dyDescent="0.25">
      <c r="A57" s="600" t="s">
        <v>1248</v>
      </c>
      <c r="B57" s="601">
        <v>2568.5</v>
      </c>
      <c r="C57" s="601">
        <v>2419.4</v>
      </c>
      <c r="D57" s="601">
        <v>2185</v>
      </c>
      <c r="E57" s="601">
        <v>2344</v>
      </c>
      <c r="F57" s="601">
        <v>2235.5</v>
      </c>
      <c r="G57" s="590"/>
      <c r="H57" s="590"/>
      <c r="I57" s="590"/>
    </row>
    <row r="58" spans="1:9" ht="15" customHeight="1" x14ac:dyDescent="0.25">
      <c r="A58" s="694" t="s">
        <v>1249</v>
      </c>
      <c r="B58" s="694"/>
      <c r="C58" s="694"/>
      <c r="D58" s="694"/>
      <c r="E58" s="694"/>
      <c r="F58" s="694"/>
      <c r="G58" s="694"/>
      <c r="H58" s="694"/>
      <c r="I58" s="694"/>
    </row>
    <row r="59" spans="1:9" x14ac:dyDescent="0.25">
      <c r="A59" s="694"/>
      <c r="B59" s="694"/>
      <c r="C59" s="694"/>
      <c r="D59" s="694"/>
      <c r="E59" s="694"/>
      <c r="F59" s="694"/>
      <c r="G59" s="694"/>
      <c r="H59" s="694"/>
      <c r="I59" s="694"/>
    </row>
    <row r="61" spans="1:9" x14ac:dyDescent="0.25">
      <c r="A61" s="586" t="s">
        <v>1250</v>
      </c>
      <c r="B61" s="587"/>
      <c r="C61" s="587"/>
      <c r="D61" s="587"/>
      <c r="E61" s="587"/>
      <c r="F61" s="587"/>
      <c r="G61" s="587"/>
      <c r="H61" s="587"/>
      <c r="I61" s="587"/>
    </row>
    <row r="62" spans="1:9" x14ac:dyDescent="0.25">
      <c r="A62" s="549" t="s">
        <v>123</v>
      </c>
      <c r="B62" s="588" t="s">
        <v>167</v>
      </c>
      <c r="C62" s="588" t="s">
        <v>168</v>
      </c>
      <c r="D62" s="588" t="s">
        <v>169</v>
      </c>
      <c r="E62" s="588" t="s">
        <v>170</v>
      </c>
      <c r="F62" s="588" t="s">
        <v>171</v>
      </c>
      <c r="G62" s="588" t="s">
        <v>172</v>
      </c>
      <c r="H62" s="588" t="s">
        <v>173</v>
      </c>
      <c r="I62" s="588" t="s">
        <v>174</v>
      </c>
    </row>
    <row r="63" spans="1:9" x14ac:dyDescent="0.25">
      <c r="A63" s="585" t="s">
        <v>1121</v>
      </c>
      <c r="B63" s="589" t="s">
        <v>1194</v>
      </c>
      <c r="C63" s="589" t="s">
        <v>1122</v>
      </c>
      <c r="D63" s="589" t="s">
        <v>1123</v>
      </c>
      <c r="E63" s="589" t="s">
        <v>1124</v>
      </c>
      <c r="F63" s="589" t="s">
        <v>1125</v>
      </c>
      <c r="G63" s="589" t="s">
        <v>1126</v>
      </c>
      <c r="H63" s="589" t="s">
        <v>1127</v>
      </c>
      <c r="I63" s="589" t="s">
        <v>1128</v>
      </c>
    </row>
    <row r="64" spans="1:9" x14ac:dyDescent="0.25">
      <c r="A64" s="600" t="s">
        <v>1251</v>
      </c>
      <c r="B64" s="601">
        <v>8019.4</v>
      </c>
      <c r="C64" s="601">
        <v>7428.5</v>
      </c>
      <c r="D64" s="601">
        <v>5354</v>
      </c>
      <c r="E64" s="601">
        <v>5305.2</v>
      </c>
      <c r="F64" s="601">
        <v>4089.7</v>
      </c>
      <c r="G64" s="590"/>
      <c r="H64" s="590"/>
      <c r="I64" s="590"/>
    </row>
    <row r="65" spans="1:9" x14ac:dyDescent="0.25">
      <c r="A65" s="600" t="s">
        <v>1240</v>
      </c>
      <c r="B65" s="601">
        <v>6323.3</v>
      </c>
      <c r="C65" s="601">
        <v>6808.2</v>
      </c>
      <c r="D65" s="601">
        <v>7067</v>
      </c>
      <c r="E65" s="601">
        <v>9097.1</v>
      </c>
      <c r="F65" s="601">
        <v>9321.4</v>
      </c>
      <c r="G65" s="590"/>
      <c r="H65" s="590"/>
      <c r="I65" s="590"/>
    </row>
    <row r="66" spans="1:9" x14ac:dyDescent="0.25">
      <c r="A66" s="600" t="s">
        <v>1252</v>
      </c>
      <c r="B66" s="601">
        <v>16269.1</v>
      </c>
      <c r="C66" s="601">
        <v>16074.9</v>
      </c>
      <c r="D66" s="601">
        <v>14079</v>
      </c>
      <c r="E66" s="601">
        <v>16445.3</v>
      </c>
      <c r="F66" s="601">
        <v>16304.9</v>
      </c>
      <c r="G66" s="590"/>
      <c r="H66" s="590"/>
      <c r="I66" s="590"/>
    </row>
    <row r="67" spans="1:9" ht="15" customHeight="1" x14ac:dyDescent="0.25">
      <c r="A67" s="694" t="s">
        <v>1253</v>
      </c>
      <c r="B67" s="694"/>
      <c r="C67" s="694"/>
      <c r="D67" s="694"/>
      <c r="E67" s="694"/>
      <c r="F67" s="694"/>
      <c r="G67" s="694"/>
      <c r="H67" s="694"/>
      <c r="I67" s="694"/>
    </row>
    <row r="68" spans="1:9" x14ac:dyDescent="0.25">
      <c r="A68" s="694"/>
      <c r="B68" s="694"/>
      <c r="C68" s="694"/>
      <c r="D68" s="694"/>
      <c r="E68" s="694"/>
      <c r="F68" s="694"/>
      <c r="G68" s="694"/>
      <c r="H68" s="694"/>
      <c r="I68" s="694"/>
    </row>
    <row r="70" spans="1:9" x14ac:dyDescent="0.25">
      <c r="A70" s="549" t="s">
        <v>123</v>
      </c>
      <c r="B70" s="588" t="s">
        <v>167</v>
      </c>
      <c r="C70" s="588" t="s">
        <v>168</v>
      </c>
      <c r="D70" s="588" t="s">
        <v>169</v>
      </c>
      <c r="E70" s="588" t="s">
        <v>170</v>
      </c>
      <c r="F70" s="588" t="s">
        <v>171</v>
      </c>
      <c r="G70" s="588" t="s">
        <v>172</v>
      </c>
      <c r="H70" s="588" t="s">
        <v>173</v>
      </c>
      <c r="I70" s="588" t="s">
        <v>174</v>
      </c>
    </row>
    <row r="71" spans="1:9" x14ac:dyDescent="0.25">
      <c r="A71" s="585" t="s">
        <v>1121</v>
      </c>
      <c r="B71" s="589" t="s">
        <v>1194</v>
      </c>
      <c r="C71" s="589" t="s">
        <v>1122</v>
      </c>
      <c r="D71" s="589" t="s">
        <v>1123</v>
      </c>
      <c r="E71" s="589" t="s">
        <v>1124</v>
      </c>
      <c r="F71" s="589" t="s">
        <v>1125</v>
      </c>
      <c r="G71" s="589" t="s">
        <v>1126</v>
      </c>
      <c r="H71" s="589" t="s">
        <v>1127</v>
      </c>
      <c r="I71" s="589" t="s">
        <v>1128</v>
      </c>
    </row>
    <row r="72" spans="1:9" x14ac:dyDescent="0.25">
      <c r="A72" s="602" t="s">
        <v>1166</v>
      </c>
    </row>
    <row r="73" spans="1:9" x14ac:dyDescent="0.25">
      <c r="A73" s="548" t="s">
        <v>143</v>
      </c>
      <c r="B73" s="603"/>
      <c r="C73" s="603"/>
      <c r="D73" s="603"/>
      <c r="E73" s="591">
        <v>2479.9</v>
      </c>
      <c r="F73" s="591">
        <v>2373.3000000000002</v>
      </c>
      <c r="G73" s="591">
        <v>2434.4</v>
      </c>
      <c r="H73" s="591">
        <v>2338.9</v>
      </c>
      <c r="I73" s="591">
        <v>2614.6</v>
      </c>
    </row>
    <row r="74" spans="1:9" x14ac:dyDescent="0.25">
      <c r="A74" s="548" t="s">
        <v>963</v>
      </c>
      <c r="B74" s="603"/>
      <c r="C74" s="603"/>
      <c r="D74" s="603"/>
      <c r="E74" s="591">
        <v>46.2</v>
      </c>
      <c r="F74" s="591">
        <v>7.2</v>
      </c>
      <c r="G74" s="591">
        <v>91</v>
      </c>
      <c r="H74" s="591">
        <v>18.399999999999999</v>
      </c>
      <c r="I74" s="591">
        <v>5.5</v>
      </c>
    </row>
    <row r="75" spans="1:9" x14ac:dyDescent="0.25">
      <c r="A75" s="548" t="s">
        <v>1254</v>
      </c>
      <c r="B75" s="603"/>
      <c r="C75" s="603"/>
      <c r="D75" s="603"/>
      <c r="E75" s="591">
        <v>-1098</v>
      </c>
      <c r="F75" s="591">
        <v>-1180.4000000000001</v>
      </c>
      <c r="G75" s="591">
        <v>-1078.3</v>
      </c>
      <c r="H75" s="591">
        <v>-1097.2</v>
      </c>
      <c r="I75" s="591">
        <v>-1041.3</v>
      </c>
    </row>
    <row r="76" spans="1:9" x14ac:dyDescent="0.25">
      <c r="A76" s="548" t="s">
        <v>1255</v>
      </c>
      <c r="B76" s="603"/>
      <c r="C76" s="603"/>
      <c r="D76" s="603"/>
      <c r="E76" s="591">
        <v>-334.1</v>
      </c>
      <c r="F76" s="591">
        <v>-359.9</v>
      </c>
      <c r="G76" s="591">
        <v>-333.3</v>
      </c>
      <c r="H76" s="591">
        <v>-358.1</v>
      </c>
      <c r="I76" s="591">
        <v>-463.1</v>
      </c>
    </row>
    <row r="77" spans="1:9" x14ac:dyDescent="0.25">
      <c r="A77" s="548" t="s">
        <v>1256</v>
      </c>
      <c r="B77" s="603"/>
      <c r="C77" s="603"/>
      <c r="D77" s="603"/>
      <c r="E77" s="591">
        <v>-368</v>
      </c>
      <c r="F77" s="591">
        <v>-344</v>
      </c>
      <c r="G77" s="591">
        <v>-314.5</v>
      </c>
      <c r="H77" s="591">
        <v>-332.8</v>
      </c>
      <c r="I77" s="591">
        <v>-337.5</v>
      </c>
    </row>
    <row r="78" spans="1:9" x14ac:dyDescent="0.25">
      <c r="A78" s="548" t="s">
        <v>1257</v>
      </c>
      <c r="B78" s="603"/>
      <c r="C78" s="603"/>
      <c r="D78" s="603"/>
      <c r="E78" s="591">
        <v>-105.9</v>
      </c>
      <c r="F78" s="591">
        <v>-131.5</v>
      </c>
      <c r="G78" s="591">
        <v>-125.2</v>
      </c>
      <c r="H78" s="591">
        <v>-126.6</v>
      </c>
      <c r="I78" s="591">
        <v>-145.6</v>
      </c>
    </row>
    <row r="79" spans="1:9" x14ac:dyDescent="0.25">
      <c r="A79" s="548" t="s">
        <v>1258</v>
      </c>
      <c r="B79" s="603"/>
      <c r="C79" s="603"/>
      <c r="D79" s="603"/>
      <c r="E79" s="591">
        <v>-100</v>
      </c>
      <c r="F79" s="591">
        <v>-106.5</v>
      </c>
      <c r="G79" s="591">
        <v>-98.3</v>
      </c>
      <c r="H79" s="591">
        <v>-111.5</v>
      </c>
      <c r="I79" s="591">
        <v>-127.5</v>
      </c>
    </row>
    <row r="80" spans="1:9" x14ac:dyDescent="0.25">
      <c r="A80" s="548" t="s">
        <v>955</v>
      </c>
      <c r="B80" s="603"/>
      <c r="C80" s="603"/>
      <c r="D80" s="603"/>
      <c r="E80" s="591">
        <v>-46.2</v>
      </c>
      <c r="F80" s="591">
        <v>-41.9</v>
      </c>
      <c r="G80" s="591">
        <v>-168.4</v>
      </c>
      <c r="H80" s="591">
        <v>-161.30000000000001</v>
      </c>
      <c r="I80" s="591">
        <v>-143.4</v>
      </c>
    </row>
    <row r="81" spans="1:9" x14ac:dyDescent="0.25">
      <c r="A81" s="548" t="s">
        <v>114</v>
      </c>
      <c r="B81" s="603"/>
      <c r="C81" s="603"/>
      <c r="D81" s="603"/>
      <c r="E81" s="591">
        <v>-276.10000000000002</v>
      </c>
      <c r="F81" s="591">
        <v>-286.39999999999998</v>
      </c>
      <c r="G81" s="591">
        <v>-240.5</v>
      </c>
      <c r="H81" s="591">
        <v>-220.3</v>
      </c>
      <c r="I81" s="591">
        <v>-202.8</v>
      </c>
    </row>
    <row r="82" spans="1:9" x14ac:dyDescent="0.25">
      <c r="A82" s="548" t="s">
        <v>1259</v>
      </c>
      <c r="B82" s="603"/>
      <c r="C82" s="603"/>
      <c r="D82" s="603"/>
      <c r="E82" s="591">
        <v>-121.5</v>
      </c>
      <c r="F82" s="603"/>
      <c r="G82" s="603"/>
      <c r="H82" s="591">
        <v>-746</v>
      </c>
      <c r="I82" s="603"/>
    </row>
    <row r="83" spans="1:9" x14ac:dyDescent="0.25">
      <c r="A83" s="548" t="s">
        <v>1260</v>
      </c>
      <c r="B83" s="603"/>
      <c r="C83" s="603"/>
      <c r="D83" s="603"/>
      <c r="E83" s="591">
        <v>-9.4</v>
      </c>
      <c r="F83" s="591">
        <v>-5</v>
      </c>
      <c r="G83" s="591">
        <v>-49</v>
      </c>
      <c r="H83" s="591">
        <v>-785.6</v>
      </c>
      <c r="I83" s="603"/>
    </row>
    <row r="84" spans="1:9" x14ac:dyDescent="0.25">
      <c r="A84" s="549" t="s">
        <v>1261</v>
      </c>
      <c r="B84" s="593">
        <f t="shared" ref="B84:I84" si="0">B73+B74+SUM(B75:B83)</f>
        <v>0</v>
      </c>
      <c r="C84" s="593">
        <f t="shared" si="0"/>
        <v>0</v>
      </c>
      <c r="D84" s="593">
        <f t="shared" si="0"/>
        <v>0</v>
      </c>
      <c r="E84" s="593">
        <f t="shared" si="0"/>
        <v>66.900000000000091</v>
      </c>
      <c r="F84" s="593">
        <f t="shared" si="0"/>
        <v>-75.100000000000364</v>
      </c>
      <c r="G84" s="593">
        <f t="shared" si="0"/>
        <v>117.90000000000009</v>
      </c>
      <c r="H84" s="593">
        <f t="shared" si="0"/>
        <v>-1582.1</v>
      </c>
      <c r="I84" s="593">
        <f t="shared" si="0"/>
        <v>158.89999999999964</v>
      </c>
    </row>
    <row r="85" spans="1:9" x14ac:dyDescent="0.25">
      <c r="A85" s="548" t="s">
        <v>1262</v>
      </c>
      <c r="B85" s="603"/>
      <c r="C85" s="603"/>
      <c r="D85" s="603"/>
      <c r="E85" s="603"/>
      <c r="F85" s="603"/>
      <c r="G85" s="591">
        <v>-2.7</v>
      </c>
      <c r="H85" s="591">
        <v>-3.2</v>
      </c>
      <c r="I85" s="591">
        <v>3.8</v>
      </c>
    </row>
    <row r="86" spans="1:9" x14ac:dyDescent="0.25">
      <c r="A86" s="548" t="s">
        <v>1177</v>
      </c>
      <c r="B86" s="603"/>
      <c r="C86" s="603"/>
      <c r="D86" s="603"/>
      <c r="E86" s="591">
        <v>1.1000000000000001</v>
      </c>
      <c r="F86" s="591">
        <v>0.4</v>
      </c>
      <c r="G86" s="591">
        <v>4.5999999999999996</v>
      </c>
      <c r="H86" s="591">
        <v>17.3</v>
      </c>
      <c r="I86" s="591">
        <v>9.5</v>
      </c>
    </row>
    <row r="87" spans="1:9" x14ac:dyDescent="0.25">
      <c r="A87" s="548" t="s">
        <v>956</v>
      </c>
      <c r="B87" s="603"/>
      <c r="C87" s="603"/>
      <c r="D87" s="603"/>
      <c r="E87" s="591">
        <v>-168.7</v>
      </c>
      <c r="F87" s="591">
        <v>-61.5</v>
      </c>
      <c r="G87" s="591">
        <v>-37.1</v>
      </c>
      <c r="H87" s="591">
        <v>-51.8</v>
      </c>
      <c r="I87" s="591">
        <v>-101</v>
      </c>
    </row>
    <row r="88" spans="1:9" x14ac:dyDescent="0.25">
      <c r="A88" s="549" t="s">
        <v>1263</v>
      </c>
      <c r="B88" s="593">
        <f t="shared" ref="B88:I88" si="1">B84+B85+B86+B87</f>
        <v>0</v>
      </c>
      <c r="C88" s="593">
        <f t="shared" si="1"/>
        <v>0</v>
      </c>
      <c r="D88" s="593">
        <f t="shared" si="1"/>
        <v>0</v>
      </c>
      <c r="E88" s="593">
        <f t="shared" si="1"/>
        <v>-100.6999999999999</v>
      </c>
      <c r="F88" s="593">
        <f t="shared" si="1"/>
        <v>-136.20000000000036</v>
      </c>
      <c r="G88" s="593">
        <f t="shared" si="1"/>
        <v>82.700000000000074</v>
      </c>
      <c r="H88" s="593">
        <f t="shared" si="1"/>
        <v>-1619.8</v>
      </c>
      <c r="I88" s="593">
        <f t="shared" si="1"/>
        <v>71.199999999999648</v>
      </c>
    </row>
    <row r="89" spans="1:9" x14ac:dyDescent="0.25">
      <c r="A89" s="548" t="s">
        <v>1264</v>
      </c>
      <c r="B89" s="603"/>
      <c r="C89" s="603"/>
      <c r="D89" s="603"/>
      <c r="E89" s="591">
        <v>-60.2</v>
      </c>
      <c r="F89" s="591">
        <v>17.8</v>
      </c>
      <c r="G89" s="591">
        <v>-16.2</v>
      </c>
      <c r="H89" s="591">
        <v>260.10000000000002</v>
      </c>
      <c r="I89" s="591">
        <v>-34.6</v>
      </c>
    </row>
    <row r="90" spans="1:9" x14ac:dyDescent="0.25">
      <c r="A90" s="549" t="s">
        <v>1265</v>
      </c>
      <c r="B90" s="593">
        <f t="shared" ref="B90:I90" si="2">B88+B89</f>
        <v>0</v>
      </c>
      <c r="C90" s="593">
        <f t="shared" si="2"/>
        <v>0</v>
      </c>
      <c r="D90" s="593">
        <f t="shared" si="2"/>
        <v>0</v>
      </c>
      <c r="E90" s="593">
        <f t="shared" si="2"/>
        <v>-160.89999999999992</v>
      </c>
      <c r="F90" s="593">
        <f t="shared" si="2"/>
        <v>-118.40000000000036</v>
      </c>
      <c r="G90" s="593">
        <f t="shared" si="2"/>
        <v>66.500000000000071</v>
      </c>
      <c r="H90" s="593">
        <f t="shared" si="2"/>
        <v>-1359.6999999999998</v>
      </c>
      <c r="I90" s="593">
        <f t="shared" si="2"/>
        <v>36.599999999999646</v>
      </c>
    </row>
    <row r="91" spans="1:9" x14ac:dyDescent="0.25">
      <c r="A91" s="602" t="s">
        <v>1180</v>
      </c>
    </row>
    <row r="92" spans="1:9" ht="15.75" thickBot="1" x14ac:dyDescent="0.3">
      <c r="A92" s="548" t="s">
        <v>1266</v>
      </c>
      <c r="B92" s="603"/>
      <c r="C92" s="603"/>
      <c r="D92" s="603"/>
      <c r="E92" s="591">
        <v>430.3</v>
      </c>
      <c r="F92" s="591">
        <v>6894.3</v>
      </c>
      <c r="G92" s="603"/>
      <c r="H92" s="603"/>
      <c r="I92" s="603"/>
    </row>
    <row r="93" spans="1:9" ht="15.75" thickTop="1" x14ac:dyDescent="0.25">
      <c r="A93" s="549" t="s">
        <v>1267</v>
      </c>
      <c r="B93" s="596">
        <f t="shared" ref="B93:I93" si="3">B90+B92</f>
        <v>0</v>
      </c>
      <c r="C93" s="596">
        <f t="shared" si="3"/>
        <v>0</v>
      </c>
      <c r="D93" s="596">
        <f t="shared" si="3"/>
        <v>0</v>
      </c>
      <c r="E93" s="596">
        <f t="shared" si="3"/>
        <v>269.40000000000009</v>
      </c>
      <c r="F93" s="596">
        <f t="shared" si="3"/>
        <v>6775.9</v>
      </c>
      <c r="G93" s="596">
        <f t="shared" si="3"/>
        <v>66.500000000000071</v>
      </c>
      <c r="H93" s="596">
        <f t="shared" si="3"/>
        <v>-1359.6999999999998</v>
      </c>
      <c r="I93" s="596">
        <f t="shared" si="3"/>
        <v>36.599999999999646</v>
      </c>
    </row>
    <row r="94" spans="1:9" x14ac:dyDescent="0.25">
      <c r="A94" s="602" t="s">
        <v>1268</v>
      </c>
    </row>
    <row r="95" spans="1:9" x14ac:dyDescent="0.25">
      <c r="A95" s="548" t="s">
        <v>1269</v>
      </c>
      <c r="B95" s="603"/>
      <c r="C95" s="603"/>
      <c r="D95" s="603"/>
      <c r="E95" s="591">
        <v>-73.900000000000006</v>
      </c>
      <c r="F95" s="591">
        <v>65.900000000000006</v>
      </c>
      <c r="G95" s="591">
        <v>-6.9</v>
      </c>
      <c r="H95" s="591">
        <v>-12.6</v>
      </c>
      <c r="I95" s="591">
        <v>-0.6</v>
      </c>
    </row>
    <row r="96" spans="1:9" x14ac:dyDescent="0.25">
      <c r="A96" s="548" t="s">
        <v>1186</v>
      </c>
      <c r="B96" s="603"/>
      <c r="C96" s="603"/>
      <c r="D96" s="603"/>
      <c r="E96" s="591">
        <v>0.9</v>
      </c>
      <c r="F96" s="591">
        <v>-1.7</v>
      </c>
      <c r="G96" s="591">
        <v>7.9</v>
      </c>
      <c r="H96" s="591">
        <v>0.6</v>
      </c>
      <c r="I96" s="591">
        <v>5.0999999999999996</v>
      </c>
    </row>
    <row r="97" spans="1:9" x14ac:dyDescent="0.25">
      <c r="A97" s="548" t="s">
        <v>1270</v>
      </c>
      <c r="B97" s="603"/>
      <c r="C97" s="603"/>
      <c r="D97" s="603"/>
      <c r="E97" s="591">
        <v>22.1</v>
      </c>
      <c r="F97" s="591">
        <v>-19.8</v>
      </c>
      <c r="G97" s="591">
        <v>2.1</v>
      </c>
      <c r="H97" s="591">
        <v>3.8</v>
      </c>
      <c r="I97" s="591">
        <v>0.2</v>
      </c>
    </row>
    <row r="98" spans="1:9" x14ac:dyDescent="0.25">
      <c r="A98" s="548" t="s">
        <v>1271</v>
      </c>
      <c r="B98" s="603"/>
      <c r="C98" s="603"/>
      <c r="D98" s="603"/>
      <c r="E98" s="591">
        <v>4.0999999999999996</v>
      </c>
      <c r="F98" s="591">
        <v>0.5</v>
      </c>
      <c r="G98" s="603"/>
      <c r="H98" s="591">
        <v>0.1</v>
      </c>
      <c r="I98" s="591">
        <v>0.1</v>
      </c>
    </row>
    <row r="99" spans="1:9" x14ac:dyDescent="0.25">
      <c r="A99" s="548" t="s">
        <v>1272</v>
      </c>
      <c r="B99" s="603"/>
      <c r="C99" s="603"/>
      <c r="D99" s="603"/>
      <c r="E99" s="591">
        <v>-1.4</v>
      </c>
      <c r="F99" s="591">
        <v>-0.1</v>
      </c>
      <c r="G99" s="603"/>
      <c r="H99" s="603"/>
      <c r="I99" s="603"/>
    </row>
    <row r="100" spans="1:9" ht="15.75" thickBot="1" x14ac:dyDescent="0.3">
      <c r="A100" s="549" t="s">
        <v>1273</v>
      </c>
      <c r="B100" s="593">
        <f t="shared" ref="B100:I100" si="4">SUM(B95:B99)</f>
        <v>0</v>
      </c>
      <c r="C100" s="593">
        <f t="shared" si="4"/>
        <v>0</v>
      </c>
      <c r="D100" s="593">
        <f t="shared" si="4"/>
        <v>0</v>
      </c>
      <c r="E100" s="593">
        <f t="shared" si="4"/>
        <v>-48.199999999999996</v>
      </c>
      <c r="F100" s="593">
        <f t="shared" si="4"/>
        <v>44.800000000000004</v>
      </c>
      <c r="G100" s="593">
        <f t="shared" si="4"/>
        <v>3.1</v>
      </c>
      <c r="H100" s="593">
        <f t="shared" si="4"/>
        <v>-8.1</v>
      </c>
      <c r="I100" s="593">
        <f t="shared" si="4"/>
        <v>4.8</v>
      </c>
    </row>
    <row r="101" spans="1:9" ht="15.75" thickTop="1" x14ac:dyDescent="0.25">
      <c r="A101" s="549" t="s">
        <v>1274</v>
      </c>
      <c r="B101" s="596">
        <f t="shared" ref="B101:I101" si="5">B93+B100</f>
        <v>0</v>
      </c>
      <c r="C101" s="596">
        <f t="shared" si="5"/>
        <v>0</v>
      </c>
      <c r="D101" s="596">
        <f t="shared" si="5"/>
        <v>0</v>
      </c>
      <c r="E101" s="596">
        <f t="shared" si="5"/>
        <v>221.2000000000001</v>
      </c>
      <c r="F101" s="596">
        <f t="shared" si="5"/>
        <v>6820.7</v>
      </c>
      <c r="G101" s="596">
        <f t="shared" si="5"/>
        <v>69.600000000000065</v>
      </c>
      <c r="H101" s="596">
        <f t="shared" si="5"/>
        <v>-1367.7999999999997</v>
      </c>
      <c r="I101" s="596">
        <f t="shared" si="5"/>
        <v>41.399999999999643</v>
      </c>
    </row>
    <row r="103" spans="1:9" x14ac:dyDescent="0.25">
      <c r="A103" s="602" t="s">
        <v>1275</v>
      </c>
    </row>
    <row r="104" spans="1:9" x14ac:dyDescent="0.25">
      <c r="A104" s="548" t="s">
        <v>1276</v>
      </c>
      <c r="B104" s="603"/>
      <c r="C104" s="603"/>
      <c r="D104" s="603"/>
      <c r="E104" s="591">
        <v>-7.4</v>
      </c>
      <c r="F104" s="591">
        <v>-5.3</v>
      </c>
      <c r="G104" s="591">
        <v>2.9</v>
      </c>
      <c r="H104" s="591">
        <v>-59.6</v>
      </c>
      <c r="I104" s="591">
        <v>1.6</v>
      </c>
    </row>
    <row r="105" spans="1:9" x14ac:dyDescent="0.25">
      <c r="A105" s="548" t="s">
        <v>1277</v>
      </c>
      <c r="B105" s="603"/>
      <c r="C105" s="603"/>
      <c r="D105" s="603"/>
      <c r="E105" s="591">
        <v>-7.3</v>
      </c>
      <c r="F105" s="591">
        <v>-5.3</v>
      </c>
      <c r="G105" s="591">
        <v>2.9</v>
      </c>
      <c r="H105" s="591">
        <v>-59.6</v>
      </c>
      <c r="I105" s="591">
        <v>1.6</v>
      </c>
    </row>
    <row r="106" spans="1:9" x14ac:dyDescent="0.25">
      <c r="A106" s="548" t="s">
        <v>1278</v>
      </c>
      <c r="B106" s="603"/>
      <c r="C106" s="603"/>
      <c r="D106" s="603"/>
      <c r="E106" s="591">
        <v>12.3</v>
      </c>
      <c r="F106" s="591">
        <v>304.60000000000002</v>
      </c>
      <c r="G106" s="591">
        <v>2.9</v>
      </c>
      <c r="H106" s="591">
        <v>-59.6</v>
      </c>
      <c r="I106" s="591">
        <v>1.6</v>
      </c>
    </row>
    <row r="107" spans="1:9" x14ac:dyDescent="0.25">
      <c r="A107" s="548" t="s">
        <v>1279</v>
      </c>
      <c r="B107" s="603"/>
      <c r="C107" s="603"/>
      <c r="D107" s="603"/>
      <c r="E107" s="591">
        <v>12.3</v>
      </c>
      <c r="F107" s="591">
        <v>304.60000000000002</v>
      </c>
      <c r="G107" s="591">
        <v>2.9</v>
      </c>
      <c r="H107" s="591">
        <v>-59.6</v>
      </c>
      <c r="I107" s="591">
        <v>1.6</v>
      </c>
    </row>
    <row r="108" spans="1:9" x14ac:dyDescent="0.25">
      <c r="A108" s="548" t="s">
        <v>1280</v>
      </c>
      <c r="B108" s="603"/>
      <c r="C108" s="603"/>
      <c r="D108" s="603"/>
      <c r="E108" s="591">
        <v>7.5</v>
      </c>
      <c r="F108" s="591">
        <v>483.9</v>
      </c>
      <c r="G108" s="591">
        <v>7.8</v>
      </c>
      <c r="H108" s="591">
        <v>2</v>
      </c>
      <c r="I108" s="591">
        <v>1.3</v>
      </c>
    </row>
    <row r="109" spans="1:9" x14ac:dyDescent="0.25">
      <c r="A109" s="548" t="s">
        <v>1281</v>
      </c>
      <c r="B109" s="603"/>
      <c r="C109" s="603"/>
      <c r="D109" s="603"/>
      <c r="E109" s="591">
        <v>14.5</v>
      </c>
      <c r="F109" s="591">
        <v>13</v>
      </c>
      <c r="G109" s="591">
        <v>2.2999999999999998</v>
      </c>
      <c r="H109" s="591">
        <v>1.3</v>
      </c>
      <c r="I109" s="591">
        <v>2</v>
      </c>
    </row>
  </sheetData>
  <mergeCells count="8">
    <mergeCell ref="A58:I59"/>
    <mergeCell ref="A67:I68"/>
    <mergeCell ref="A1:I1"/>
    <mergeCell ref="A2:I2"/>
    <mergeCell ref="A18:I21"/>
    <mergeCell ref="A28:I29"/>
    <mergeCell ref="A36:I37"/>
    <mergeCell ref="A47:I4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A5AD-4876-4699-8FB3-0457C1C7595A}">
  <dimension ref="B4:M46"/>
  <sheetViews>
    <sheetView showGridLines="0" topLeftCell="A3" zoomScale="145" zoomScaleNormal="145" workbookViewId="0">
      <selection activeCell="O27" sqref="O27"/>
    </sheetView>
  </sheetViews>
  <sheetFormatPr defaultRowHeight="11.25" customHeight="1" outlineLevelRow="1" x14ac:dyDescent="0.25"/>
  <cols>
    <col min="1" max="1" width="2.7109375" customWidth="1"/>
    <col min="2" max="2" width="30.7109375" style="429" customWidth="1"/>
    <col min="3" max="3" width="5.7109375" style="430" customWidth="1"/>
    <col min="4" max="11" width="6.7109375" style="429" customWidth="1"/>
  </cols>
  <sheetData>
    <row r="4" spans="2:13" ht="11.25" customHeight="1" x14ac:dyDescent="0.25">
      <c r="B4" s="172"/>
      <c r="C4" s="172"/>
      <c r="D4" s="172" t="s">
        <v>1065</v>
      </c>
      <c r="E4" s="172" t="s">
        <v>1066</v>
      </c>
      <c r="F4" s="172" t="s">
        <v>1067</v>
      </c>
      <c r="G4" s="172" t="s">
        <v>1068</v>
      </c>
      <c r="H4" s="172" t="s">
        <v>1069</v>
      </c>
      <c r="I4" s="172" t="s">
        <v>1070</v>
      </c>
      <c r="J4" s="172" t="s">
        <v>1071</v>
      </c>
      <c r="K4" s="172" t="s">
        <v>1072</v>
      </c>
    </row>
    <row r="5" spans="2:13" ht="11.25" customHeight="1" x14ac:dyDescent="0.25">
      <c r="B5" s="491" t="s">
        <v>1</v>
      </c>
      <c r="C5" s="476" t="s">
        <v>415</v>
      </c>
      <c r="D5" s="476">
        <v>43281</v>
      </c>
      <c r="E5" s="174">
        <f>EOMONTH(D5,12)</f>
        <v>43646</v>
      </c>
      <c r="F5" s="174">
        <f t="shared" ref="F5:K5" si="0">EOMONTH(E5,12)</f>
        <v>44012</v>
      </c>
      <c r="G5" s="174">
        <f t="shared" si="0"/>
        <v>44377</v>
      </c>
      <c r="H5" s="174">
        <f t="shared" si="0"/>
        <v>44742</v>
      </c>
      <c r="I5" s="174">
        <f t="shared" si="0"/>
        <v>45107</v>
      </c>
      <c r="J5" s="174">
        <f t="shared" si="0"/>
        <v>45473</v>
      </c>
      <c r="K5" s="174">
        <f t="shared" si="0"/>
        <v>45838</v>
      </c>
    </row>
    <row r="6" spans="2:13" ht="11.25" customHeight="1" x14ac:dyDescent="0.25">
      <c r="B6" s="516" t="s">
        <v>9</v>
      </c>
      <c r="C6" s="477"/>
      <c r="D6" s="430"/>
      <c r="E6" s="430"/>
      <c r="F6" s="430"/>
      <c r="G6" s="430"/>
      <c r="H6" s="430"/>
      <c r="I6" s="430"/>
      <c r="J6" s="430"/>
      <c r="K6" s="430"/>
    </row>
    <row r="7" spans="2:13" ht="11.25" customHeight="1" x14ac:dyDescent="0.25">
      <c r="B7" s="518" t="s">
        <v>27</v>
      </c>
      <c r="C7" s="430" t="s">
        <v>123</v>
      </c>
      <c r="D7" s="490"/>
      <c r="E7" s="490"/>
      <c r="F7" s="490"/>
      <c r="G7" s="490"/>
      <c r="H7" s="488">
        <v>11769.7</v>
      </c>
      <c r="I7" s="488">
        <v>11946.5</v>
      </c>
      <c r="J7" s="488">
        <v>11361.2</v>
      </c>
      <c r="K7" s="488">
        <v>10903</v>
      </c>
      <c r="M7" s="490"/>
    </row>
    <row r="8" spans="2:13" ht="11.25" customHeight="1" x14ac:dyDescent="0.25">
      <c r="B8" s="518" t="s">
        <v>133</v>
      </c>
      <c r="C8" s="430" t="s">
        <v>123</v>
      </c>
      <c r="D8" s="490"/>
      <c r="E8" s="490"/>
      <c r="F8" s="490"/>
      <c r="G8" s="490"/>
      <c r="H8" s="488">
        <v>2124</v>
      </c>
      <c r="I8" s="488">
        <v>2604.3000000000002</v>
      </c>
      <c r="J8" s="488">
        <v>2696.5</v>
      </c>
      <c r="K8" s="488">
        <v>2840</v>
      </c>
      <c r="M8" s="490"/>
    </row>
    <row r="9" spans="2:13" ht="11.25" customHeight="1" x14ac:dyDescent="0.25">
      <c r="B9" s="519" t="s">
        <v>182</v>
      </c>
      <c r="C9" s="482"/>
      <c r="D9" s="489"/>
      <c r="E9" s="489"/>
      <c r="F9" s="489"/>
      <c r="G9" s="489"/>
      <c r="H9" s="489"/>
      <c r="I9" s="489"/>
      <c r="J9" s="489"/>
      <c r="K9" s="489"/>
    </row>
    <row r="10" spans="2:13" ht="11.25" customHeight="1" x14ac:dyDescent="0.25">
      <c r="B10" s="519"/>
      <c r="C10" s="477"/>
      <c r="D10" s="430"/>
      <c r="E10" s="430"/>
      <c r="F10" s="430"/>
      <c r="G10" s="430"/>
      <c r="H10" s="430"/>
      <c r="I10" s="430"/>
      <c r="J10" s="430"/>
      <c r="K10" s="430"/>
    </row>
    <row r="11" spans="2:13" ht="11.25" customHeight="1" x14ac:dyDescent="0.25">
      <c r="B11" s="516" t="s">
        <v>1284</v>
      </c>
      <c r="D11" s="490"/>
      <c r="E11" s="490"/>
      <c r="F11" s="490"/>
      <c r="G11" s="490"/>
      <c r="H11" s="490"/>
      <c r="I11" s="490"/>
      <c r="J11" s="490"/>
      <c r="K11" s="490"/>
    </row>
    <row r="12" spans="2:13" s="34" customFormat="1" ht="11.25" customHeight="1" x14ac:dyDescent="0.25">
      <c r="B12" s="519" t="s">
        <v>9</v>
      </c>
      <c r="C12" s="478" t="s">
        <v>123</v>
      </c>
      <c r="D12" s="489"/>
      <c r="E12" s="489"/>
      <c r="F12" s="489"/>
      <c r="G12" s="489"/>
      <c r="H12" s="489">
        <v>9697</v>
      </c>
      <c r="I12" s="489">
        <v>9266.7000000000007</v>
      </c>
      <c r="J12" s="489">
        <v>8809.1</v>
      </c>
      <c r="K12" s="489">
        <v>8381.9</v>
      </c>
    </row>
    <row r="13" spans="2:13" ht="11.25" customHeight="1" x14ac:dyDescent="0.25">
      <c r="B13" s="518" t="s">
        <v>597</v>
      </c>
      <c r="C13" s="430" t="s">
        <v>118</v>
      </c>
      <c r="D13" s="584"/>
      <c r="E13" s="584"/>
      <c r="F13" s="584"/>
      <c r="G13" s="584"/>
      <c r="H13" s="584">
        <f>H14/H12</f>
        <v>0.13427864287924099</v>
      </c>
      <c r="I13" s="584">
        <f>I14/I12</f>
        <v>0.12324775810158954</v>
      </c>
      <c r="J13" s="584">
        <f>J14/J12</f>
        <v>0.12673258335130719</v>
      </c>
      <c r="K13" s="584">
        <f>K14/K12</f>
        <v>0.1289922332645343</v>
      </c>
    </row>
    <row r="14" spans="2:13" ht="11.25" customHeight="1" x14ac:dyDescent="0.25">
      <c r="B14" s="605" t="s">
        <v>1414</v>
      </c>
      <c r="C14" s="604" t="s">
        <v>123</v>
      </c>
      <c r="D14" s="490"/>
      <c r="E14" s="490"/>
      <c r="F14" s="490"/>
      <c r="G14" s="490"/>
      <c r="H14" s="490">
        <v>1302.0999999999999</v>
      </c>
      <c r="I14" s="490">
        <v>1142.0999999999999</v>
      </c>
      <c r="J14" s="490">
        <v>1116.4000000000001</v>
      </c>
      <c r="K14" s="490">
        <v>1081.2</v>
      </c>
    </row>
    <row r="15" spans="2:13" ht="11.25" customHeight="1" x14ac:dyDescent="0.25">
      <c r="B15" s="518" t="s">
        <v>297</v>
      </c>
      <c r="C15" s="430" t="s">
        <v>123</v>
      </c>
      <c r="D15" s="490"/>
      <c r="E15" s="490"/>
      <c r="F15" s="490"/>
      <c r="G15" s="490"/>
      <c r="H15" s="490">
        <v>-228.6</v>
      </c>
      <c r="I15" s="490">
        <v>-199.4</v>
      </c>
      <c r="J15" s="490">
        <v>-194.4</v>
      </c>
      <c r="K15" s="490">
        <v>-11.5</v>
      </c>
    </row>
    <row r="16" spans="2:13" s="34" customFormat="1" ht="11.25" customHeight="1" x14ac:dyDescent="0.25">
      <c r="B16" s="519" t="s">
        <v>1413</v>
      </c>
      <c r="C16" s="478" t="s">
        <v>123</v>
      </c>
      <c r="D16" s="489"/>
      <c r="E16" s="489"/>
      <c r="F16" s="489"/>
      <c r="G16" s="489"/>
      <c r="H16" s="489">
        <v>1073.5</v>
      </c>
      <c r="I16" s="489">
        <v>942.7</v>
      </c>
      <c r="J16" s="489">
        <v>922</v>
      </c>
      <c r="K16" s="489">
        <v>1069.7</v>
      </c>
    </row>
    <row r="17" spans="2:11" ht="11.25" customHeight="1" x14ac:dyDescent="0.25">
      <c r="B17" s="518"/>
      <c r="D17" s="490"/>
      <c r="E17" s="490"/>
      <c r="F17" s="490"/>
      <c r="G17" s="490"/>
      <c r="H17" s="490"/>
      <c r="I17" s="490"/>
      <c r="J17" s="490"/>
      <c r="K17" s="490"/>
    </row>
    <row r="18" spans="2:11" ht="11.25" customHeight="1" x14ac:dyDescent="0.25">
      <c r="B18" s="516" t="s">
        <v>1283</v>
      </c>
      <c r="C18" s="482"/>
      <c r="D18" s="489"/>
      <c r="E18" s="489"/>
      <c r="F18" s="489"/>
      <c r="G18" s="489"/>
      <c r="H18" s="489"/>
      <c r="I18" s="489"/>
      <c r="J18" s="489"/>
      <c r="K18" s="489"/>
    </row>
    <row r="19" spans="2:11" s="34" customFormat="1" ht="11.25" customHeight="1" x14ac:dyDescent="0.25">
      <c r="B19" s="519" t="s">
        <v>9</v>
      </c>
      <c r="C19" s="478" t="s">
        <v>123</v>
      </c>
      <c r="D19" s="489"/>
      <c r="E19" s="489"/>
      <c r="F19" s="489"/>
      <c r="G19" s="489"/>
      <c r="H19" s="489">
        <v>4196.7</v>
      </c>
      <c r="I19" s="489">
        <v>5284.1</v>
      </c>
      <c r="J19" s="489">
        <v>5248.6</v>
      </c>
      <c r="K19" s="489">
        <v>5361</v>
      </c>
    </row>
    <row r="20" spans="2:11" ht="11.25" customHeight="1" x14ac:dyDescent="0.25">
      <c r="B20" s="518" t="s">
        <v>597</v>
      </c>
      <c r="C20" s="430" t="s">
        <v>118</v>
      </c>
      <c r="D20" s="584"/>
      <c r="E20" s="584"/>
      <c r="F20" s="584"/>
      <c r="G20" s="584"/>
      <c r="H20" s="584">
        <f>H21/H19</f>
        <v>0.16651178306764838</v>
      </c>
      <c r="I20" s="584">
        <f>I21/I19</f>
        <v>0.1669158418652183</v>
      </c>
      <c r="J20" s="584">
        <f>J21/J19</f>
        <v>0.17067408451777616</v>
      </c>
      <c r="K20" s="584">
        <f>K21/K19</f>
        <v>0.17112479015109122</v>
      </c>
    </row>
    <row r="21" spans="2:11" ht="11.25" customHeight="1" x14ac:dyDescent="0.25">
      <c r="B21" s="605" t="s">
        <v>1415</v>
      </c>
      <c r="C21" s="604" t="s">
        <v>123</v>
      </c>
      <c r="D21" s="490"/>
      <c r="E21" s="490"/>
      <c r="F21" s="490"/>
      <c r="G21" s="490"/>
      <c r="H21" s="490">
        <v>698.8</v>
      </c>
      <c r="I21" s="490">
        <v>882</v>
      </c>
      <c r="J21" s="490">
        <v>895.8</v>
      </c>
      <c r="K21" s="490">
        <v>917.4</v>
      </c>
    </row>
    <row r="22" spans="2:11" ht="11.25" customHeight="1" x14ac:dyDescent="0.25">
      <c r="B22" s="518" t="s">
        <v>297</v>
      </c>
      <c r="C22" s="430" t="s">
        <v>123</v>
      </c>
      <c r="D22" s="490"/>
      <c r="E22" s="490"/>
      <c r="F22" s="490"/>
      <c r="G22" s="490"/>
      <c r="H22" s="490">
        <v>-44.8</v>
      </c>
      <c r="I22" s="490">
        <v>-63.6</v>
      </c>
      <c r="J22" s="490">
        <v>-74</v>
      </c>
      <c r="K22" s="490">
        <v>48.3</v>
      </c>
    </row>
    <row r="23" spans="2:11" s="34" customFormat="1" ht="11.25" customHeight="1" x14ac:dyDescent="0.25">
      <c r="B23" s="519" t="s">
        <v>1282</v>
      </c>
      <c r="C23" s="478" t="s">
        <v>123</v>
      </c>
      <c r="D23" s="489"/>
      <c r="E23" s="489"/>
      <c r="F23" s="489"/>
      <c r="G23" s="489"/>
      <c r="H23" s="489">
        <v>654</v>
      </c>
      <c r="I23" s="489">
        <v>818.4</v>
      </c>
      <c r="J23" s="489">
        <v>821.8</v>
      </c>
      <c r="K23" s="489">
        <v>965.7</v>
      </c>
    </row>
    <row r="24" spans="2:11" ht="11.25" customHeight="1" x14ac:dyDescent="0.25">
      <c r="B24" s="492"/>
      <c r="D24" s="490"/>
      <c r="E24" s="490"/>
      <c r="F24" s="490"/>
      <c r="G24" s="490"/>
      <c r="H24" s="490"/>
      <c r="I24" s="490"/>
      <c r="J24" s="490"/>
      <c r="K24" s="490"/>
    </row>
    <row r="25" spans="2:11" ht="11.25" customHeight="1" x14ac:dyDescent="0.25">
      <c r="B25" s="516" t="s">
        <v>1290</v>
      </c>
      <c r="D25" s="490"/>
      <c r="E25" s="490"/>
      <c r="F25" s="490"/>
      <c r="G25" s="490"/>
      <c r="H25" s="490"/>
      <c r="I25" s="490"/>
      <c r="J25" s="490"/>
      <c r="K25" s="490"/>
    </row>
    <row r="26" spans="2:11" ht="11.25" customHeight="1" x14ac:dyDescent="0.25">
      <c r="B26" s="518" t="s">
        <v>29</v>
      </c>
      <c r="C26" s="430" t="s">
        <v>123</v>
      </c>
      <c r="D26" s="490"/>
      <c r="E26" s="490"/>
      <c r="F26" s="490"/>
      <c r="G26" s="490"/>
      <c r="H26" s="490">
        <v>1073.5</v>
      </c>
      <c r="I26" s="490">
        <v>942.7</v>
      </c>
      <c r="J26" s="490">
        <v>922</v>
      </c>
      <c r="K26" s="490">
        <v>1069.7</v>
      </c>
    </row>
    <row r="27" spans="2:11" ht="11.25" customHeight="1" x14ac:dyDescent="0.25">
      <c r="B27" s="518" t="s">
        <v>1285</v>
      </c>
      <c r="C27" s="430" t="s">
        <v>123</v>
      </c>
      <c r="D27" s="490"/>
      <c r="E27" s="490"/>
      <c r="F27" s="490"/>
      <c r="G27" s="490"/>
      <c r="H27" s="490">
        <v>654</v>
      </c>
      <c r="I27" s="490">
        <v>818.4</v>
      </c>
      <c r="J27" s="490">
        <v>821.8</v>
      </c>
      <c r="K27" s="490">
        <v>965.7</v>
      </c>
    </row>
    <row r="28" spans="2:11" ht="11.25" customHeight="1" x14ac:dyDescent="0.25">
      <c r="B28" s="518" t="s">
        <v>1286</v>
      </c>
      <c r="C28" s="430" t="s">
        <v>123</v>
      </c>
      <c r="D28" s="490"/>
      <c r="E28" s="490"/>
      <c r="F28" s="490"/>
      <c r="G28" s="490"/>
      <c r="H28" s="490"/>
      <c r="I28" s="490">
        <v>249.3</v>
      </c>
      <c r="J28" s="490">
        <v>212.3</v>
      </c>
      <c r="K28" s="490">
        <v>232.2</v>
      </c>
    </row>
    <row r="29" spans="2:11" ht="11.25" customHeight="1" x14ac:dyDescent="0.25">
      <c r="B29" s="518" t="s">
        <v>1287</v>
      </c>
      <c r="C29" s="430" t="s">
        <v>123</v>
      </c>
      <c r="D29" s="490"/>
      <c r="E29" s="490"/>
      <c r="F29" s="490"/>
      <c r="G29" s="490"/>
      <c r="H29" s="490"/>
      <c r="I29" s="490">
        <v>220.4000000000002</v>
      </c>
      <c r="J29" s="490">
        <v>206.7</v>
      </c>
      <c r="K29" s="490">
        <v>171.20000000000002</v>
      </c>
    </row>
    <row r="30" spans="2:11" s="34" customFormat="1" ht="11.25" customHeight="1" x14ac:dyDescent="0.25">
      <c r="B30" s="517" t="s">
        <v>143</v>
      </c>
      <c r="C30" s="482" t="s">
        <v>123</v>
      </c>
      <c r="D30" s="489"/>
      <c r="E30" s="489"/>
      <c r="F30" s="489"/>
      <c r="G30" s="489"/>
      <c r="H30" s="489">
        <v>2181.9</v>
      </c>
      <c r="I30" s="489">
        <v>2230.8000000000002</v>
      </c>
      <c r="J30" s="489">
        <v>2162.8000000000002</v>
      </c>
      <c r="K30" s="489">
        <v>2438.8000000000002</v>
      </c>
    </row>
    <row r="31" spans="2:11" ht="11.25" customHeight="1" x14ac:dyDescent="0.25">
      <c r="B31" s="518" t="s">
        <v>1288</v>
      </c>
      <c r="C31" s="430" t="s">
        <v>123</v>
      </c>
      <c r="D31" s="490"/>
      <c r="E31" s="490"/>
      <c r="F31" s="490"/>
      <c r="G31" s="490"/>
      <c r="H31" s="490">
        <v>-1380.6000000000001</v>
      </c>
      <c r="I31" s="490">
        <v>-1455.8000000000002</v>
      </c>
      <c r="J31" s="490">
        <v>-1404.6000000000001</v>
      </c>
      <c r="K31" s="490">
        <v>-1522.9</v>
      </c>
    </row>
    <row r="32" spans="2:11" s="34" customFormat="1" ht="11.25" customHeight="1" x14ac:dyDescent="0.25">
      <c r="B32" s="517" t="s">
        <v>1289</v>
      </c>
      <c r="C32" s="482" t="s">
        <v>123</v>
      </c>
      <c r="D32" s="489"/>
      <c r="E32" s="489"/>
      <c r="F32" s="489"/>
      <c r="G32" s="489"/>
      <c r="H32" s="489">
        <v>801.3</v>
      </c>
      <c r="I32" s="489">
        <v>775</v>
      </c>
      <c r="J32" s="489">
        <v>758.2</v>
      </c>
      <c r="K32" s="489">
        <v>915.9</v>
      </c>
    </row>
    <row r="33" spans="2:11" ht="11.25" customHeight="1" x14ac:dyDescent="0.25">
      <c r="B33" s="518" t="s">
        <v>38</v>
      </c>
      <c r="C33" s="430" t="s">
        <v>123</v>
      </c>
      <c r="D33" s="490"/>
      <c r="E33" s="490"/>
      <c r="F33" s="490"/>
      <c r="G33" s="490"/>
      <c r="H33" s="490">
        <v>-514.29999999999995</v>
      </c>
      <c r="I33" s="490">
        <v>-467</v>
      </c>
      <c r="J33" s="490">
        <v>-507</v>
      </c>
      <c r="K33" s="490">
        <v>-586.79999999999995</v>
      </c>
    </row>
    <row r="34" spans="2:11" s="34" customFormat="1" ht="11.25" customHeight="1" x14ac:dyDescent="0.25">
      <c r="B34" s="517" t="s">
        <v>1202</v>
      </c>
      <c r="C34" s="482" t="s">
        <v>123</v>
      </c>
      <c r="D34" s="489"/>
      <c r="E34" s="489"/>
      <c r="F34" s="489"/>
      <c r="G34" s="489"/>
      <c r="H34" s="489">
        <v>287</v>
      </c>
      <c r="I34" s="489">
        <v>308</v>
      </c>
      <c r="J34" s="489">
        <v>251.2</v>
      </c>
      <c r="K34" s="489">
        <v>329.1</v>
      </c>
    </row>
    <row r="35" spans="2:11" ht="11.25" customHeight="1" x14ac:dyDescent="0.25">
      <c r="B35" s="518"/>
      <c r="D35" s="490"/>
      <c r="E35" s="490"/>
      <c r="F35" s="490"/>
      <c r="G35" s="490"/>
      <c r="H35" s="490"/>
      <c r="I35" s="490"/>
      <c r="J35" s="490"/>
      <c r="K35" s="490"/>
    </row>
    <row r="36" spans="2:11" ht="11.25" hidden="1" customHeight="1" outlineLevel="1" x14ac:dyDescent="0.25">
      <c r="B36" s="516" t="s">
        <v>1292</v>
      </c>
      <c r="D36" s="490"/>
      <c r="E36" s="490"/>
      <c r="F36" s="490"/>
      <c r="G36" s="490"/>
      <c r="H36" s="490"/>
      <c r="I36" s="490"/>
      <c r="J36" s="490"/>
      <c r="K36" s="490"/>
    </row>
    <row r="37" spans="2:11" ht="11.25" hidden="1" customHeight="1" outlineLevel="1" x14ac:dyDescent="0.25">
      <c r="B37" s="518" t="s">
        <v>143</v>
      </c>
      <c r="D37" s="490"/>
      <c r="E37" s="490"/>
      <c r="F37" s="490"/>
      <c r="G37" s="490"/>
      <c r="H37" s="490">
        <v>2373.3000000000002</v>
      </c>
      <c r="I37" s="490">
        <v>2434.4</v>
      </c>
      <c r="J37" s="490">
        <v>2338.9</v>
      </c>
      <c r="K37" s="490">
        <v>2614.6</v>
      </c>
    </row>
    <row r="38" spans="2:11" ht="11.25" hidden="1" customHeight="1" outlineLevel="1" x14ac:dyDescent="0.25">
      <c r="B38" s="518" t="s">
        <v>779</v>
      </c>
      <c r="D38" s="490"/>
      <c r="E38" s="490"/>
      <c r="F38" s="490"/>
      <c r="G38" s="490"/>
      <c r="H38" s="490"/>
      <c r="I38" s="490"/>
      <c r="J38" s="490"/>
      <c r="K38" s="490"/>
    </row>
    <row r="39" spans="2:11" ht="11.25" hidden="1" customHeight="1" outlineLevel="1" x14ac:dyDescent="0.25">
      <c r="B39" s="518" t="s">
        <v>1293</v>
      </c>
      <c r="D39" s="490"/>
      <c r="E39" s="490"/>
      <c r="F39" s="490"/>
      <c r="G39" s="490"/>
      <c r="H39" s="490">
        <v>-118.40000000000036</v>
      </c>
      <c r="I39" s="490">
        <v>66.500000000000071</v>
      </c>
      <c r="J39" s="490">
        <v>-1359.6999999999998</v>
      </c>
      <c r="K39" s="490">
        <v>36.599999999999646</v>
      </c>
    </row>
    <row r="40" spans="2:11" ht="11.25" hidden="1" customHeight="1" outlineLevel="1" x14ac:dyDescent="0.25">
      <c r="B40" s="518"/>
      <c r="D40" s="490"/>
      <c r="E40" s="490"/>
      <c r="F40" s="490"/>
      <c r="G40" s="490"/>
      <c r="H40" s="490"/>
      <c r="I40" s="490"/>
      <c r="J40" s="490"/>
      <c r="K40" s="490"/>
    </row>
    <row r="41" spans="2:11" ht="11.25" hidden="1" customHeight="1" outlineLevel="1" x14ac:dyDescent="0.25">
      <c r="B41" s="516" t="s">
        <v>1291</v>
      </c>
      <c r="C41" s="478"/>
      <c r="D41" s="433"/>
      <c r="E41" s="433"/>
      <c r="F41" s="433"/>
      <c r="G41" s="433"/>
      <c r="H41" s="433"/>
      <c r="I41" s="433"/>
      <c r="J41" s="433"/>
      <c r="K41" s="433"/>
    </row>
    <row r="42" spans="2:11" ht="11.25" hidden="1" customHeight="1" outlineLevel="1" x14ac:dyDescent="0.25">
      <c r="B42" s="492" t="s">
        <v>1073</v>
      </c>
      <c r="C42" s="430" t="s">
        <v>118</v>
      </c>
      <c r="D42" s="440"/>
      <c r="E42" s="440"/>
      <c r="F42" s="440"/>
      <c r="G42" s="440"/>
      <c r="H42" s="440" t="e">
        <f>#REF!/#REF!</f>
        <v>#REF!</v>
      </c>
      <c r="I42" s="440" t="e">
        <f>#REF!/#REF!</f>
        <v>#REF!</v>
      </c>
      <c r="J42" s="440" t="e">
        <f>#REF!/#REF!</f>
        <v>#REF!</v>
      </c>
      <c r="K42" s="440" t="e">
        <f>#REF!/#REF!</f>
        <v>#REF!</v>
      </c>
    </row>
    <row r="43" spans="2:11" ht="11.25" hidden="1" customHeight="1" outlineLevel="1" x14ac:dyDescent="0.25">
      <c r="B43" s="492" t="s">
        <v>1079</v>
      </c>
      <c r="C43" s="430" t="s">
        <v>118</v>
      </c>
      <c r="D43" s="440"/>
      <c r="E43" s="440"/>
      <c r="F43" s="440"/>
      <c r="G43" s="440"/>
      <c r="H43" s="440" t="e">
        <f>#REF!/#REF!</f>
        <v>#REF!</v>
      </c>
      <c r="I43" s="440" t="e">
        <f>#REF!/#REF!</f>
        <v>#REF!</v>
      </c>
      <c r="J43" s="440" t="e">
        <f>#REF!/#REF!</f>
        <v>#REF!</v>
      </c>
      <c r="K43" s="440" t="e">
        <f>#REF!/#REF!</f>
        <v>#REF!</v>
      </c>
    </row>
    <row r="44" spans="2:11" ht="11.25" hidden="1" customHeight="1" outlineLevel="1" x14ac:dyDescent="0.25">
      <c r="B44" s="492" t="s">
        <v>1096</v>
      </c>
      <c r="C44" s="430" t="s">
        <v>118</v>
      </c>
      <c r="D44" s="440"/>
      <c r="E44" s="440"/>
      <c r="F44" s="440"/>
      <c r="G44" s="440"/>
      <c r="H44" s="440">
        <f>H38/H37</f>
        <v>0</v>
      </c>
      <c r="I44" s="440">
        <f>I38/I37</f>
        <v>0</v>
      </c>
      <c r="J44" s="440">
        <f>J38/J37</f>
        <v>0</v>
      </c>
      <c r="K44" s="440">
        <f>K38/K37</f>
        <v>0</v>
      </c>
    </row>
    <row r="45" spans="2:11" ht="11.25" hidden="1" customHeight="1" outlineLevel="1" x14ac:dyDescent="0.25">
      <c r="B45" s="492" t="s">
        <v>1095</v>
      </c>
      <c r="C45" s="430" t="s">
        <v>118</v>
      </c>
      <c r="D45" s="440"/>
      <c r="E45" s="440"/>
      <c r="F45" s="440"/>
      <c r="G45" s="440"/>
      <c r="H45" s="440">
        <f>H39/H37</f>
        <v>-4.9888341128386783E-2</v>
      </c>
      <c r="I45" s="440">
        <f>I39/I37</f>
        <v>2.7316792638843276E-2</v>
      </c>
      <c r="J45" s="440">
        <f>J39/J37</f>
        <v>-0.58134165633417412</v>
      </c>
      <c r="K45" s="440">
        <f>K39/K37</f>
        <v>1.3998317142201349E-2</v>
      </c>
    </row>
    <row r="46" spans="2:11" ht="11.25" customHeight="1" collapsed="1"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A8298-4890-47DC-B216-C27422D3D63D}">
  <dimension ref="B1:M100"/>
  <sheetViews>
    <sheetView showGridLines="0" topLeftCell="A72" zoomScale="145" zoomScaleNormal="145" workbookViewId="0">
      <selection activeCell="M81" sqref="M81"/>
    </sheetView>
  </sheetViews>
  <sheetFormatPr defaultColWidth="8.7109375" defaultRowHeight="11.25" x14ac:dyDescent="0.2"/>
  <cols>
    <col min="1" max="1" width="2.7109375" style="495" customWidth="1"/>
    <col min="2" max="2" width="30.7109375" style="495" customWidth="1"/>
    <col min="3" max="3" width="5.7109375" style="537" customWidth="1"/>
    <col min="4" max="11" width="6.7109375" style="495" customWidth="1"/>
    <col min="12" max="16384" width="8.7109375" style="495"/>
  </cols>
  <sheetData>
    <row r="1" spans="2:11" ht="15.75" customHeight="1" x14ac:dyDescent="0.2">
      <c r="B1" s="496" t="s">
        <v>932</v>
      </c>
      <c r="C1" s="531"/>
    </row>
    <row r="2" spans="2:11" ht="15" customHeight="1" x14ac:dyDescent="0.2">
      <c r="B2" s="497" t="s">
        <v>931</v>
      </c>
      <c r="C2" s="532"/>
    </row>
    <row r="3" spans="2:11" ht="15" customHeight="1" x14ac:dyDescent="0.2">
      <c r="B3" s="497" t="s">
        <v>930</v>
      </c>
      <c r="C3" s="532"/>
    </row>
    <row r="5" spans="2:11" x14ac:dyDescent="0.2">
      <c r="B5" s="172"/>
      <c r="C5" s="172"/>
      <c r="D5" s="172" t="s">
        <v>167</v>
      </c>
      <c r="E5" s="172" t="s">
        <v>168</v>
      </c>
      <c r="F5" s="172" t="s">
        <v>169</v>
      </c>
      <c r="G5" s="172" t="s">
        <v>170</v>
      </c>
      <c r="H5" s="172" t="s">
        <v>171</v>
      </c>
      <c r="I5" s="172" t="s">
        <v>172</v>
      </c>
      <c r="J5" s="172" t="s">
        <v>173</v>
      </c>
      <c r="K5" s="172" t="s">
        <v>174</v>
      </c>
    </row>
    <row r="6" spans="2:11" x14ac:dyDescent="0.2">
      <c r="B6" s="173"/>
      <c r="C6" s="173"/>
      <c r="D6" s="173">
        <v>43465</v>
      </c>
      <c r="E6" s="174">
        <f>EOMONTH(D6,12)</f>
        <v>43830</v>
      </c>
      <c r="F6" s="174">
        <f t="shared" ref="F6:K6" si="0">EOMONTH(E6,12)</f>
        <v>44196</v>
      </c>
      <c r="G6" s="174">
        <f t="shared" si="0"/>
        <v>44561</v>
      </c>
      <c r="H6" s="174">
        <f t="shared" si="0"/>
        <v>44926</v>
      </c>
      <c r="I6" s="174">
        <f t="shared" si="0"/>
        <v>45291</v>
      </c>
      <c r="J6" s="174">
        <f t="shared" si="0"/>
        <v>45657</v>
      </c>
      <c r="K6" s="174">
        <f t="shared" si="0"/>
        <v>46022</v>
      </c>
    </row>
    <row r="7" spans="2:11" ht="15" customHeight="1" x14ac:dyDescent="0.2">
      <c r="B7" s="498"/>
      <c r="C7" s="533"/>
      <c r="D7" s="499"/>
      <c r="E7" s="499"/>
      <c r="F7" s="499"/>
      <c r="G7" s="499"/>
      <c r="H7" s="499"/>
      <c r="I7" s="499"/>
      <c r="J7" s="499"/>
      <c r="K7" s="499"/>
    </row>
    <row r="8" spans="2:11" ht="15" customHeight="1" x14ac:dyDescent="0.2">
      <c r="B8" s="500" t="s">
        <v>416</v>
      </c>
      <c r="C8" s="534"/>
      <c r="D8" s="501"/>
      <c r="E8" s="501"/>
      <c r="F8" s="501"/>
      <c r="G8" s="501"/>
      <c r="H8" s="501"/>
      <c r="I8" s="501"/>
      <c r="J8" s="501"/>
      <c r="K8" s="501"/>
    </row>
    <row r="9" spans="2:11" ht="15" customHeight="1" x14ac:dyDescent="0.2">
      <c r="B9" s="502" t="s">
        <v>929</v>
      </c>
      <c r="C9" s="535"/>
      <c r="D9" s="503">
        <v>293890</v>
      </c>
      <c r="E9" s="503">
        <v>419974</v>
      </c>
      <c r="F9" s="503">
        <v>650123</v>
      </c>
      <c r="G9" s="503">
        <v>765306</v>
      </c>
      <c r="H9" s="503">
        <v>831988</v>
      </c>
      <c r="I9" s="503">
        <v>763353</v>
      </c>
      <c r="J9" s="503">
        <v>771767</v>
      </c>
      <c r="K9" s="503">
        <v>724991</v>
      </c>
    </row>
    <row r="10" spans="2:11" ht="15" customHeight="1" x14ac:dyDescent="0.2">
      <c r="B10" s="502" t="s">
        <v>928</v>
      </c>
      <c r="C10" s="535"/>
      <c r="D10" s="503"/>
      <c r="E10" s="503"/>
      <c r="F10" s="503"/>
      <c r="G10" s="503"/>
      <c r="H10" s="503"/>
      <c r="I10" s="503">
        <v>168278</v>
      </c>
      <c r="J10" s="503">
        <v>275090</v>
      </c>
      <c r="K10" s="503">
        <v>338985</v>
      </c>
    </row>
    <row r="11" spans="2:11" ht="15" customHeight="1" x14ac:dyDescent="0.2">
      <c r="B11" s="504" t="s">
        <v>927</v>
      </c>
      <c r="C11" s="536"/>
      <c r="D11" s="505">
        <f t="shared" ref="D11:K11" si="1">SUM(D9:D10)</f>
        <v>293890</v>
      </c>
      <c r="E11" s="505">
        <f t="shared" si="1"/>
        <v>419974</v>
      </c>
      <c r="F11" s="505">
        <f t="shared" si="1"/>
        <v>650123</v>
      </c>
      <c r="G11" s="505">
        <f t="shared" si="1"/>
        <v>765306</v>
      </c>
      <c r="H11" s="505">
        <f t="shared" si="1"/>
        <v>831988</v>
      </c>
      <c r="I11" s="505">
        <f t="shared" si="1"/>
        <v>931631</v>
      </c>
      <c r="J11" s="505">
        <f t="shared" si="1"/>
        <v>1046857</v>
      </c>
      <c r="K11" s="505">
        <f t="shared" si="1"/>
        <v>1063976</v>
      </c>
    </row>
    <row r="12" spans="2:11" ht="15" customHeight="1" x14ac:dyDescent="0.2">
      <c r="B12" s="502" t="s">
        <v>926</v>
      </c>
      <c r="C12" s="535"/>
      <c r="D12" s="503">
        <v>492</v>
      </c>
      <c r="E12" s="503">
        <v>777</v>
      </c>
      <c r="F12" s="503">
        <v>243</v>
      </c>
      <c r="G12" s="503">
        <v>15</v>
      </c>
      <c r="H12" s="503">
        <v>46</v>
      </c>
      <c r="I12" s="503">
        <v>34797</v>
      </c>
      <c r="J12" s="503">
        <v>60162</v>
      </c>
      <c r="K12" s="503">
        <v>48530</v>
      </c>
    </row>
    <row r="13" spans="2:11" ht="15" customHeight="1" x14ac:dyDescent="0.2">
      <c r="B13" s="504" t="s">
        <v>106</v>
      </c>
      <c r="C13" s="536"/>
      <c r="D13" s="505">
        <f t="shared" ref="D13:K13" si="2">D11+D12</f>
        <v>294382</v>
      </c>
      <c r="E13" s="505">
        <f t="shared" si="2"/>
        <v>420751</v>
      </c>
      <c r="F13" s="505">
        <f t="shared" si="2"/>
        <v>650366</v>
      </c>
      <c r="G13" s="505">
        <f t="shared" si="2"/>
        <v>765321</v>
      </c>
      <c r="H13" s="505">
        <f t="shared" si="2"/>
        <v>832034</v>
      </c>
      <c r="I13" s="505">
        <f t="shared" si="2"/>
        <v>966428</v>
      </c>
      <c r="J13" s="505">
        <f t="shared" si="2"/>
        <v>1107019</v>
      </c>
      <c r="K13" s="505">
        <f t="shared" si="2"/>
        <v>1112506</v>
      </c>
    </row>
    <row r="15" spans="2:11" x14ac:dyDescent="0.2">
      <c r="B15" s="495" t="s">
        <v>984</v>
      </c>
      <c r="D15" s="506">
        <f>D9*1.1</f>
        <v>323279</v>
      </c>
      <c r="E15" s="506">
        <f t="shared" ref="E15:K15" si="3">E9*1.1</f>
        <v>461971.4</v>
      </c>
      <c r="F15" s="506">
        <f t="shared" si="3"/>
        <v>715135.3</v>
      </c>
      <c r="G15" s="506">
        <f t="shared" si="3"/>
        <v>841836.60000000009</v>
      </c>
      <c r="H15" s="506">
        <f t="shared" si="3"/>
        <v>915186.8</v>
      </c>
      <c r="I15" s="506">
        <f t="shared" si="3"/>
        <v>839688.3</v>
      </c>
      <c r="J15" s="506">
        <f t="shared" si="3"/>
        <v>848943.70000000007</v>
      </c>
      <c r="K15" s="506">
        <f t="shared" si="3"/>
        <v>797490.10000000009</v>
      </c>
    </row>
    <row r="18" spans="2:11" x14ac:dyDescent="0.2">
      <c r="D18" s="507">
        <f t="shared" ref="D18:J18" si="4">D30/D11</f>
        <v>0.27357174453026645</v>
      </c>
      <c r="E18" s="507">
        <f t="shared" si="4"/>
        <v>0.27042388338325707</v>
      </c>
      <c r="F18" s="507">
        <f t="shared" si="4"/>
        <v>0.17128604894766067</v>
      </c>
      <c r="G18" s="507">
        <f t="shared" si="4"/>
        <v>0.16775773350790402</v>
      </c>
      <c r="H18" s="507">
        <f t="shared" si="4"/>
        <v>0.15984244965071612</v>
      </c>
      <c r="I18" s="507">
        <f t="shared" si="4"/>
        <v>0.17820574884262116</v>
      </c>
      <c r="J18" s="507">
        <f t="shared" si="4"/>
        <v>0.20175439434421319</v>
      </c>
      <c r="K18" s="507">
        <f>K30/K11</f>
        <v>0.16325180267224074</v>
      </c>
    </row>
    <row r="20" spans="2:11" ht="15" customHeight="1" x14ac:dyDescent="0.2">
      <c r="B20" s="500" t="s">
        <v>925</v>
      </c>
      <c r="C20" s="534"/>
      <c r="D20" s="501"/>
      <c r="E20" s="501"/>
      <c r="F20" s="501"/>
      <c r="G20" s="501"/>
      <c r="H20" s="501"/>
      <c r="I20" s="501"/>
      <c r="J20" s="501"/>
      <c r="K20" s="501"/>
    </row>
    <row r="21" spans="2:11" ht="15" customHeight="1" x14ac:dyDescent="0.2">
      <c r="B21" s="502" t="s">
        <v>924</v>
      </c>
      <c r="C21" s="535"/>
      <c r="D21" s="503">
        <v>666</v>
      </c>
      <c r="E21" s="503">
        <v>938</v>
      </c>
      <c r="F21" s="503">
        <v>550</v>
      </c>
      <c r="G21" s="503">
        <v>500</v>
      </c>
      <c r="H21" s="503">
        <v>61</v>
      </c>
      <c r="I21" s="503">
        <v>1791</v>
      </c>
      <c r="J21" s="503">
        <v>2265</v>
      </c>
      <c r="K21" s="503">
        <v>1499</v>
      </c>
    </row>
    <row r="22" spans="2:11" ht="15" customHeight="1" x14ac:dyDescent="0.2">
      <c r="B22" s="502" t="s">
        <v>923</v>
      </c>
      <c r="C22" s="535"/>
      <c r="D22" s="503">
        <v>79966</v>
      </c>
      <c r="E22" s="503">
        <v>112228</v>
      </c>
      <c r="F22" s="503">
        <v>155084</v>
      </c>
      <c r="G22" s="503">
        <v>175839</v>
      </c>
      <c r="H22" s="503">
        <v>190803</v>
      </c>
      <c r="I22" s="503">
        <v>205559</v>
      </c>
      <c r="J22" s="503">
        <v>227615</v>
      </c>
      <c r="K22" s="503">
        <v>243899</v>
      </c>
    </row>
    <row r="23" spans="2:11" ht="15" customHeight="1" x14ac:dyDescent="0.2">
      <c r="B23" s="502" t="s">
        <v>922</v>
      </c>
      <c r="C23" s="535"/>
      <c r="D23" s="503">
        <v>6437</v>
      </c>
      <c r="E23" s="503">
        <v>67870</v>
      </c>
      <c r="F23" s="503">
        <v>106840</v>
      </c>
      <c r="G23" s="503">
        <v>117979</v>
      </c>
      <c r="H23" s="503">
        <v>153626</v>
      </c>
      <c r="I23" s="503">
        <v>172552</v>
      </c>
      <c r="J23" s="503">
        <v>180545</v>
      </c>
      <c r="K23" s="503">
        <v>179155</v>
      </c>
    </row>
    <row r="24" spans="2:11" ht="15" customHeight="1" x14ac:dyDescent="0.2">
      <c r="B24" s="502" t="s">
        <v>921</v>
      </c>
      <c r="C24" s="535"/>
      <c r="D24" s="503">
        <v>27507</v>
      </c>
      <c r="E24" s="503">
        <v>31334</v>
      </c>
      <c r="F24" s="503">
        <v>47417</v>
      </c>
      <c r="G24" s="503">
        <v>45340</v>
      </c>
      <c r="H24" s="503">
        <v>46587</v>
      </c>
      <c r="I24" s="503">
        <v>35314</v>
      </c>
      <c r="J24" s="503">
        <v>35226</v>
      </c>
      <c r="K24" s="503">
        <v>53662</v>
      </c>
    </row>
    <row r="25" spans="2:11" ht="15" customHeight="1" x14ac:dyDescent="0.2">
      <c r="B25" s="504" t="s">
        <v>920</v>
      </c>
      <c r="C25" s="536"/>
      <c r="D25" s="505">
        <f t="shared" ref="D25:K25" si="5">SUM(D21:D24)</f>
        <v>114576</v>
      </c>
      <c r="E25" s="505">
        <f t="shared" si="5"/>
        <v>212370</v>
      </c>
      <c r="F25" s="505">
        <f t="shared" si="5"/>
        <v>309891</v>
      </c>
      <c r="G25" s="505">
        <f t="shared" si="5"/>
        <v>339658</v>
      </c>
      <c r="H25" s="505">
        <f t="shared" si="5"/>
        <v>391077</v>
      </c>
      <c r="I25" s="505">
        <f t="shared" si="5"/>
        <v>415216</v>
      </c>
      <c r="J25" s="505">
        <f t="shared" si="5"/>
        <v>445651</v>
      </c>
      <c r="K25" s="505">
        <f t="shared" si="5"/>
        <v>478215</v>
      </c>
    </row>
    <row r="26" spans="2:11" ht="15" customHeight="1" x14ac:dyDescent="0.2">
      <c r="B26" s="504" t="s">
        <v>109</v>
      </c>
      <c r="C26" s="536"/>
      <c r="D26" s="505">
        <f t="shared" ref="D26:K26" si="6">D13-D25</f>
        <v>179806</v>
      </c>
      <c r="E26" s="505">
        <f t="shared" si="6"/>
        <v>208381</v>
      </c>
      <c r="F26" s="505">
        <f t="shared" si="6"/>
        <v>340475</v>
      </c>
      <c r="G26" s="505">
        <f t="shared" si="6"/>
        <v>425663</v>
      </c>
      <c r="H26" s="505">
        <f t="shared" si="6"/>
        <v>440957</v>
      </c>
      <c r="I26" s="505">
        <f t="shared" si="6"/>
        <v>551212</v>
      </c>
      <c r="J26" s="505">
        <f t="shared" si="6"/>
        <v>661368</v>
      </c>
      <c r="K26" s="505">
        <f t="shared" si="6"/>
        <v>634291</v>
      </c>
    </row>
    <row r="27" spans="2:11" ht="15" customHeight="1" x14ac:dyDescent="0.2">
      <c r="B27" s="497" t="s">
        <v>919</v>
      </c>
      <c r="C27" s="532"/>
      <c r="D27" s="508">
        <f t="shared" ref="D27:K27" si="7">D26/D13</f>
        <v>0.61079142067110082</v>
      </c>
      <c r="E27" s="508">
        <f t="shared" si="7"/>
        <v>0.49525966664369186</v>
      </c>
      <c r="F27" s="508">
        <f t="shared" si="7"/>
        <v>0.52351291426673596</v>
      </c>
      <c r="G27" s="508">
        <f t="shared" si="7"/>
        <v>0.55618884102226385</v>
      </c>
      <c r="H27" s="508">
        <f t="shared" si="7"/>
        <v>0.52997473660932126</v>
      </c>
      <c r="I27" s="508">
        <f t="shared" si="7"/>
        <v>0.57036013029423815</v>
      </c>
      <c r="J27" s="508">
        <f t="shared" si="7"/>
        <v>0.59743148039916205</v>
      </c>
      <c r="K27" s="508">
        <f t="shared" si="7"/>
        <v>0.57014613853767981</v>
      </c>
    </row>
    <row r="29" spans="2:11" ht="15" customHeight="1" x14ac:dyDescent="0.2">
      <c r="B29" s="500" t="s">
        <v>918</v>
      </c>
      <c r="C29" s="534"/>
      <c r="D29" s="501"/>
      <c r="E29" s="501"/>
      <c r="F29" s="501"/>
      <c r="G29" s="501"/>
      <c r="H29" s="501"/>
      <c r="I29" s="501"/>
      <c r="J29" s="501"/>
      <c r="K29" s="501"/>
    </row>
    <row r="30" spans="2:11" ht="15" customHeight="1" x14ac:dyDescent="0.2">
      <c r="B30" s="502" t="s">
        <v>917</v>
      </c>
      <c r="C30" s="535"/>
      <c r="D30" s="503">
        <v>80400</v>
      </c>
      <c r="E30" s="503">
        <v>113571</v>
      </c>
      <c r="F30" s="503">
        <v>111357</v>
      </c>
      <c r="G30" s="503">
        <v>128386</v>
      </c>
      <c r="H30" s="503">
        <v>132987</v>
      </c>
      <c r="I30" s="503">
        <v>166022</v>
      </c>
      <c r="J30" s="503">
        <v>211208</v>
      </c>
      <c r="K30" s="503">
        <v>173696</v>
      </c>
    </row>
    <row r="31" spans="2:11" ht="15" customHeight="1" x14ac:dyDescent="0.2">
      <c r="B31" s="502" t="s">
        <v>916</v>
      </c>
      <c r="C31" s="535"/>
      <c r="D31" s="503">
        <v>4895</v>
      </c>
      <c r="E31" s="503">
        <v>17770</v>
      </c>
      <c r="F31" s="503">
        <v>15451</v>
      </c>
      <c r="G31" s="503">
        <v>15902</v>
      </c>
      <c r="H31" s="503">
        <v>11841</v>
      </c>
      <c r="I31" s="503">
        <v>71442</v>
      </c>
      <c r="J31" s="503">
        <v>108547</v>
      </c>
      <c r="K31" s="503">
        <v>105433</v>
      </c>
    </row>
    <row r="32" spans="2:11" ht="15" customHeight="1" x14ac:dyDescent="0.2">
      <c r="B32" s="502" t="s">
        <v>915</v>
      </c>
      <c r="C32" s="535"/>
      <c r="D32" s="503">
        <v>65871</v>
      </c>
      <c r="E32" s="503">
        <v>83214</v>
      </c>
      <c r="F32" s="503">
        <v>80221</v>
      </c>
      <c r="G32" s="503">
        <v>111935</v>
      </c>
      <c r="H32" s="503">
        <v>157597</v>
      </c>
      <c r="I32" s="503">
        <v>243955</v>
      </c>
      <c r="J32" s="503">
        <v>613100</v>
      </c>
      <c r="K32" s="503">
        <v>400910</v>
      </c>
    </row>
    <row r="33" spans="2:11" ht="15" customHeight="1" x14ac:dyDescent="0.2">
      <c r="B33" s="504" t="s">
        <v>914</v>
      </c>
      <c r="C33" s="536"/>
      <c r="D33" s="505">
        <f t="shared" ref="D33:K33" si="8">SUM(D30:D32)</f>
        <v>151166</v>
      </c>
      <c r="E33" s="505">
        <f t="shared" si="8"/>
        <v>214555</v>
      </c>
      <c r="F33" s="505">
        <f t="shared" si="8"/>
        <v>207029</v>
      </c>
      <c r="G33" s="505">
        <f t="shared" si="8"/>
        <v>256223</v>
      </c>
      <c r="H33" s="505">
        <f t="shared" si="8"/>
        <v>302425</v>
      </c>
      <c r="I33" s="505">
        <f t="shared" si="8"/>
        <v>481419</v>
      </c>
      <c r="J33" s="505">
        <f t="shared" si="8"/>
        <v>932855</v>
      </c>
      <c r="K33" s="505">
        <f t="shared" si="8"/>
        <v>680039</v>
      </c>
    </row>
    <row r="35" spans="2:11" ht="15" customHeight="1" x14ac:dyDescent="0.2">
      <c r="B35" s="502" t="s">
        <v>913</v>
      </c>
      <c r="C35" s="535"/>
      <c r="D35" s="503"/>
      <c r="E35" s="503"/>
      <c r="F35" s="503">
        <v>1120</v>
      </c>
      <c r="G35" s="503">
        <v>781</v>
      </c>
      <c r="H35" s="503">
        <v>728</v>
      </c>
      <c r="I35" s="503">
        <v>120426</v>
      </c>
      <c r="J35" s="503">
        <v>215379</v>
      </c>
      <c r="K35" s="503">
        <v>171450</v>
      </c>
    </row>
    <row r="36" spans="2:11" ht="15" customHeight="1" x14ac:dyDescent="0.2">
      <c r="B36" s="502" t="s">
        <v>912</v>
      </c>
      <c r="C36" s="535"/>
      <c r="D36" s="503"/>
      <c r="E36" s="503"/>
      <c r="F36" s="503"/>
      <c r="G36" s="503"/>
      <c r="H36" s="503"/>
      <c r="I36" s="503"/>
      <c r="J36" s="503">
        <v>14662</v>
      </c>
      <c r="K36" s="503">
        <v>107474</v>
      </c>
    </row>
    <row r="37" spans="2:11" ht="15" customHeight="1" thickBot="1" x14ac:dyDescent="0.25">
      <c r="B37" s="504" t="s">
        <v>908</v>
      </c>
      <c r="C37" s="536"/>
      <c r="D37" s="509">
        <f t="shared" ref="D37:K37" si="9">D26-D33-D35+D36</f>
        <v>28640</v>
      </c>
      <c r="E37" s="509">
        <f t="shared" si="9"/>
        <v>-6174</v>
      </c>
      <c r="F37" s="509">
        <f t="shared" si="9"/>
        <v>132326</v>
      </c>
      <c r="G37" s="509">
        <f t="shared" si="9"/>
        <v>168659</v>
      </c>
      <c r="H37" s="509">
        <f t="shared" si="9"/>
        <v>137804</v>
      </c>
      <c r="I37" s="509">
        <f t="shared" si="9"/>
        <v>-50633</v>
      </c>
      <c r="J37" s="509">
        <f t="shared" si="9"/>
        <v>-472204</v>
      </c>
      <c r="K37" s="509">
        <f t="shared" si="9"/>
        <v>-109724</v>
      </c>
    </row>
    <row r="38" spans="2:11" ht="15" customHeight="1" thickTop="1" x14ac:dyDescent="0.2">
      <c r="B38" s="497" t="s">
        <v>911</v>
      </c>
      <c r="C38" s="532"/>
      <c r="D38" s="510">
        <v>28640</v>
      </c>
      <c r="E38" s="510">
        <v>-6174</v>
      </c>
      <c r="F38" s="510">
        <v>132326</v>
      </c>
      <c r="G38" s="510">
        <v>168659</v>
      </c>
      <c r="H38" s="510">
        <v>137804</v>
      </c>
      <c r="I38" s="510">
        <v>-50633</v>
      </c>
      <c r="J38" s="510">
        <v>-472204</v>
      </c>
      <c r="K38" s="510">
        <v>-109724</v>
      </c>
    </row>
    <row r="39" spans="2:11" ht="15" customHeight="1" x14ac:dyDescent="0.2">
      <c r="B39" s="497" t="s">
        <v>910</v>
      </c>
      <c r="C39" s="532"/>
      <c r="D39" s="511">
        <f t="shared" ref="D39:K39" si="10">D37-D38</f>
        <v>0</v>
      </c>
      <c r="E39" s="511">
        <f t="shared" si="10"/>
        <v>0</v>
      </c>
      <c r="F39" s="511">
        <f t="shared" si="10"/>
        <v>0</v>
      </c>
      <c r="G39" s="511">
        <f t="shared" si="10"/>
        <v>0</v>
      </c>
      <c r="H39" s="511">
        <f t="shared" si="10"/>
        <v>0</v>
      </c>
      <c r="I39" s="511">
        <f t="shared" si="10"/>
        <v>0</v>
      </c>
      <c r="J39" s="511">
        <f t="shared" si="10"/>
        <v>0</v>
      </c>
      <c r="K39" s="511">
        <f t="shared" si="10"/>
        <v>0</v>
      </c>
    </row>
    <row r="41" spans="2:11" ht="15" customHeight="1" x14ac:dyDescent="0.2">
      <c r="B41" s="500" t="s">
        <v>909</v>
      </c>
      <c r="C41" s="534"/>
      <c r="D41" s="501"/>
      <c r="E41" s="501"/>
      <c r="F41" s="501"/>
      <c r="G41" s="501"/>
      <c r="H41" s="501"/>
      <c r="I41" s="501"/>
      <c r="J41" s="501"/>
      <c r="K41" s="501"/>
    </row>
    <row r="42" spans="2:11" ht="15" customHeight="1" x14ac:dyDescent="0.2">
      <c r="B42" s="502" t="s">
        <v>908</v>
      </c>
      <c r="C42" s="535"/>
      <c r="D42" s="512">
        <f t="shared" ref="D42:K42" si="11">D37</f>
        <v>28640</v>
      </c>
      <c r="E42" s="512">
        <f t="shared" si="11"/>
        <v>-6174</v>
      </c>
      <c r="F42" s="512">
        <f t="shared" si="11"/>
        <v>132326</v>
      </c>
      <c r="G42" s="512">
        <f t="shared" si="11"/>
        <v>168659</v>
      </c>
      <c r="H42" s="512">
        <f t="shared" si="11"/>
        <v>137804</v>
      </c>
      <c r="I42" s="512">
        <f t="shared" si="11"/>
        <v>-50633</v>
      </c>
      <c r="J42" s="512">
        <f t="shared" si="11"/>
        <v>-472204</v>
      </c>
      <c r="K42" s="512">
        <f t="shared" si="11"/>
        <v>-109724</v>
      </c>
    </row>
    <row r="43" spans="2:11" ht="15" customHeight="1" x14ac:dyDescent="0.2">
      <c r="B43" s="502" t="s">
        <v>907</v>
      </c>
      <c r="C43" s="535"/>
      <c r="D43" s="503">
        <v>7649</v>
      </c>
      <c r="E43" s="503">
        <v>10958</v>
      </c>
      <c r="F43" s="503">
        <v>1120</v>
      </c>
      <c r="G43" s="503">
        <v>781</v>
      </c>
      <c r="H43" s="503">
        <v>728</v>
      </c>
      <c r="I43" s="503">
        <v>120426</v>
      </c>
      <c r="J43" s="503">
        <v>215379</v>
      </c>
      <c r="K43" s="503">
        <v>171450</v>
      </c>
    </row>
    <row r="44" spans="2:11" ht="15" customHeight="1" x14ac:dyDescent="0.2">
      <c r="B44" s="502" t="s">
        <v>906</v>
      </c>
      <c r="C44" s="535"/>
      <c r="D44" s="512">
        <f t="shared" ref="D44:K44" si="12">D31</f>
        <v>4895</v>
      </c>
      <c r="E44" s="512">
        <f t="shared" si="12"/>
        <v>17770</v>
      </c>
      <c r="F44" s="512">
        <f t="shared" si="12"/>
        <v>15451</v>
      </c>
      <c r="G44" s="512">
        <f t="shared" si="12"/>
        <v>15902</v>
      </c>
      <c r="H44" s="512">
        <f t="shared" si="12"/>
        <v>11841</v>
      </c>
      <c r="I44" s="512">
        <f t="shared" si="12"/>
        <v>71442</v>
      </c>
      <c r="J44" s="512">
        <f t="shared" si="12"/>
        <v>108547</v>
      </c>
      <c r="K44" s="512">
        <f t="shared" si="12"/>
        <v>105433</v>
      </c>
    </row>
    <row r="45" spans="2:11" ht="15" customHeight="1" x14ac:dyDescent="0.2">
      <c r="B45" s="502" t="s">
        <v>905</v>
      </c>
      <c r="C45" s="535"/>
      <c r="D45" s="512">
        <f t="shared" ref="D45:K45" si="13">D36</f>
        <v>0</v>
      </c>
      <c r="E45" s="512">
        <f t="shared" si="13"/>
        <v>0</v>
      </c>
      <c r="F45" s="512">
        <f t="shared" si="13"/>
        <v>0</v>
      </c>
      <c r="G45" s="512">
        <f t="shared" si="13"/>
        <v>0</v>
      </c>
      <c r="H45" s="512">
        <f t="shared" si="13"/>
        <v>0</v>
      </c>
      <c r="I45" s="512">
        <f t="shared" si="13"/>
        <v>0</v>
      </c>
      <c r="J45" s="512">
        <f t="shared" si="13"/>
        <v>14662</v>
      </c>
      <c r="K45" s="512">
        <f t="shared" si="13"/>
        <v>107474</v>
      </c>
    </row>
    <row r="46" spans="2:11" ht="15" customHeight="1" x14ac:dyDescent="0.2">
      <c r="B46" s="504" t="s">
        <v>779</v>
      </c>
      <c r="C46" s="536"/>
      <c r="D46" s="505">
        <f t="shared" ref="D46:K46" si="14">D42+D43+D44-D45</f>
        <v>41184</v>
      </c>
      <c r="E46" s="505">
        <f t="shared" si="14"/>
        <v>22554</v>
      </c>
      <c r="F46" s="505">
        <f t="shared" si="14"/>
        <v>148897</v>
      </c>
      <c r="G46" s="505">
        <f t="shared" si="14"/>
        <v>185342</v>
      </c>
      <c r="H46" s="505">
        <f t="shared" si="14"/>
        <v>150373</v>
      </c>
      <c r="I46" s="505">
        <f t="shared" si="14"/>
        <v>141235</v>
      </c>
      <c r="J46" s="505">
        <f t="shared" si="14"/>
        <v>-162940</v>
      </c>
      <c r="K46" s="505">
        <f t="shared" si="14"/>
        <v>59685</v>
      </c>
    </row>
    <row r="47" spans="2:11" ht="15" customHeight="1" x14ac:dyDescent="0.2">
      <c r="B47" s="502" t="s">
        <v>904</v>
      </c>
      <c r="C47" s="535"/>
      <c r="D47" s="503">
        <v>3000</v>
      </c>
      <c r="E47" s="503">
        <v>3364</v>
      </c>
      <c r="F47" s="503">
        <v>0</v>
      </c>
      <c r="G47" s="503">
        <v>0</v>
      </c>
      <c r="H47" s="503">
        <v>0</v>
      </c>
      <c r="I47" s="503">
        <v>6594</v>
      </c>
      <c r="J47" s="503">
        <v>308129</v>
      </c>
      <c r="K47" s="503">
        <v>7905</v>
      </c>
    </row>
    <row r="48" spans="2:11" ht="15" customHeight="1" x14ac:dyDescent="0.2">
      <c r="B48" s="502" t="s">
        <v>903</v>
      </c>
      <c r="C48" s="535"/>
      <c r="D48" s="503">
        <v>0</v>
      </c>
      <c r="E48" s="503">
        <v>0</v>
      </c>
      <c r="F48" s="503">
        <v>0</v>
      </c>
      <c r="G48" s="503">
        <v>0</v>
      </c>
      <c r="H48" s="503">
        <v>0</v>
      </c>
      <c r="I48" s="503">
        <v>0</v>
      </c>
      <c r="J48" s="503">
        <v>0</v>
      </c>
      <c r="K48" s="503">
        <v>100000</v>
      </c>
    </row>
    <row r="49" spans="2:11" ht="15" customHeight="1" x14ac:dyDescent="0.2">
      <c r="B49" s="504" t="s">
        <v>902</v>
      </c>
      <c r="C49" s="536"/>
      <c r="D49" s="505">
        <f t="shared" ref="D49:K49" si="15">D46+D47+D48</f>
        <v>44184</v>
      </c>
      <c r="E49" s="505">
        <f t="shared" si="15"/>
        <v>25918</v>
      </c>
      <c r="F49" s="505">
        <f t="shared" si="15"/>
        <v>148897</v>
      </c>
      <c r="G49" s="505">
        <f t="shared" si="15"/>
        <v>185342</v>
      </c>
      <c r="H49" s="505">
        <f t="shared" si="15"/>
        <v>150373</v>
      </c>
      <c r="I49" s="505">
        <f t="shared" si="15"/>
        <v>147829</v>
      </c>
      <c r="J49" s="505">
        <f t="shared" si="15"/>
        <v>145189</v>
      </c>
      <c r="K49" s="505">
        <f t="shared" si="15"/>
        <v>167590</v>
      </c>
    </row>
    <row r="50" spans="2:11" ht="15" customHeight="1" x14ac:dyDescent="0.2">
      <c r="B50" s="497" t="s">
        <v>901</v>
      </c>
      <c r="C50" s="532"/>
      <c r="D50" s="508">
        <f t="shared" ref="D50:K50" si="16">D49/D13</f>
        <v>0.15009069848020598</v>
      </c>
      <c r="E50" s="508">
        <f t="shared" si="16"/>
        <v>6.1599378254597138E-2</v>
      </c>
      <c r="F50" s="508">
        <f t="shared" si="16"/>
        <v>0.2289433949499205</v>
      </c>
      <c r="G50" s="508">
        <f t="shared" si="16"/>
        <v>0.24217550544150754</v>
      </c>
      <c r="H50" s="508">
        <f t="shared" si="16"/>
        <v>0.18072939326998658</v>
      </c>
      <c r="I50" s="508">
        <f t="shared" si="16"/>
        <v>0.15296431808681041</v>
      </c>
      <c r="J50" s="508">
        <f t="shared" si="16"/>
        <v>0.13115312383978955</v>
      </c>
      <c r="K50" s="508">
        <f t="shared" si="16"/>
        <v>0.15064188417860219</v>
      </c>
    </row>
    <row r="52" spans="2:11" ht="15" customHeight="1" x14ac:dyDescent="0.2">
      <c r="B52" s="502" t="s">
        <v>1410</v>
      </c>
      <c r="C52" s="535"/>
      <c r="D52" s="512">
        <v>19649</v>
      </c>
      <c r="E52" s="512">
        <v>-5502</v>
      </c>
      <c r="F52" s="512">
        <v>90752</v>
      </c>
      <c r="G52" s="512">
        <v>113062</v>
      </c>
      <c r="H52" s="512">
        <v>96427</v>
      </c>
      <c r="I52" s="512">
        <v>-37632</v>
      </c>
      <c r="J52" s="512">
        <v>-403125</v>
      </c>
      <c r="K52" s="512">
        <v>-142677</v>
      </c>
    </row>
    <row r="53" spans="2:11" ht="15" customHeight="1" x14ac:dyDescent="0.2">
      <c r="B53" s="502" t="s">
        <v>1411</v>
      </c>
      <c r="C53" s="535"/>
      <c r="D53" s="512">
        <v>19649</v>
      </c>
      <c r="E53" s="512">
        <v>-5502</v>
      </c>
      <c r="F53" s="512">
        <v>90752</v>
      </c>
      <c r="G53" s="512">
        <v>113062</v>
      </c>
      <c r="H53" s="512">
        <v>96435</v>
      </c>
      <c r="I53" s="512">
        <v>-39599</v>
      </c>
      <c r="J53" s="512">
        <v>-395906</v>
      </c>
      <c r="K53" s="512">
        <v>-132310</v>
      </c>
    </row>
    <row r="54" spans="2:11" customFormat="1" ht="15" x14ac:dyDescent="0.25"/>
    <row r="55" spans="2:11" ht="15" customHeight="1" x14ac:dyDescent="0.2">
      <c r="B55" s="500" t="s">
        <v>900</v>
      </c>
      <c r="C55" s="534"/>
      <c r="D55" s="501"/>
      <c r="E55" s="501"/>
      <c r="F55" s="501"/>
      <c r="G55" s="501"/>
      <c r="H55" s="501"/>
      <c r="I55" s="501"/>
      <c r="J55" s="501"/>
      <c r="K55" s="501"/>
    </row>
    <row r="56" spans="2:11" ht="15" customHeight="1" x14ac:dyDescent="0.2">
      <c r="B56" s="497" t="s">
        <v>899</v>
      </c>
      <c r="C56" s="532"/>
      <c r="D56" s="513"/>
      <c r="E56" s="513">
        <f t="shared" ref="E56:K56" si="17">(E11/D11)-1</f>
        <v>0.42901765966858352</v>
      </c>
      <c r="F56" s="513">
        <f t="shared" si="17"/>
        <v>0.54800773381209322</v>
      </c>
      <c r="G56" s="513">
        <f t="shared" si="17"/>
        <v>0.17717108916312752</v>
      </c>
      <c r="H56" s="513">
        <f t="shared" si="17"/>
        <v>8.7131160607652358E-2</v>
      </c>
      <c r="I56" s="513">
        <f t="shared" si="17"/>
        <v>0.11976494853291153</v>
      </c>
      <c r="J56" s="513">
        <f t="shared" si="17"/>
        <v>0.12368201573369708</v>
      </c>
      <c r="K56" s="513">
        <f t="shared" si="17"/>
        <v>1.6352758781762899E-2</v>
      </c>
    </row>
    <row r="57" spans="2:11" ht="15" customHeight="1" x14ac:dyDescent="0.2">
      <c r="B57" s="497" t="s">
        <v>898</v>
      </c>
      <c r="C57" s="532"/>
      <c r="D57" s="513"/>
      <c r="E57" s="513">
        <f t="shared" ref="E57:K57" si="18">(E9/D9)-1</f>
        <v>0.42901765966858352</v>
      </c>
      <c r="F57" s="513">
        <f t="shared" si="18"/>
        <v>0.54800773381209322</v>
      </c>
      <c r="G57" s="513">
        <f t="shared" si="18"/>
        <v>0.17717108916312752</v>
      </c>
      <c r="H57" s="513">
        <f t="shared" si="18"/>
        <v>8.7131160607652358E-2</v>
      </c>
      <c r="I57" s="513">
        <f t="shared" si="18"/>
        <v>-8.2495180218945419E-2</v>
      </c>
      <c r="J57" s="513">
        <f t="shared" si="18"/>
        <v>1.1022423439745355E-2</v>
      </c>
      <c r="K57" s="513">
        <f t="shared" si="18"/>
        <v>-6.0608966177615797E-2</v>
      </c>
    </row>
    <row r="58" spans="2:11" ht="15" customHeight="1" x14ac:dyDescent="0.2">
      <c r="B58" s="497" t="s">
        <v>897</v>
      </c>
      <c r="C58" s="532"/>
      <c r="D58" s="513"/>
      <c r="E58" s="513"/>
      <c r="F58" s="513"/>
      <c r="G58" s="513"/>
      <c r="H58" s="513"/>
      <c r="I58" s="513"/>
      <c r="J58" s="513">
        <f>(J10/I10)-1</f>
        <v>0.63473537836199623</v>
      </c>
      <c r="K58" s="513">
        <f>(K10/J10)-1</f>
        <v>0.23226943909266051</v>
      </c>
    </row>
    <row r="59" spans="2:11" ht="15" customHeight="1" x14ac:dyDescent="0.2">
      <c r="B59" s="497" t="s">
        <v>896</v>
      </c>
      <c r="C59" s="532"/>
      <c r="D59" s="513">
        <f t="shared" ref="D59:K59" si="19">D10/D11</f>
        <v>0</v>
      </c>
      <c r="E59" s="513">
        <f t="shared" si="19"/>
        <v>0</v>
      </c>
      <c r="F59" s="513">
        <f t="shared" si="19"/>
        <v>0</v>
      </c>
      <c r="G59" s="513">
        <f t="shared" si="19"/>
        <v>0</v>
      </c>
      <c r="H59" s="513">
        <f t="shared" si="19"/>
        <v>0</v>
      </c>
      <c r="I59" s="513">
        <f t="shared" si="19"/>
        <v>0.18062730845152211</v>
      </c>
      <c r="J59" s="513">
        <f t="shared" si="19"/>
        <v>0.26277705550996938</v>
      </c>
      <c r="K59" s="513">
        <f t="shared" si="19"/>
        <v>0.31860211132581939</v>
      </c>
    </row>
    <row r="60" spans="2:11" ht="15" customHeight="1" x14ac:dyDescent="0.2">
      <c r="B60" s="497" t="s">
        <v>895</v>
      </c>
      <c r="C60" s="532"/>
      <c r="D60" s="513">
        <f t="shared" ref="D60:K60" si="20">D25/D13</f>
        <v>0.38920857932889918</v>
      </c>
      <c r="E60" s="513">
        <f t="shared" si="20"/>
        <v>0.50474033335630808</v>
      </c>
      <c r="F60" s="513">
        <f t="shared" si="20"/>
        <v>0.47648708573326404</v>
      </c>
      <c r="G60" s="513">
        <f t="shared" si="20"/>
        <v>0.44381115897773615</v>
      </c>
      <c r="H60" s="513">
        <f t="shared" si="20"/>
        <v>0.47002526339067874</v>
      </c>
      <c r="I60" s="513">
        <f t="shared" si="20"/>
        <v>0.42963986970576185</v>
      </c>
      <c r="J60" s="513">
        <f t="shared" si="20"/>
        <v>0.40256851960083795</v>
      </c>
      <c r="K60" s="513">
        <f t="shared" si="20"/>
        <v>0.42985386146232019</v>
      </c>
    </row>
    <row r="61" spans="2:11" ht="15" customHeight="1" x14ac:dyDescent="0.2">
      <c r="B61" s="497" t="s">
        <v>894</v>
      </c>
      <c r="C61" s="532"/>
      <c r="D61" s="513">
        <f t="shared" ref="D61:K61" si="21">D22/D11</f>
        <v>0.27209500153118515</v>
      </c>
      <c r="E61" s="513">
        <f t="shared" si="21"/>
        <v>0.26722606637553753</v>
      </c>
      <c r="F61" s="513">
        <f t="shared" si="21"/>
        <v>0.23854562905788598</v>
      </c>
      <c r="G61" s="513">
        <f t="shared" si="21"/>
        <v>0.22976299676207948</v>
      </c>
      <c r="H61" s="513">
        <f t="shared" si="21"/>
        <v>0.2293338365457194</v>
      </c>
      <c r="I61" s="513">
        <f t="shared" si="21"/>
        <v>0.22064422502042116</v>
      </c>
      <c r="J61" s="513">
        <f t="shared" si="21"/>
        <v>0.21742702202879668</v>
      </c>
      <c r="K61" s="513">
        <f t="shared" si="21"/>
        <v>0.22923355414031896</v>
      </c>
    </row>
    <row r="62" spans="2:11" ht="15" customHeight="1" x14ac:dyDescent="0.2">
      <c r="B62" s="497" t="s">
        <v>893</v>
      </c>
      <c r="C62" s="532"/>
      <c r="D62" s="513">
        <f t="shared" ref="D62:K62" si="22">D23/D11</f>
        <v>2.1902752730613494E-2</v>
      </c>
      <c r="E62" s="513">
        <f t="shared" si="22"/>
        <v>0.16160524222928085</v>
      </c>
      <c r="F62" s="513">
        <f t="shared" si="22"/>
        <v>0.16433813293792099</v>
      </c>
      <c r="G62" s="513">
        <f t="shared" si="22"/>
        <v>0.15415925133214689</v>
      </c>
      <c r="H62" s="513">
        <f t="shared" si="22"/>
        <v>0.18464929782641096</v>
      </c>
      <c r="I62" s="513">
        <f t="shared" si="22"/>
        <v>0.18521496171767576</v>
      </c>
      <c r="J62" s="513">
        <f t="shared" si="22"/>
        <v>0.17246386087116006</v>
      </c>
      <c r="K62" s="513">
        <f t="shared" si="22"/>
        <v>0.16838255750129702</v>
      </c>
    </row>
    <row r="63" spans="2:11" ht="15" customHeight="1" x14ac:dyDescent="0.2">
      <c r="B63" s="497" t="s">
        <v>892</v>
      </c>
      <c r="C63" s="532"/>
      <c r="D63" s="513">
        <f t="shared" ref="D63:K63" si="23">D30/D11</f>
        <v>0.27357174453026645</v>
      </c>
      <c r="E63" s="513">
        <f t="shared" si="23"/>
        <v>0.27042388338325707</v>
      </c>
      <c r="F63" s="513">
        <f t="shared" si="23"/>
        <v>0.17128604894766067</v>
      </c>
      <c r="G63" s="513">
        <f t="shared" si="23"/>
        <v>0.16775773350790402</v>
      </c>
      <c r="H63" s="513">
        <f t="shared" si="23"/>
        <v>0.15984244965071612</v>
      </c>
      <c r="I63" s="513">
        <f t="shared" si="23"/>
        <v>0.17820574884262116</v>
      </c>
      <c r="J63" s="513">
        <f t="shared" si="23"/>
        <v>0.20175439434421319</v>
      </c>
      <c r="K63" s="513">
        <f t="shared" si="23"/>
        <v>0.16325180267224074</v>
      </c>
    </row>
    <row r="66" spans="2:11" ht="15" customHeight="1" x14ac:dyDescent="0.2">
      <c r="B66" s="496" t="s">
        <v>689</v>
      </c>
      <c r="C66" s="531"/>
    </row>
    <row r="67" spans="2:11" ht="33.75" customHeight="1" x14ac:dyDescent="0.2">
      <c r="B67" s="697" t="s">
        <v>891</v>
      </c>
      <c r="C67" s="697"/>
      <c r="D67" s="697"/>
      <c r="E67" s="697"/>
      <c r="F67" s="697"/>
      <c r="G67" s="697"/>
      <c r="H67" s="697"/>
      <c r="I67" s="697"/>
      <c r="J67" s="697"/>
      <c r="K67" s="697"/>
    </row>
    <row r="68" spans="2:11" ht="33.75" customHeight="1" x14ac:dyDescent="0.2">
      <c r="B68" s="697" t="s">
        <v>890</v>
      </c>
      <c r="C68" s="697"/>
      <c r="D68" s="697"/>
      <c r="E68" s="697"/>
      <c r="F68" s="697"/>
      <c r="G68" s="697"/>
      <c r="H68" s="697"/>
      <c r="I68" s="697"/>
      <c r="J68" s="697"/>
      <c r="K68" s="697"/>
    </row>
    <row r="69" spans="2:11" ht="33.75" customHeight="1" x14ac:dyDescent="0.2">
      <c r="B69" s="697" t="s">
        <v>889</v>
      </c>
      <c r="C69" s="697"/>
      <c r="D69" s="697"/>
      <c r="E69" s="697"/>
      <c r="F69" s="697"/>
      <c r="G69" s="697"/>
      <c r="H69" s="697"/>
      <c r="I69" s="697"/>
      <c r="J69" s="697"/>
      <c r="K69" s="697"/>
    </row>
    <row r="70" spans="2:11" ht="33.75" customHeight="1" x14ac:dyDescent="0.2">
      <c r="B70" s="697" t="s">
        <v>888</v>
      </c>
      <c r="C70" s="697"/>
      <c r="D70" s="697"/>
      <c r="E70" s="697"/>
      <c r="F70" s="697"/>
      <c r="G70" s="697"/>
      <c r="H70" s="697"/>
      <c r="I70" s="697"/>
      <c r="J70" s="697"/>
      <c r="K70" s="697"/>
    </row>
    <row r="71" spans="2:11" ht="33.75" customHeight="1" x14ac:dyDescent="0.2">
      <c r="B71" s="697" t="s">
        <v>887</v>
      </c>
      <c r="C71" s="697"/>
      <c r="D71" s="697"/>
      <c r="E71" s="697"/>
      <c r="F71" s="697"/>
      <c r="G71" s="697"/>
      <c r="H71" s="697"/>
      <c r="I71" s="697"/>
      <c r="J71" s="697"/>
      <c r="K71" s="697"/>
    </row>
    <row r="72" spans="2:11" ht="33.75" customHeight="1" x14ac:dyDescent="0.2">
      <c r="B72" s="697" t="s">
        <v>886</v>
      </c>
      <c r="C72" s="697"/>
      <c r="D72" s="697"/>
      <c r="E72" s="697"/>
      <c r="F72" s="697"/>
      <c r="G72" s="697"/>
      <c r="H72" s="697"/>
      <c r="I72" s="697"/>
      <c r="J72" s="697"/>
      <c r="K72" s="697"/>
    </row>
    <row r="74" spans="2:11" ht="11.25" customHeight="1" x14ac:dyDescent="0.2">
      <c r="B74" s="172"/>
      <c r="C74" s="172"/>
      <c r="D74" s="172" t="s">
        <v>1065</v>
      </c>
      <c r="E74" s="172" t="s">
        <v>1066</v>
      </c>
      <c r="F74" s="172" t="s">
        <v>1067</v>
      </c>
      <c r="G74" s="172" t="s">
        <v>1068</v>
      </c>
      <c r="H74" s="172" t="s">
        <v>1069</v>
      </c>
      <c r="I74" s="172" t="s">
        <v>1070</v>
      </c>
      <c r="J74" s="172" t="s">
        <v>1071</v>
      </c>
      <c r="K74" s="172" t="s">
        <v>1072</v>
      </c>
    </row>
    <row r="75" spans="2:11" ht="11.25" customHeight="1" x14ac:dyDescent="0.2">
      <c r="B75" s="491" t="s">
        <v>1</v>
      </c>
      <c r="C75" s="476" t="s">
        <v>415</v>
      </c>
      <c r="D75" s="476">
        <v>43465</v>
      </c>
      <c r="E75" s="174">
        <f t="shared" ref="E75:K75" si="24">EOMONTH(D75,12)</f>
        <v>43830</v>
      </c>
      <c r="F75" s="174">
        <f t="shared" si="24"/>
        <v>44196</v>
      </c>
      <c r="G75" s="174">
        <f t="shared" si="24"/>
        <v>44561</v>
      </c>
      <c r="H75" s="174">
        <f t="shared" si="24"/>
        <v>44926</v>
      </c>
      <c r="I75" s="174">
        <f t="shared" si="24"/>
        <v>45291</v>
      </c>
      <c r="J75" s="174">
        <f t="shared" si="24"/>
        <v>45657</v>
      </c>
      <c r="K75" s="174">
        <f t="shared" si="24"/>
        <v>46022</v>
      </c>
    </row>
    <row r="76" spans="2:11" ht="11.25" customHeight="1" x14ac:dyDescent="0.2">
      <c r="B76" s="516" t="s">
        <v>1080</v>
      </c>
      <c r="C76" s="533"/>
      <c r="D76" s="499"/>
      <c r="E76" s="499"/>
      <c r="F76" s="499"/>
      <c r="G76" s="499"/>
      <c r="H76" s="499"/>
      <c r="I76" s="499"/>
      <c r="J76" s="499"/>
      <c r="K76" s="499"/>
    </row>
    <row r="77" spans="2:11" ht="11.25" customHeight="1" x14ac:dyDescent="0.2">
      <c r="B77" s="514" t="s">
        <v>1082</v>
      </c>
      <c r="C77" s="535" t="s">
        <v>123</v>
      </c>
      <c r="D77" s="525">
        <v>293.89</v>
      </c>
      <c r="E77" s="525">
        <v>419.97399999999999</v>
      </c>
      <c r="F77" s="525">
        <v>650.12300000000005</v>
      </c>
      <c r="G77" s="525">
        <v>765.30600000000004</v>
      </c>
      <c r="H77" s="525">
        <v>831.98800000000006</v>
      </c>
      <c r="I77" s="525">
        <v>763.35300000000007</v>
      </c>
      <c r="J77" s="525">
        <v>771.76700000000005</v>
      </c>
      <c r="K77" s="525">
        <v>724.99099999999999</v>
      </c>
    </row>
    <row r="78" spans="2:11" ht="11.25" customHeight="1" x14ac:dyDescent="0.2">
      <c r="B78" s="514" t="s">
        <v>1083</v>
      </c>
      <c r="C78" s="535" t="s">
        <v>123</v>
      </c>
      <c r="D78" s="526"/>
      <c r="E78" s="526"/>
      <c r="F78" s="526"/>
      <c r="G78" s="526"/>
      <c r="H78" s="526"/>
      <c r="I78" s="525">
        <v>168.27799999999999</v>
      </c>
      <c r="J78" s="525">
        <v>275.09000000000003</v>
      </c>
      <c r="K78" s="525">
        <v>338.98500000000001</v>
      </c>
    </row>
    <row r="79" spans="2:11" ht="11.25" customHeight="1" x14ac:dyDescent="0.2">
      <c r="B79" s="515" t="s">
        <v>1081</v>
      </c>
      <c r="C79" s="536" t="s">
        <v>123</v>
      </c>
      <c r="D79" s="527">
        <f t="shared" ref="D79:K79" si="25">SUM(D77:D78)</f>
        <v>293.89</v>
      </c>
      <c r="E79" s="527">
        <f t="shared" si="25"/>
        <v>419.97399999999999</v>
      </c>
      <c r="F79" s="527">
        <f t="shared" si="25"/>
        <v>650.12300000000005</v>
      </c>
      <c r="G79" s="527">
        <f t="shared" si="25"/>
        <v>765.30600000000004</v>
      </c>
      <c r="H79" s="527">
        <f t="shared" si="25"/>
        <v>831.98800000000006</v>
      </c>
      <c r="I79" s="527">
        <f t="shared" si="25"/>
        <v>931.63100000000009</v>
      </c>
      <c r="J79" s="527">
        <f t="shared" si="25"/>
        <v>1046.857</v>
      </c>
      <c r="K79" s="527">
        <f t="shared" si="25"/>
        <v>1063.9760000000001</v>
      </c>
    </row>
    <row r="80" spans="2:11" ht="11.25" customHeight="1" x14ac:dyDescent="0.2">
      <c r="B80" s="514" t="s">
        <v>1089</v>
      </c>
      <c r="C80" s="535" t="s">
        <v>123</v>
      </c>
      <c r="D80" s="525">
        <v>0.49199999999999999</v>
      </c>
      <c r="E80" s="525">
        <v>0.77700000000000002</v>
      </c>
      <c r="F80" s="525">
        <v>0.24299999999999999</v>
      </c>
      <c r="G80" s="525">
        <v>1.4999999999999999E-2</v>
      </c>
      <c r="H80" s="525">
        <v>4.5999999999999999E-2</v>
      </c>
      <c r="I80" s="525">
        <v>34.797000000000004</v>
      </c>
      <c r="J80" s="525">
        <v>60.161999999999999</v>
      </c>
      <c r="K80" s="525">
        <v>48.53</v>
      </c>
    </row>
    <row r="81" spans="2:13" ht="11.25" customHeight="1" x14ac:dyDescent="0.2">
      <c r="B81" s="515" t="s">
        <v>791</v>
      </c>
      <c r="C81" s="536" t="s">
        <v>123</v>
      </c>
      <c r="D81" s="527">
        <f t="shared" ref="D81:K81" si="26">D79+D80</f>
        <v>294.38200000000001</v>
      </c>
      <c r="E81" s="527">
        <f t="shared" si="26"/>
        <v>420.75099999999998</v>
      </c>
      <c r="F81" s="527">
        <f t="shared" si="26"/>
        <v>650.3660000000001</v>
      </c>
      <c r="G81" s="527">
        <f t="shared" si="26"/>
        <v>765.32100000000003</v>
      </c>
      <c r="H81" s="527">
        <f t="shared" si="26"/>
        <v>832.03400000000011</v>
      </c>
      <c r="I81" s="527">
        <f t="shared" si="26"/>
        <v>966.42800000000011</v>
      </c>
      <c r="J81" s="527">
        <f t="shared" si="26"/>
        <v>1107.019</v>
      </c>
      <c r="K81" s="527">
        <f t="shared" si="26"/>
        <v>1112.5060000000001</v>
      </c>
    </row>
    <row r="82" spans="2:13" ht="11.25" customHeight="1" x14ac:dyDescent="0.2">
      <c r="B82" s="520"/>
      <c r="D82" s="528"/>
      <c r="E82" s="528"/>
      <c r="F82" s="528"/>
      <c r="G82" s="528"/>
      <c r="H82" s="528"/>
      <c r="I82" s="528"/>
      <c r="J82" s="528"/>
      <c r="K82" s="528"/>
    </row>
    <row r="83" spans="2:13" ht="11.25" customHeight="1" x14ac:dyDescent="0.2">
      <c r="B83" s="521" t="s">
        <v>1086</v>
      </c>
      <c r="C83" s="535" t="s">
        <v>123</v>
      </c>
      <c r="D83" s="525">
        <v>-0.66600000000000004</v>
      </c>
      <c r="E83" s="525">
        <v>-0.93800000000000006</v>
      </c>
      <c r="F83" s="525">
        <v>-0.55000000000000004</v>
      </c>
      <c r="G83" s="525">
        <v>-0.5</v>
      </c>
      <c r="H83" s="525">
        <v>-6.0999999999999999E-2</v>
      </c>
      <c r="I83" s="525">
        <v>-1.7910000000000001</v>
      </c>
      <c r="J83" s="525">
        <v>-2.2650000000000001</v>
      </c>
      <c r="K83" s="525">
        <v>-1.4990000000000001</v>
      </c>
      <c r="M83" s="524">
        <v>1E-3</v>
      </c>
    </row>
    <row r="84" spans="2:13" ht="11.25" customHeight="1" x14ac:dyDescent="0.2">
      <c r="B84" s="521" t="s">
        <v>1118</v>
      </c>
      <c r="C84" s="535" t="s">
        <v>123</v>
      </c>
      <c r="D84" s="525">
        <v>-79.966000000000008</v>
      </c>
      <c r="E84" s="525">
        <v>-112.22800000000001</v>
      </c>
      <c r="F84" s="525">
        <v>-155.084</v>
      </c>
      <c r="G84" s="525">
        <v>-175.839</v>
      </c>
      <c r="H84" s="525">
        <v>-190.803</v>
      </c>
      <c r="I84" s="525">
        <v>-205.559</v>
      </c>
      <c r="J84" s="525">
        <v>-227.61500000000001</v>
      </c>
      <c r="K84" s="525">
        <v>-243.899</v>
      </c>
    </row>
    <row r="85" spans="2:13" ht="11.25" customHeight="1" x14ac:dyDescent="0.2">
      <c r="B85" s="521" t="s">
        <v>302</v>
      </c>
      <c r="C85" s="535" t="s">
        <v>123</v>
      </c>
      <c r="D85" s="525">
        <v>-6.4370000000000003</v>
      </c>
      <c r="E85" s="525">
        <v>-67.87</v>
      </c>
      <c r="F85" s="525">
        <v>-106.84</v>
      </c>
      <c r="G85" s="525">
        <v>-117.979</v>
      </c>
      <c r="H85" s="525">
        <v>-153.626</v>
      </c>
      <c r="I85" s="525">
        <v>-172.55199999999999</v>
      </c>
      <c r="J85" s="525">
        <v>-180.54500000000002</v>
      </c>
      <c r="K85" s="525">
        <v>-179.155</v>
      </c>
    </row>
    <row r="86" spans="2:13" ht="11.25" customHeight="1" x14ac:dyDescent="0.2">
      <c r="B86" s="521" t="s">
        <v>1087</v>
      </c>
      <c r="C86" s="535" t="s">
        <v>123</v>
      </c>
      <c r="D86" s="525">
        <v>-27.507000000000001</v>
      </c>
      <c r="E86" s="525">
        <v>-31.334</v>
      </c>
      <c r="F86" s="525">
        <v>-47.417000000000002</v>
      </c>
      <c r="G86" s="525">
        <v>-45.34</v>
      </c>
      <c r="H86" s="525">
        <v>-46.587000000000003</v>
      </c>
      <c r="I86" s="525">
        <v>-35.314</v>
      </c>
      <c r="J86" s="525">
        <v>-35.225999999999999</v>
      </c>
      <c r="K86" s="525">
        <v>-53.661999999999999</v>
      </c>
    </row>
    <row r="87" spans="2:13" ht="11.25" customHeight="1" x14ac:dyDescent="0.2">
      <c r="B87" s="522" t="s">
        <v>1084</v>
      </c>
      <c r="C87" s="536" t="s">
        <v>123</v>
      </c>
      <c r="D87" s="527">
        <f t="shared" ref="D87:K87" si="27">SUM(D83:D86)</f>
        <v>-114.57600000000001</v>
      </c>
      <c r="E87" s="527">
        <f t="shared" si="27"/>
        <v>-212.37</v>
      </c>
      <c r="F87" s="527">
        <f t="shared" si="27"/>
        <v>-309.89100000000008</v>
      </c>
      <c r="G87" s="527">
        <f t="shared" si="27"/>
        <v>-339.65800000000002</v>
      </c>
      <c r="H87" s="527">
        <f t="shared" si="27"/>
        <v>-391.077</v>
      </c>
      <c r="I87" s="527">
        <f t="shared" si="27"/>
        <v>-415.21600000000001</v>
      </c>
      <c r="J87" s="527">
        <f t="shared" si="27"/>
        <v>-445.65100000000001</v>
      </c>
      <c r="K87" s="527">
        <f t="shared" si="27"/>
        <v>-478.21499999999997</v>
      </c>
    </row>
    <row r="88" spans="2:13" ht="11.25" customHeight="1" x14ac:dyDescent="0.2">
      <c r="B88" s="515" t="s">
        <v>37</v>
      </c>
      <c r="C88" s="536" t="s">
        <v>123</v>
      </c>
      <c r="D88" s="527">
        <f>D81+D87</f>
        <v>179.80599999999998</v>
      </c>
      <c r="E88" s="527">
        <f t="shared" ref="E88:K88" si="28">E81+E87</f>
        <v>208.38099999999997</v>
      </c>
      <c r="F88" s="527">
        <f t="shared" si="28"/>
        <v>340.47500000000002</v>
      </c>
      <c r="G88" s="527">
        <f t="shared" si="28"/>
        <v>425.66300000000001</v>
      </c>
      <c r="H88" s="527">
        <f t="shared" si="28"/>
        <v>440.95700000000011</v>
      </c>
      <c r="I88" s="527">
        <f t="shared" si="28"/>
        <v>551.2120000000001</v>
      </c>
      <c r="J88" s="527">
        <f t="shared" si="28"/>
        <v>661.36799999999994</v>
      </c>
      <c r="K88" s="527">
        <f t="shared" si="28"/>
        <v>634.29100000000017</v>
      </c>
    </row>
    <row r="89" spans="2:13" ht="11.25" customHeight="1" x14ac:dyDescent="0.2">
      <c r="B89" s="515"/>
      <c r="C89" s="536"/>
      <c r="D89" s="527"/>
      <c r="E89" s="527"/>
      <c r="F89" s="527"/>
      <c r="G89" s="527"/>
      <c r="H89" s="527"/>
      <c r="I89" s="527"/>
      <c r="J89" s="527"/>
      <c r="K89" s="527"/>
    </row>
    <row r="90" spans="2:13" ht="11.25" customHeight="1" x14ac:dyDescent="0.2">
      <c r="B90" s="514" t="s">
        <v>1085</v>
      </c>
      <c r="C90" s="535" t="s">
        <v>123</v>
      </c>
      <c r="D90" s="525">
        <v>-80.400000000000006</v>
      </c>
      <c r="E90" s="525">
        <v>-113.571</v>
      </c>
      <c r="F90" s="525">
        <v>-111.357</v>
      </c>
      <c r="G90" s="525">
        <v>-128.386</v>
      </c>
      <c r="H90" s="525">
        <v>-132.98699999999999</v>
      </c>
      <c r="I90" s="525">
        <v>-166.02199999999999</v>
      </c>
      <c r="J90" s="525">
        <v>-211.208</v>
      </c>
      <c r="K90" s="525">
        <v>-173.696</v>
      </c>
    </row>
    <row r="91" spans="2:13" ht="11.25" customHeight="1" x14ac:dyDescent="0.2">
      <c r="B91" s="514" t="s">
        <v>269</v>
      </c>
      <c r="C91" s="535" t="s">
        <v>123</v>
      </c>
      <c r="D91" s="525">
        <v>-65.870999999999995</v>
      </c>
      <c r="E91" s="525">
        <v>-83.213999999999999</v>
      </c>
      <c r="F91" s="525">
        <v>-80.221000000000004</v>
      </c>
      <c r="G91" s="525">
        <v>-111.935</v>
      </c>
      <c r="H91" s="525">
        <v>-157.59700000000001</v>
      </c>
      <c r="I91" s="525">
        <v>-243.95500000000001</v>
      </c>
      <c r="J91" s="525">
        <v>-613.1</v>
      </c>
      <c r="K91" s="525">
        <v>-400.91</v>
      </c>
    </row>
    <row r="92" spans="2:13" ht="11.25" customHeight="1" x14ac:dyDescent="0.2">
      <c r="B92" s="519" t="s">
        <v>1097</v>
      </c>
      <c r="C92" s="536" t="s">
        <v>123</v>
      </c>
      <c r="D92" s="530">
        <v>33.535000000000004</v>
      </c>
      <c r="E92" s="530">
        <v>11.596</v>
      </c>
      <c r="F92" s="530">
        <v>148.89699999999999</v>
      </c>
      <c r="G92" s="530">
        <v>185.34200000000001</v>
      </c>
      <c r="H92" s="530">
        <v>150.37299999999999</v>
      </c>
      <c r="I92" s="530">
        <v>141.23500000000001</v>
      </c>
      <c r="J92" s="530">
        <v>-162.94</v>
      </c>
      <c r="K92" s="530">
        <v>59.685000000000002</v>
      </c>
    </row>
    <row r="93" spans="2:13" s="429" customFormat="1" ht="11.25" customHeight="1" x14ac:dyDescent="0.2">
      <c r="B93" s="519" t="s">
        <v>1098</v>
      </c>
      <c r="C93" s="478" t="s">
        <v>123</v>
      </c>
      <c r="D93" s="489">
        <v>19.649000000000001</v>
      </c>
      <c r="E93" s="489">
        <v>-5.5019999999999998</v>
      </c>
      <c r="F93" s="489">
        <v>90.751999999999995</v>
      </c>
      <c r="G93" s="489">
        <v>113.062</v>
      </c>
      <c r="H93" s="489">
        <v>96.427000000000007</v>
      </c>
      <c r="I93" s="489">
        <v>-37.631999999999998</v>
      </c>
      <c r="J93" s="489">
        <v>-403.125</v>
      </c>
      <c r="K93" s="489">
        <v>-142.67699999999999</v>
      </c>
    </row>
    <row r="94" spans="2:13" ht="11.25" customHeight="1" x14ac:dyDescent="0.2">
      <c r="B94" s="523"/>
    </row>
    <row r="95" spans="2:13" ht="11.25" customHeight="1" x14ac:dyDescent="0.2">
      <c r="B95" s="516" t="s">
        <v>1076</v>
      </c>
    </row>
    <row r="96" spans="2:13" ht="11.25" customHeight="1" x14ac:dyDescent="0.2">
      <c r="B96" s="492" t="s">
        <v>1073</v>
      </c>
      <c r="C96" s="537" t="s">
        <v>118</v>
      </c>
      <c r="D96" s="507">
        <f t="shared" ref="D96:K96" si="29">D87/D81</f>
        <v>-0.38920857932889918</v>
      </c>
      <c r="E96" s="507">
        <f t="shared" si="29"/>
        <v>-0.50474033335630819</v>
      </c>
      <c r="F96" s="507">
        <f t="shared" si="29"/>
        <v>-0.47648708573326409</v>
      </c>
      <c r="G96" s="507">
        <f t="shared" si="29"/>
        <v>-0.44381115897773615</v>
      </c>
      <c r="H96" s="507">
        <f t="shared" si="29"/>
        <v>-0.47002526339067868</v>
      </c>
      <c r="I96" s="507">
        <f t="shared" si="29"/>
        <v>-0.42963986970576179</v>
      </c>
      <c r="J96" s="507">
        <f t="shared" si="29"/>
        <v>-0.40256851960083795</v>
      </c>
      <c r="K96" s="507">
        <f t="shared" si="29"/>
        <v>-0.42985386146232013</v>
      </c>
    </row>
    <row r="97" spans="2:11" ht="11.25" customHeight="1" x14ac:dyDescent="0.2">
      <c r="B97" s="492" t="s">
        <v>1099</v>
      </c>
      <c r="C97" s="537" t="s">
        <v>118</v>
      </c>
      <c r="D97" s="507">
        <f t="shared" ref="D97:K97" si="30">D90/D81</f>
        <v>-0.2731145246652309</v>
      </c>
      <c r="E97" s="507">
        <f t="shared" si="30"/>
        <v>-0.26992449215806974</v>
      </c>
      <c r="F97" s="507">
        <f t="shared" si="30"/>
        <v>-0.17122205035318572</v>
      </c>
      <c r="G97" s="507">
        <f t="shared" si="30"/>
        <v>-0.16775444552024574</v>
      </c>
      <c r="H97" s="507">
        <f t="shared" si="30"/>
        <v>-0.15983361256871711</v>
      </c>
      <c r="I97" s="507">
        <f t="shared" si="30"/>
        <v>-0.17178931074016893</v>
      </c>
      <c r="J97" s="507">
        <f t="shared" si="30"/>
        <v>-0.19078985997530304</v>
      </c>
      <c r="K97" s="507">
        <f t="shared" si="30"/>
        <v>-0.15613039390349354</v>
      </c>
    </row>
    <row r="98" spans="2:11" ht="11.25" customHeight="1" x14ac:dyDescent="0.2">
      <c r="B98" s="492" t="s">
        <v>1096</v>
      </c>
      <c r="C98" s="537" t="s">
        <v>118</v>
      </c>
      <c r="D98" s="507">
        <f t="shared" ref="D98:K98" si="31">D92/D81</f>
        <v>0.11391661174935969</v>
      </c>
      <c r="E98" s="507">
        <f t="shared" si="31"/>
        <v>2.7560243469415404E-2</v>
      </c>
      <c r="F98" s="507">
        <f t="shared" si="31"/>
        <v>0.22894339494992047</v>
      </c>
      <c r="G98" s="507">
        <f t="shared" si="31"/>
        <v>0.24217550544150757</v>
      </c>
      <c r="H98" s="507">
        <f t="shared" si="31"/>
        <v>0.18072939326998652</v>
      </c>
      <c r="I98" s="507">
        <f t="shared" si="31"/>
        <v>0.14614125418551616</v>
      </c>
      <c r="J98" s="507">
        <f t="shared" si="31"/>
        <v>-0.14718807897606093</v>
      </c>
      <c r="K98" s="507">
        <f t="shared" si="31"/>
        <v>5.364914885852301E-2</v>
      </c>
    </row>
    <row r="99" spans="2:11" ht="11.25" customHeight="1" x14ac:dyDescent="0.2">
      <c r="B99" s="492" t="s">
        <v>1095</v>
      </c>
      <c r="C99" s="537" t="s">
        <v>118</v>
      </c>
      <c r="D99" s="507">
        <f>D93/D81</f>
        <v>6.6746608148596037E-2</v>
      </c>
      <c r="E99" s="507">
        <f t="shared" ref="E99:K99" si="32">E93/E81</f>
        <v>-1.3076617762049289E-2</v>
      </c>
      <c r="F99" s="507">
        <f t="shared" si="32"/>
        <v>0.13953988984664017</v>
      </c>
      <c r="G99" s="507">
        <f t="shared" si="32"/>
        <v>0.14773147476679718</v>
      </c>
      <c r="H99" s="507">
        <f t="shared" si="32"/>
        <v>0.11589310052233441</v>
      </c>
      <c r="I99" s="507">
        <f t="shared" si="32"/>
        <v>-3.8939269143692022E-2</v>
      </c>
      <c r="J99" s="507">
        <f t="shared" si="32"/>
        <v>-0.36415364144608176</v>
      </c>
      <c r="K99" s="507">
        <f t="shared" si="32"/>
        <v>-0.12824829708783592</v>
      </c>
    </row>
    <row r="100" spans="2:11" ht="11.25" customHeight="1" x14ac:dyDescent="0.2"/>
  </sheetData>
  <mergeCells count="6">
    <mergeCell ref="B72:K72"/>
    <mergeCell ref="B67:K67"/>
    <mergeCell ref="B68:K68"/>
    <mergeCell ref="B69:K69"/>
    <mergeCell ref="B70:K70"/>
    <mergeCell ref="B71:K71"/>
  </mergeCells>
  <pageMargins left="0.7" right="0.7" top="0.75" bottom="0.75" header="0.511811023622047" footer="0.511811023622047"/>
  <pageSetup paperSize="9" orientation="portrait" horizontalDpi="300" verticalDpi="300"/>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3C8E8-FFD3-40AD-83C4-D6DFAB39F9A9}">
  <dimension ref="B1:K76"/>
  <sheetViews>
    <sheetView showGridLines="0" topLeftCell="A58" zoomScale="145" zoomScaleNormal="145" workbookViewId="0">
      <selection activeCell="N76" sqref="N76"/>
    </sheetView>
  </sheetViews>
  <sheetFormatPr defaultColWidth="8.7109375" defaultRowHeight="15" x14ac:dyDescent="0.25"/>
  <cols>
    <col min="1" max="1" width="2.7109375" style="411" customWidth="1"/>
    <col min="2" max="2" width="30.7109375" style="411" customWidth="1"/>
    <col min="3" max="3" width="5.7109375" style="411" customWidth="1"/>
    <col min="4" max="11" width="6.7109375" style="411" customWidth="1"/>
    <col min="12" max="16384" width="8.7109375" style="411"/>
  </cols>
  <sheetData>
    <row r="1" spans="2:11" ht="15.75" customHeight="1" x14ac:dyDescent="0.25">
      <c r="B1" s="427" t="s">
        <v>968</v>
      </c>
      <c r="C1" s="427"/>
    </row>
    <row r="2" spans="2:11" ht="15" customHeight="1" x14ac:dyDescent="0.25">
      <c r="B2" s="419" t="s">
        <v>967</v>
      </c>
      <c r="C2" s="419"/>
    </row>
    <row r="3" spans="2:11" ht="15" customHeight="1" x14ac:dyDescent="0.25">
      <c r="B3" s="419" t="s">
        <v>966</v>
      </c>
      <c r="C3" s="419"/>
    </row>
    <row r="5" spans="2:11" ht="15" customHeight="1" x14ac:dyDescent="0.25">
      <c r="B5" s="172"/>
      <c r="C5" s="172"/>
      <c r="D5" s="172" t="s">
        <v>167</v>
      </c>
      <c r="E5" s="172" t="s">
        <v>168</v>
      </c>
      <c r="F5" s="172" t="s">
        <v>169</v>
      </c>
      <c r="G5" s="172" t="s">
        <v>170</v>
      </c>
      <c r="H5" s="172" t="s">
        <v>171</v>
      </c>
      <c r="I5" s="172" t="s">
        <v>172</v>
      </c>
      <c r="J5" s="172" t="s">
        <v>173</v>
      </c>
      <c r="K5" s="172" t="s">
        <v>174</v>
      </c>
    </row>
    <row r="6" spans="2:11" ht="15" customHeight="1" x14ac:dyDescent="0.25">
      <c r="B6" s="173"/>
      <c r="C6" s="173"/>
      <c r="D6" s="173">
        <v>43190</v>
      </c>
      <c r="E6" s="174">
        <f>EOMONTH(D6,12)</f>
        <v>43555</v>
      </c>
      <c r="F6" s="174">
        <f t="shared" ref="F6:K6" si="0">EOMONTH(E6,12)</f>
        <v>43921</v>
      </c>
      <c r="G6" s="174">
        <f t="shared" si="0"/>
        <v>44286</v>
      </c>
      <c r="H6" s="174">
        <f t="shared" si="0"/>
        <v>44651</v>
      </c>
      <c r="I6" s="174">
        <f t="shared" si="0"/>
        <v>45016</v>
      </c>
      <c r="J6" s="174">
        <f t="shared" si="0"/>
        <v>45382</v>
      </c>
      <c r="K6" s="174">
        <f t="shared" si="0"/>
        <v>45747</v>
      </c>
    </row>
    <row r="7" spans="2:11" ht="15" customHeight="1" x14ac:dyDescent="0.25">
      <c r="B7" s="421" t="s">
        <v>965</v>
      </c>
      <c r="C7" s="421"/>
      <c r="D7" s="412"/>
      <c r="E7" s="412"/>
      <c r="F7" s="412"/>
      <c r="G7" s="412"/>
      <c r="H7" s="412"/>
      <c r="I7" s="412"/>
      <c r="J7" s="412"/>
      <c r="K7" s="412"/>
    </row>
    <row r="8" spans="2:11" ht="15" customHeight="1" x14ac:dyDescent="0.25">
      <c r="B8" s="423" t="s">
        <v>964</v>
      </c>
      <c r="C8" s="423"/>
      <c r="D8" s="414">
        <v>114999</v>
      </c>
      <c r="E8" s="414">
        <v>120914</v>
      </c>
      <c r="F8" s="414">
        <v>147173</v>
      </c>
      <c r="G8" s="414">
        <v>190321</v>
      </c>
      <c r="H8" s="414">
        <v>200429</v>
      </c>
      <c r="I8" s="414">
        <v>201286</v>
      </c>
      <c r="J8" s="414">
        <v>261002</v>
      </c>
      <c r="K8" s="414">
        <v>292645</v>
      </c>
    </row>
    <row r="9" spans="2:11" ht="15" customHeight="1" x14ac:dyDescent="0.25">
      <c r="B9" s="423" t="s">
        <v>926</v>
      </c>
      <c r="C9" s="423"/>
      <c r="D9" s="414">
        <v>178</v>
      </c>
      <c r="E9" s="414">
        <v>422</v>
      </c>
      <c r="F9" s="414">
        <v>151</v>
      </c>
      <c r="G9" s="414">
        <v>20</v>
      </c>
      <c r="H9" s="414">
        <v>1</v>
      </c>
      <c r="I9" s="414">
        <v>217</v>
      </c>
      <c r="J9" s="414">
        <v>2099</v>
      </c>
      <c r="K9" s="414">
        <v>3142</v>
      </c>
    </row>
    <row r="10" spans="2:11" ht="15" customHeight="1" x14ac:dyDescent="0.25">
      <c r="B10" s="423" t="s">
        <v>963</v>
      </c>
      <c r="C10" s="423"/>
      <c r="D10" s="414">
        <v>30</v>
      </c>
      <c r="E10" s="414">
        <v>35</v>
      </c>
      <c r="F10" s="414">
        <v>-19</v>
      </c>
      <c r="G10" s="414">
        <v>45</v>
      </c>
      <c r="H10" s="414">
        <v>22</v>
      </c>
      <c r="I10" s="414">
        <v>9</v>
      </c>
      <c r="J10" s="414"/>
      <c r="K10" s="414"/>
    </row>
    <row r="11" spans="2:11" ht="15" customHeight="1" x14ac:dyDescent="0.25">
      <c r="B11" s="422" t="s">
        <v>962</v>
      </c>
      <c r="C11" s="422"/>
      <c r="D11" s="413">
        <f t="shared" ref="D11:K11" si="1">SUM(D8:D10)</f>
        <v>115207</v>
      </c>
      <c r="E11" s="413">
        <f t="shared" si="1"/>
        <v>121371</v>
      </c>
      <c r="F11" s="413">
        <f t="shared" si="1"/>
        <v>147305</v>
      </c>
      <c r="G11" s="413">
        <f t="shared" si="1"/>
        <v>190386</v>
      </c>
      <c r="H11" s="413">
        <f t="shared" si="1"/>
        <v>200452</v>
      </c>
      <c r="I11" s="413">
        <f t="shared" si="1"/>
        <v>201512</v>
      </c>
      <c r="J11" s="413">
        <f t="shared" si="1"/>
        <v>263101</v>
      </c>
      <c r="K11" s="413">
        <f t="shared" si="1"/>
        <v>295787</v>
      </c>
    </row>
    <row r="14" spans="2:11" x14ac:dyDescent="0.25">
      <c r="D14" s="443">
        <f t="shared" ref="D14:J14" si="2">D20</f>
        <v>-30324</v>
      </c>
      <c r="E14" s="443">
        <f t="shared" si="2"/>
        <v>-36799</v>
      </c>
      <c r="F14" s="443">
        <f t="shared" si="2"/>
        <v>-32768</v>
      </c>
      <c r="G14" s="443">
        <f t="shared" si="2"/>
        <v>-37038</v>
      </c>
      <c r="H14" s="443">
        <f t="shared" si="2"/>
        <v>-41518</v>
      </c>
      <c r="I14" s="443">
        <f t="shared" si="2"/>
        <v>-44618</v>
      </c>
      <c r="J14" s="443">
        <f t="shared" si="2"/>
        <v>-42113</v>
      </c>
      <c r="K14" s="443">
        <f>K20</f>
        <v>-49748</v>
      </c>
    </row>
    <row r="15" spans="2:11" x14ac:dyDescent="0.25">
      <c r="D15" s="439"/>
      <c r="E15" s="439"/>
      <c r="F15" s="439"/>
      <c r="G15" s="439"/>
      <c r="H15" s="439"/>
      <c r="I15" s="439"/>
      <c r="J15" s="439"/>
      <c r="K15" s="439"/>
    </row>
    <row r="17" spans="2:11" ht="15" customHeight="1" x14ac:dyDescent="0.25">
      <c r="B17" s="421" t="s">
        <v>961</v>
      </c>
      <c r="C17" s="421"/>
      <c r="D17" s="412"/>
      <c r="E17" s="412"/>
      <c r="F17" s="412"/>
      <c r="G17" s="412"/>
      <c r="H17" s="412"/>
      <c r="I17" s="412"/>
      <c r="J17" s="412"/>
      <c r="K17" s="412"/>
    </row>
    <row r="18" spans="2:11" ht="15" customHeight="1" x14ac:dyDescent="0.25">
      <c r="B18" s="423" t="s">
        <v>960</v>
      </c>
      <c r="C18" s="423"/>
      <c r="D18" s="414">
        <v>-29906</v>
      </c>
      <c r="E18" s="414">
        <v>-41267</v>
      </c>
      <c r="F18" s="414">
        <v>-56073</v>
      </c>
      <c r="G18" s="414">
        <v>-70855</v>
      </c>
      <c r="H18" s="414">
        <v>-74595</v>
      </c>
      <c r="I18" s="414">
        <v>-80187</v>
      </c>
      <c r="J18" s="414">
        <v>-99073</v>
      </c>
      <c r="K18" s="414">
        <v>-115865</v>
      </c>
    </row>
    <row r="19" spans="2:11" ht="15" customHeight="1" x14ac:dyDescent="0.25">
      <c r="B19" s="423" t="s">
        <v>959</v>
      </c>
      <c r="C19" s="423"/>
      <c r="D19" s="414">
        <v>-34214</v>
      </c>
      <c r="E19" s="414">
        <v>-40664</v>
      </c>
      <c r="F19" s="414">
        <v>-43577</v>
      </c>
      <c r="G19" s="414">
        <v>-48696</v>
      </c>
      <c r="H19" s="414">
        <v>-49796</v>
      </c>
      <c r="I19" s="414">
        <v>-54732</v>
      </c>
      <c r="J19" s="414">
        <v>-67589</v>
      </c>
      <c r="K19" s="414">
        <v>-77474</v>
      </c>
    </row>
    <row r="20" spans="2:11" ht="15" customHeight="1" x14ac:dyDescent="0.25">
      <c r="B20" s="423" t="s">
        <v>958</v>
      </c>
      <c r="C20" s="423"/>
      <c r="D20" s="414">
        <v>-30324</v>
      </c>
      <c r="E20" s="414">
        <v>-36799</v>
      </c>
      <c r="F20" s="414">
        <v>-32768</v>
      </c>
      <c r="G20" s="414">
        <v>-37038</v>
      </c>
      <c r="H20" s="414">
        <v>-41518</v>
      </c>
      <c r="I20" s="414">
        <v>-44618</v>
      </c>
      <c r="J20" s="414">
        <v>-42113</v>
      </c>
      <c r="K20" s="414">
        <v>-49748</v>
      </c>
    </row>
    <row r="21" spans="2:11" ht="15" customHeight="1" x14ac:dyDescent="0.25">
      <c r="B21" s="423" t="s">
        <v>957</v>
      </c>
      <c r="C21" s="423"/>
      <c r="D21" s="414">
        <v>-11763</v>
      </c>
      <c r="E21" s="414">
        <v>-5715</v>
      </c>
      <c r="F21" s="414">
        <v>-24711</v>
      </c>
      <c r="G21" s="414">
        <v>-22645</v>
      </c>
      <c r="H21" s="414">
        <v>-10530</v>
      </c>
      <c r="I21" s="414">
        <v>1098</v>
      </c>
      <c r="J21" s="414">
        <v>-7519</v>
      </c>
      <c r="K21" s="414">
        <v>-7259</v>
      </c>
    </row>
    <row r="22" spans="2:11" ht="15" customHeight="1" x14ac:dyDescent="0.25">
      <c r="B22" s="423" t="s">
        <v>916</v>
      </c>
      <c r="C22" s="423"/>
      <c r="D22" s="414">
        <v>-951</v>
      </c>
      <c r="E22" s="414">
        <v>-1925</v>
      </c>
      <c r="F22" s="414">
        <v>-3252</v>
      </c>
      <c r="G22" s="414">
        <v>-4066</v>
      </c>
      <c r="H22" s="414">
        <v>-3495</v>
      </c>
      <c r="I22" s="414">
        <v>-3608</v>
      </c>
      <c r="J22" s="414">
        <v>-4577</v>
      </c>
      <c r="K22" s="414">
        <v>-5374</v>
      </c>
    </row>
    <row r="23" spans="2:11" ht="15" customHeight="1" x14ac:dyDescent="0.25">
      <c r="B23" s="423" t="s">
        <v>956</v>
      </c>
      <c r="C23" s="423"/>
      <c r="D23" s="414"/>
      <c r="E23" s="414">
        <v>-54</v>
      </c>
      <c r="F23" s="414">
        <v>-198</v>
      </c>
      <c r="G23" s="414">
        <v>-363</v>
      </c>
      <c r="H23" s="414">
        <v>-346</v>
      </c>
      <c r="I23" s="414">
        <v>-527</v>
      </c>
      <c r="J23" s="414">
        <v>-942</v>
      </c>
      <c r="K23" s="414">
        <v>-970</v>
      </c>
    </row>
    <row r="24" spans="2:11" ht="15" customHeight="1" x14ac:dyDescent="0.25">
      <c r="B24" s="423" t="s">
        <v>955</v>
      </c>
      <c r="C24" s="423"/>
      <c r="D24" s="414">
        <v>-6730</v>
      </c>
      <c r="E24" s="414">
        <v>-7315</v>
      </c>
      <c r="F24" s="414">
        <v>-6634</v>
      </c>
      <c r="G24" s="414">
        <v>-5246</v>
      </c>
      <c r="H24" s="414">
        <v>-5878</v>
      </c>
      <c r="I24" s="414">
        <v>-9875</v>
      </c>
      <c r="J24" s="414">
        <v>-16563</v>
      </c>
      <c r="K24" s="414">
        <v>-17896</v>
      </c>
    </row>
    <row r="25" spans="2:11" ht="15" customHeight="1" x14ac:dyDescent="0.25">
      <c r="B25" s="422" t="s">
        <v>954</v>
      </c>
      <c r="C25" s="422"/>
      <c r="D25" s="413">
        <f t="shared" ref="D25:K25" si="3">SUM(D18:D24)</f>
        <v>-113888</v>
      </c>
      <c r="E25" s="413">
        <f t="shared" si="3"/>
        <v>-133739</v>
      </c>
      <c r="F25" s="413">
        <f t="shared" si="3"/>
        <v>-167213</v>
      </c>
      <c r="G25" s="413">
        <f t="shared" si="3"/>
        <v>-188909</v>
      </c>
      <c r="H25" s="413">
        <f t="shared" si="3"/>
        <v>-186158</v>
      </c>
      <c r="I25" s="413">
        <f t="shared" si="3"/>
        <v>-192449</v>
      </c>
      <c r="J25" s="413">
        <f t="shared" si="3"/>
        <v>-238376</v>
      </c>
      <c r="K25" s="413">
        <f t="shared" si="3"/>
        <v>-274586</v>
      </c>
    </row>
    <row r="27" spans="2:11" ht="15" customHeight="1" thickBot="1" x14ac:dyDescent="0.3">
      <c r="B27" s="422" t="s">
        <v>950</v>
      </c>
      <c r="C27" s="422"/>
      <c r="D27" s="416">
        <f t="shared" ref="D27:K27" si="4">D11+D25</f>
        <v>1319</v>
      </c>
      <c r="E27" s="416">
        <f t="shared" si="4"/>
        <v>-12368</v>
      </c>
      <c r="F27" s="416">
        <f t="shared" si="4"/>
        <v>-19908</v>
      </c>
      <c r="G27" s="416">
        <f t="shared" si="4"/>
        <v>1477</v>
      </c>
      <c r="H27" s="416">
        <f t="shared" si="4"/>
        <v>14294</v>
      </c>
      <c r="I27" s="416">
        <f t="shared" si="4"/>
        <v>9063</v>
      </c>
      <c r="J27" s="416">
        <f t="shared" si="4"/>
        <v>24725</v>
      </c>
      <c r="K27" s="416">
        <f t="shared" si="4"/>
        <v>21201</v>
      </c>
    </row>
    <row r="28" spans="2:11" ht="15" customHeight="1" thickTop="1" x14ac:dyDescent="0.25">
      <c r="B28" s="426" t="s">
        <v>953</v>
      </c>
      <c r="C28" s="426"/>
      <c r="D28" s="425">
        <v>1319</v>
      </c>
      <c r="E28" s="425">
        <v>-12368</v>
      </c>
      <c r="F28" s="425">
        <v>-19908</v>
      </c>
      <c r="G28" s="425">
        <v>1477</v>
      </c>
      <c r="H28" s="425">
        <v>14294</v>
      </c>
      <c r="I28" s="425">
        <v>9063</v>
      </c>
      <c r="J28" s="425">
        <v>24725</v>
      </c>
      <c r="K28" s="425">
        <v>21201</v>
      </c>
    </row>
    <row r="29" spans="2:11" ht="15" customHeight="1" x14ac:dyDescent="0.25">
      <c r="B29" s="419" t="s">
        <v>910</v>
      </c>
      <c r="C29" s="419"/>
      <c r="D29" s="424">
        <f t="shared" ref="D29:K29" si="5">D27-D28</f>
        <v>0</v>
      </c>
      <c r="E29" s="424">
        <f t="shared" si="5"/>
        <v>0</v>
      </c>
      <c r="F29" s="424">
        <f t="shared" si="5"/>
        <v>0</v>
      </c>
      <c r="G29" s="424">
        <f t="shared" si="5"/>
        <v>0</v>
      </c>
      <c r="H29" s="424">
        <f t="shared" si="5"/>
        <v>0</v>
      </c>
      <c r="I29" s="424">
        <f t="shared" si="5"/>
        <v>0</v>
      </c>
      <c r="J29" s="424">
        <f t="shared" si="5"/>
        <v>0</v>
      </c>
      <c r="K29" s="424">
        <f t="shared" si="5"/>
        <v>0</v>
      </c>
    </row>
    <row r="30" spans="2:11" ht="15" customHeight="1" x14ac:dyDescent="0.25">
      <c r="B30" s="423" t="s">
        <v>952</v>
      </c>
      <c r="C30" s="423"/>
      <c r="D30" s="414">
        <v>-397</v>
      </c>
      <c r="E30" s="414">
        <v>3705</v>
      </c>
      <c r="F30" s="414">
        <v>5969</v>
      </c>
      <c r="G30" s="414">
        <v>-473</v>
      </c>
      <c r="H30" s="414">
        <v>-4294</v>
      </c>
      <c r="I30" s="414">
        <v>-2746</v>
      </c>
      <c r="J30" s="414">
        <v>-7462</v>
      </c>
      <c r="K30" s="414">
        <v>-6400</v>
      </c>
    </row>
    <row r="31" spans="2:11" ht="15" customHeight="1" x14ac:dyDescent="0.25">
      <c r="B31" s="422" t="s">
        <v>951</v>
      </c>
      <c r="C31" s="422"/>
      <c r="D31" s="413">
        <f t="shared" ref="D31:K31" si="6">D27+D30</f>
        <v>922</v>
      </c>
      <c r="E31" s="413">
        <f t="shared" si="6"/>
        <v>-8663</v>
      </c>
      <c r="F31" s="413">
        <f t="shared" si="6"/>
        <v>-13939</v>
      </c>
      <c r="G31" s="413">
        <f t="shared" si="6"/>
        <v>1004</v>
      </c>
      <c r="H31" s="413">
        <f t="shared" si="6"/>
        <v>10000</v>
      </c>
      <c r="I31" s="413">
        <f t="shared" si="6"/>
        <v>6317</v>
      </c>
      <c r="J31" s="413">
        <f t="shared" si="6"/>
        <v>17263</v>
      </c>
      <c r="K31" s="413">
        <f t="shared" si="6"/>
        <v>14801</v>
      </c>
    </row>
    <row r="33" spans="2:11" ht="15" customHeight="1" x14ac:dyDescent="0.25">
      <c r="B33" s="421" t="s">
        <v>909</v>
      </c>
      <c r="C33" s="421"/>
      <c r="D33" s="412"/>
      <c r="E33" s="412"/>
      <c r="F33" s="412"/>
      <c r="G33" s="412"/>
      <c r="H33" s="412"/>
      <c r="I33" s="412"/>
      <c r="J33" s="412"/>
      <c r="K33" s="412"/>
    </row>
    <row r="34" spans="2:11" ht="15" customHeight="1" x14ac:dyDescent="0.25">
      <c r="B34" s="423" t="s">
        <v>950</v>
      </c>
      <c r="C34" s="423"/>
      <c r="D34" s="415">
        <f t="shared" ref="D34:K34" si="7">D27</f>
        <v>1319</v>
      </c>
      <c r="E34" s="415">
        <f t="shared" si="7"/>
        <v>-12368</v>
      </c>
      <c r="F34" s="415">
        <f t="shared" si="7"/>
        <v>-19908</v>
      </c>
      <c r="G34" s="415">
        <f t="shared" si="7"/>
        <v>1477</v>
      </c>
      <c r="H34" s="415">
        <f t="shared" si="7"/>
        <v>14294</v>
      </c>
      <c r="I34" s="415">
        <f t="shared" si="7"/>
        <v>9063</v>
      </c>
      <c r="J34" s="415">
        <f t="shared" si="7"/>
        <v>24725</v>
      </c>
      <c r="K34" s="415">
        <f t="shared" si="7"/>
        <v>21201</v>
      </c>
    </row>
    <row r="35" spans="2:11" ht="15" customHeight="1" x14ac:dyDescent="0.25">
      <c r="B35" s="423" t="s">
        <v>949</v>
      </c>
      <c r="C35" s="423"/>
      <c r="D35" s="415">
        <f t="shared" ref="D35:K36" si="8">-D22</f>
        <v>951</v>
      </c>
      <c r="E35" s="415">
        <f t="shared" si="8"/>
        <v>1925</v>
      </c>
      <c r="F35" s="415">
        <f t="shared" si="8"/>
        <v>3252</v>
      </c>
      <c r="G35" s="415">
        <f t="shared" si="8"/>
        <v>4066</v>
      </c>
      <c r="H35" s="415">
        <f t="shared" si="8"/>
        <v>3495</v>
      </c>
      <c r="I35" s="415">
        <f t="shared" si="8"/>
        <v>3608</v>
      </c>
      <c r="J35" s="415">
        <f t="shared" si="8"/>
        <v>4577</v>
      </c>
      <c r="K35" s="415">
        <f t="shared" si="8"/>
        <v>5374</v>
      </c>
    </row>
    <row r="36" spans="2:11" ht="15" customHeight="1" x14ac:dyDescent="0.25">
      <c r="B36" s="423" t="s">
        <v>948</v>
      </c>
      <c r="C36" s="423"/>
      <c r="D36" s="415">
        <f t="shared" si="8"/>
        <v>0</v>
      </c>
      <c r="E36" s="415">
        <f t="shared" si="8"/>
        <v>54</v>
      </c>
      <c r="F36" s="415">
        <f t="shared" si="8"/>
        <v>198</v>
      </c>
      <c r="G36" s="415">
        <f t="shared" si="8"/>
        <v>363</v>
      </c>
      <c r="H36" s="415">
        <f t="shared" si="8"/>
        <v>346</v>
      </c>
      <c r="I36" s="415">
        <f t="shared" si="8"/>
        <v>527</v>
      </c>
      <c r="J36" s="415">
        <f t="shared" si="8"/>
        <v>942</v>
      </c>
      <c r="K36" s="415">
        <f t="shared" si="8"/>
        <v>970</v>
      </c>
    </row>
    <row r="37" spans="2:11" ht="15" customHeight="1" x14ac:dyDescent="0.25">
      <c r="B37" s="422" t="s">
        <v>779</v>
      </c>
      <c r="C37" s="422"/>
      <c r="D37" s="413">
        <f t="shared" ref="D37:K37" si="9">SUM(D34:D36)</f>
        <v>2270</v>
      </c>
      <c r="E37" s="413">
        <f t="shared" si="9"/>
        <v>-10389</v>
      </c>
      <c r="F37" s="413">
        <f t="shared" si="9"/>
        <v>-16458</v>
      </c>
      <c r="G37" s="413">
        <f t="shared" si="9"/>
        <v>5906</v>
      </c>
      <c r="H37" s="413">
        <f t="shared" si="9"/>
        <v>18135</v>
      </c>
      <c r="I37" s="413">
        <f t="shared" si="9"/>
        <v>13198</v>
      </c>
      <c r="J37" s="413">
        <f t="shared" si="9"/>
        <v>30244</v>
      </c>
      <c r="K37" s="413">
        <f t="shared" si="9"/>
        <v>27545</v>
      </c>
    </row>
    <row r="38" spans="2:11" ht="15" customHeight="1" x14ac:dyDescent="0.25">
      <c r="B38" s="423" t="s">
        <v>947</v>
      </c>
      <c r="C38" s="423"/>
      <c r="D38" s="415">
        <f t="shared" ref="D38:K38" si="10">-D21</f>
        <v>11763</v>
      </c>
      <c r="E38" s="415">
        <f t="shared" si="10"/>
        <v>5715</v>
      </c>
      <c r="F38" s="415">
        <f t="shared" si="10"/>
        <v>24711</v>
      </c>
      <c r="G38" s="415">
        <f t="shared" si="10"/>
        <v>22645</v>
      </c>
      <c r="H38" s="415">
        <f t="shared" si="10"/>
        <v>10530</v>
      </c>
      <c r="I38" s="415">
        <f t="shared" si="10"/>
        <v>-1098</v>
      </c>
      <c r="J38" s="415">
        <f t="shared" si="10"/>
        <v>7519</v>
      </c>
      <c r="K38" s="415">
        <f t="shared" si="10"/>
        <v>7259</v>
      </c>
    </row>
    <row r="39" spans="2:11" ht="15" customHeight="1" x14ac:dyDescent="0.25">
      <c r="B39" s="422" t="s">
        <v>946</v>
      </c>
      <c r="C39" s="422"/>
      <c r="D39" s="413">
        <f t="shared" ref="D39:K39" si="11">D37+D38</f>
        <v>14033</v>
      </c>
      <c r="E39" s="413">
        <f t="shared" si="11"/>
        <v>-4674</v>
      </c>
      <c r="F39" s="413">
        <f t="shared" si="11"/>
        <v>8253</v>
      </c>
      <c r="G39" s="413">
        <f t="shared" si="11"/>
        <v>28551</v>
      </c>
      <c r="H39" s="413">
        <f t="shared" si="11"/>
        <v>28665</v>
      </c>
      <c r="I39" s="413">
        <f t="shared" si="11"/>
        <v>12100</v>
      </c>
      <c r="J39" s="413">
        <f t="shared" si="11"/>
        <v>37763</v>
      </c>
      <c r="K39" s="413">
        <f t="shared" si="11"/>
        <v>34804</v>
      </c>
    </row>
    <row r="41" spans="2:11" ht="15" customHeight="1" x14ac:dyDescent="0.25">
      <c r="B41" s="421" t="s">
        <v>900</v>
      </c>
      <c r="C41" s="421"/>
      <c r="D41" s="412"/>
      <c r="E41" s="412"/>
      <c r="F41" s="412"/>
      <c r="G41" s="412"/>
      <c r="H41" s="412"/>
      <c r="I41" s="412"/>
      <c r="J41" s="412"/>
      <c r="K41" s="412"/>
    </row>
    <row r="42" spans="2:11" ht="15" customHeight="1" x14ac:dyDescent="0.25">
      <c r="B42" s="419" t="s">
        <v>945</v>
      </c>
      <c r="C42" s="419"/>
      <c r="D42" s="420"/>
      <c r="E42" s="418">
        <f t="shared" ref="E42:K42" si="12">(E8/D8)-1</f>
        <v>5.1435229871564125E-2</v>
      </c>
      <c r="F42" s="418">
        <f t="shared" si="12"/>
        <v>0.21717088178374722</v>
      </c>
      <c r="G42" s="418">
        <f t="shared" si="12"/>
        <v>0.29317877599831488</v>
      </c>
      <c r="H42" s="418">
        <f t="shared" si="12"/>
        <v>5.3110271593781011E-2</v>
      </c>
      <c r="I42" s="418">
        <f t="shared" si="12"/>
        <v>4.275828348193178E-3</v>
      </c>
      <c r="J42" s="418">
        <f t="shared" si="12"/>
        <v>0.29667239649056576</v>
      </c>
      <c r="K42" s="418">
        <f t="shared" si="12"/>
        <v>0.12123661887648374</v>
      </c>
    </row>
    <row r="43" spans="2:11" ht="15" customHeight="1" x14ac:dyDescent="0.25">
      <c r="B43" s="419" t="s">
        <v>944</v>
      </c>
      <c r="C43" s="419"/>
      <c r="D43" s="418">
        <f t="shared" ref="D43:K43" si="13">-D18/D8</f>
        <v>0.26005443525595873</v>
      </c>
      <c r="E43" s="418">
        <f t="shared" si="13"/>
        <v>0.34129215806275537</v>
      </c>
      <c r="F43" s="418">
        <f t="shared" si="13"/>
        <v>0.38100059114103813</v>
      </c>
      <c r="G43" s="418">
        <f t="shared" si="13"/>
        <v>0.37229207496808026</v>
      </c>
      <c r="H43" s="418">
        <f t="shared" si="13"/>
        <v>0.37217668101921381</v>
      </c>
      <c r="I43" s="418">
        <f t="shared" si="13"/>
        <v>0.39837345866081098</v>
      </c>
      <c r="J43" s="418">
        <f t="shared" si="13"/>
        <v>0.37958712960053947</v>
      </c>
      <c r="K43" s="418">
        <f t="shared" si="13"/>
        <v>0.39592338840574759</v>
      </c>
    </row>
    <row r="44" spans="2:11" ht="15" customHeight="1" x14ac:dyDescent="0.25">
      <c r="B44" s="419" t="s">
        <v>943</v>
      </c>
      <c r="C44" s="419"/>
      <c r="D44" s="418">
        <f t="shared" ref="D44:K44" si="14">-D20/D8</f>
        <v>0.26368924947173455</v>
      </c>
      <c r="E44" s="418">
        <f t="shared" si="14"/>
        <v>0.30434027490613164</v>
      </c>
      <c r="F44" s="418">
        <f t="shared" si="14"/>
        <v>0.22264953490110279</v>
      </c>
      <c r="G44" s="418">
        <f t="shared" si="14"/>
        <v>0.194608056914371</v>
      </c>
      <c r="H44" s="418">
        <f t="shared" si="14"/>
        <v>0.20714567253241797</v>
      </c>
      <c r="I44" s="418">
        <f t="shared" si="14"/>
        <v>0.22166469600468985</v>
      </c>
      <c r="J44" s="418">
        <f t="shared" si="14"/>
        <v>0.16135125401337921</v>
      </c>
      <c r="K44" s="418">
        <f t="shared" si="14"/>
        <v>0.16999436176937929</v>
      </c>
    </row>
    <row r="45" spans="2:11" ht="15" customHeight="1" x14ac:dyDescent="0.25">
      <c r="B45" s="419" t="s">
        <v>942</v>
      </c>
      <c r="C45" s="419"/>
      <c r="D45" s="418">
        <f t="shared" ref="D45:K45" si="15">-D19/D8</f>
        <v>0.29751563057070063</v>
      </c>
      <c r="E45" s="418">
        <f t="shared" si="15"/>
        <v>0.33630514249797377</v>
      </c>
      <c r="F45" s="418">
        <f t="shared" si="15"/>
        <v>0.29609371284135</v>
      </c>
      <c r="G45" s="418">
        <f t="shared" si="15"/>
        <v>0.25586246394249718</v>
      </c>
      <c r="H45" s="418">
        <f t="shared" si="15"/>
        <v>0.24844708101123092</v>
      </c>
      <c r="I45" s="418">
        <f t="shared" si="15"/>
        <v>0.2719116083582564</v>
      </c>
      <c r="J45" s="418">
        <f t="shared" si="15"/>
        <v>0.25895970145822639</v>
      </c>
      <c r="K45" s="418">
        <f t="shared" si="15"/>
        <v>0.26473713885424321</v>
      </c>
    </row>
    <row r="46" spans="2:11" ht="15" customHeight="1" x14ac:dyDescent="0.25">
      <c r="B46" s="419" t="s">
        <v>941</v>
      </c>
      <c r="C46" s="419"/>
      <c r="D46" s="418">
        <f t="shared" ref="D46:K46" si="16">D37/D8</f>
        <v>1.9739302080887661E-2</v>
      </c>
      <c r="E46" s="418">
        <f t="shared" si="16"/>
        <v>-8.5920571645963242E-2</v>
      </c>
      <c r="F46" s="418">
        <f t="shared" si="16"/>
        <v>-0.11182757706916351</v>
      </c>
      <c r="G46" s="418">
        <f t="shared" si="16"/>
        <v>3.1031783145317647E-2</v>
      </c>
      <c r="H46" s="418">
        <f t="shared" si="16"/>
        <v>9.0480918429967722E-2</v>
      </c>
      <c r="I46" s="418">
        <f t="shared" si="16"/>
        <v>6.5568395218743483E-2</v>
      </c>
      <c r="J46" s="418">
        <f t="shared" si="16"/>
        <v>0.1158765066934353</v>
      </c>
      <c r="K46" s="418">
        <f t="shared" si="16"/>
        <v>9.4124280271318486E-2</v>
      </c>
    </row>
    <row r="47" spans="2:11" ht="15" customHeight="1" x14ac:dyDescent="0.25">
      <c r="B47" s="419" t="s">
        <v>940</v>
      </c>
      <c r="C47" s="419"/>
      <c r="D47" s="418">
        <f t="shared" ref="D47:K47" si="17">D39/D8</f>
        <v>0.12202714806215706</v>
      </c>
      <c r="E47" s="418">
        <f t="shared" si="17"/>
        <v>-3.8655573382734836E-2</v>
      </c>
      <c r="F47" s="418">
        <f t="shared" si="17"/>
        <v>5.6076861924401894E-2</v>
      </c>
      <c r="G47" s="418">
        <f t="shared" si="17"/>
        <v>0.15001497470063735</v>
      </c>
      <c r="H47" s="418">
        <f t="shared" si="17"/>
        <v>0.14301822590543284</v>
      </c>
      <c r="I47" s="418">
        <f t="shared" si="17"/>
        <v>6.0113470385421738E-2</v>
      </c>
      <c r="J47" s="418">
        <f t="shared" si="17"/>
        <v>0.14468471505965472</v>
      </c>
      <c r="K47" s="418">
        <f t="shared" si="17"/>
        <v>0.1189290778930103</v>
      </c>
    </row>
    <row r="48" spans="2:11" ht="15" customHeight="1" x14ac:dyDescent="0.25">
      <c r="B48" s="419" t="s">
        <v>939</v>
      </c>
      <c r="C48" s="419"/>
      <c r="D48" s="418">
        <f t="shared" ref="D48:K48" si="18">D27/D8</f>
        <v>1.1469664953608292E-2</v>
      </c>
      <c r="E48" s="418">
        <f t="shared" si="18"/>
        <v>-0.10228757629389483</v>
      </c>
      <c r="F48" s="418">
        <f t="shared" si="18"/>
        <v>-0.13526937685580914</v>
      </c>
      <c r="G48" s="418">
        <f t="shared" si="18"/>
        <v>7.7605729267921034E-3</v>
      </c>
      <c r="H48" s="418">
        <f t="shared" si="18"/>
        <v>7.1317024981414859E-2</v>
      </c>
      <c r="I48" s="418">
        <f t="shared" si="18"/>
        <v>4.5025486124221255E-2</v>
      </c>
      <c r="J48" s="418">
        <f t="shared" si="18"/>
        <v>9.4731074857663924E-2</v>
      </c>
      <c r="K48" s="418">
        <f t="shared" si="18"/>
        <v>7.2446137812024802E-2</v>
      </c>
    </row>
    <row r="51" spans="2:11" ht="15" customHeight="1" x14ac:dyDescent="0.25">
      <c r="B51" s="417" t="s">
        <v>689</v>
      </c>
      <c r="C51" s="417"/>
    </row>
    <row r="52" spans="2:11" ht="33.75" customHeight="1" x14ac:dyDescent="0.25">
      <c r="B52" s="698" t="s">
        <v>938</v>
      </c>
      <c r="C52" s="698"/>
      <c r="D52" s="698"/>
      <c r="E52" s="698"/>
      <c r="F52" s="698"/>
      <c r="G52" s="698"/>
      <c r="H52" s="698"/>
      <c r="I52" s="698"/>
      <c r="J52" s="698"/>
      <c r="K52" s="698"/>
    </row>
    <row r="53" spans="2:11" ht="33.75" customHeight="1" x14ac:dyDescent="0.25">
      <c r="B53" s="698" t="s">
        <v>937</v>
      </c>
      <c r="C53" s="698"/>
      <c r="D53" s="698"/>
      <c r="E53" s="698"/>
      <c r="F53" s="698"/>
      <c r="G53" s="698"/>
      <c r="H53" s="698"/>
      <c r="I53" s="698"/>
      <c r="J53" s="698"/>
      <c r="K53" s="698"/>
    </row>
    <row r="54" spans="2:11" ht="33.75" customHeight="1" x14ac:dyDescent="0.25">
      <c r="B54" s="698" t="s">
        <v>936</v>
      </c>
      <c r="C54" s="698"/>
      <c r="D54" s="698"/>
      <c r="E54" s="698"/>
      <c r="F54" s="698"/>
      <c r="G54" s="698"/>
      <c r="H54" s="698"/>
      <c r="I54" s="698"/>
      <c r="J54" s="698"/>
      <c r="K54" s="698"/>
    </row>
    <row r="55" spans="2:11" ht="33.75" customHeight="1" x14ac:dyDescent="0.25">
      <c r="B55" s="698" t="s">
        <v>935</v>
      </c>
      <c r="C55" s="698"/>
      <c r="D55" s="698"/>
      <c r="E55" s="698"/>
      <c r="F55" s="698"/>
      <c r="G55" s="698"/>
      <c r="H55" s="698"/>
      <c r="I55" s="698"/>
      <c r="J55" s="698"/>
      <c r="K55" s="698"/>
    </row>
    <row r="56" spans="2:11" ht="33.75" customHeight="1" x14ac:dyDescent="0.25">
      <c r="B56" s="698" t="s">
        <v>934</v>
      </c>
      <c r="C56" s="698"/>
      <c r="D56" s="698"/>
      <c r="E56" s="698"/>
      <c r="F56" s="698"/>
      <c r="G56" s="698"/>
      <c r="H56" s="698"/>
      <c r="I56" s="698"/>
      <c r="J56" s="698"/>
      <c r="K56" s="698"/>
    </row>
    <row r="57" spans="2:11" ht="33.75" customHeight="1" x14ac:dyDescent="0.25">
      <c r="B57" s="698" t="s">
        <v>933</v>
      </c>
      <c r="C57" s="698"/>
      <c r="D57" s="698"/>
      <c r="E57" s="698"/>
      <c r="F57" s="698"/>
      <c r="G57" s="698"/>
      <c r="H57" s="698"/>
      <c r="I57" s="698"/>
      <c r="J57" s="698"/>
      <c r="K57" s="698"/>
    </row>
    <row r="58" spans="2:11" ht="33.75" customHeight="1" x14ac:dyDescent="0.25">
      <c r="B58" s="698" t="s">
        <v>886</v>
      </c>
      <c r="C58" s="698"/>
      <c r="D58" s="698"/>
      <c r="E58" s="698"/>
      <c r="F58" s="698"/>
      <c r="G58" s="698"/>
      <c r="H58" s="698"/>
      <c r="I58" s="698"/>
      <c r="J58" s="698"/>
      <c r="K58" s="698"/>
    </row>
    <row r="60" spans="2:11" s="494" customFormat="1" ht="11.25" customHeight="1" x14ac:dyDescent="0.25">
      <c r="B60" s="172"/>
      <c r="C60" s="172"/>
      <c r="D60" s="172" t="s">
        <v>1088</v>
      </c>
      <c r="E60" s="172" t="s">
        <v>1065</v>
      </c>
      <c r="F60" s="172" t="s">
        <v>1066</v>
      </c>
      <c r="G60" s="172" t="s">
        <v>1067</v>
      </c>
      <c r="H60" s="172" t="s">
        <v>1068</v>
      </c>
      <c r="I60" s="172" t="s">
        <v>1069</v>
      </c>
      <c r="J60" s="172" t="s">
        <v>1070</v>
      </c>
      <c r="K60" s="172" t="s">
        <v>1071</v>
      </c>
    </row>
    <row r="61" spans="2:11" s="494" customFormat="1" ht="11.25" customHeight="1" x14ac:dyDescent="0.25">
      <c r="B61" s="491" t="s">
        <v>1</v>
      </c>
      <c r="C61" s="476" t="s">
        <v>415</v>
      </c>
      <c r="D61" s="476">
        <v>43190</v>
      </c>
      <c r="E61" s="174">
        <f>EOMONTH(D61,12)</f>
        <v>43555</v>
      </c>
      <c r="F61" s="174">
        <f t="shared" ref="F61:K61" si="19">EOMONTH(E61,12)</f>
        <v>43921</v>
      </c>
      <c r="G61" s="174">
        <f t="shared" si="19"/>
        <v>44286</v>
      </c>
      <c r="H61" s="174">
        <f t="shared" si="19"/>
        <v>44651</v>
      </c>
      <c r="I61" s="174">
        <f t="shared" si="19"/>
        <v>45016</v>
      </c>
      <c r="J61" s="174">
        <f t="shared" si="19"/>
        <v>45382</v>
      </c>
      <c r="K61" s="174">
        <f t="shared" si="19"/>
        <v>45747</v>
      </c>
    </row>
    <row r="62" spans="2:11" s="494" customFormat="1" ht="11.25" customHeight="1" x14ac:dyDescent="0.25">
      <c r="B62" s="516" t="s">
        <v>1080</v>
      </c>
      <c r="C62" s="538"/>
      <c r="D62" s="538"/>
      <c r="E62" s="196"/>
      <c r="F62" s="196"/>
      <c r="G62" s="196"/>
      <c r="H62" s="196"/>
      <c r="I62" s="196"/>
      <c r="J62" s="196"/>
      <c r="K62" s="196"/>
    </row>
    <row r="63" spans="2:11" s="494" customFormat="1" ht="11.25" customHeight="1" x14ac:dyDescent="0.25">
      <c r="B63" s="541" t="s">
        <v>791</v>
      </c>
      <c r="C63" s="544" t="s">
        <v>123</v>
      </c>
      <c r="D63" s="540">
        <v>115.20700000000001</v>
      </c>
      <c r="E63" s="540">
        <v>121.371</v>
      </c>
      <c r="F63" s="540">
        <v>147.30500000000001</v>
      </c>
      <c r="G63" s="540">
        <v>190.386</v>
      </c>
      <c r="H63" s="540">
        <v>200.452</v>
      </c>
      <c r="I63" s="540">
        <v>201.512</v>
      </c>
      <c r="J63" s="540">
        <v>263.101</v>
      </c>
      <c r="K63" s="540">
        <v>295.78699999999998</v>
      </c>
    </row>
    <row r="64" spans="2:11" s="494" customFormat="1" ht="11.25" customHeight="1" x14ac:dyDescent="0.25">
      <c r="B64" s="542" t="s">
        <v>1091</v>
      </c>
      <c r="C64" s="543" t="s">
        <v>123</v>
      </c>
      <c r="D64" s="528">
        <v>-29.906000000000002</v>
      </c>
      <c r="E64" s="528">
        <v>-41.267000000000003</v>
      </c>
      <c r="F64" s="528">
        <v>-56.073</v>
      </c>
      <c r="G64" s="528">
        <v>-70.855000000000004</v>
      </c>
      <c r="H64" s="528">
        <v>-74.594999999999999</v>
      </c>
      <c r="I64" s="528">
        <v>-80.186999999999998</v>
      </c>
      <c r="J64" s="528">
        <v>-99.073000000000008</v>
      </c>
      <c r="K64" s="528">
        <v>-115.86500000000001</v>
      </c>
    </row>
    <row r="65" spans="2:11" s="494" customFormat="1" ht="11.25" customHeight="1" x14ac:dyDescent="0.25">
      <c r="B65" s="542" t="s">
        <v>1092</v>
      </c>
      <c r="C65" s="543" t="s">
        <v>123</v>
      </c>
      <c r="D65" s="528">
        <v>-30.324000000000002</v>
      </c>
      <c r="E65" s="528">
        <v>-36.798999999999999</v>
      </c>
      <c r="F65" s="528">
        <v>-32.768000000000001</v>
      </c>
      <c r="G65" s="528">
        <v>-37.038000000000004</v>
      </c>
      <c r="H65" s="528">
        <v>-41.518000000000001</v>
      </c>
      <c r="I65" s="528">
        <v>-44.618000000000002</v>
      </c>
      <c r="J65" s="528">
        <v>-42.113</v>
      </c>
      <c r="K65" s="528">
        <v>-49.747999999999998</v>
      </c>
    </row>
    <row r="66" spans="2:11" s="494" customFormat="1" ht="11.25" customHeight="1" x14ac:dyDescent="0.25">
      <c r="B66" s="542" t="s">
        <v>1093</v>
      </c>
      <c r="C66" s="543" t="s">
        <v>123</v>
      </c>
      <c r="D66" s="528">
        <v>-11.763</v>
      </c>
      <c r="E66" s="528">
        <v>-5.7149999999999999</v>
      </c>
      <c r="F66" s="528">
        <v>-24.711000000000002</v>
      </c>
      <c r="G66" s="528">
        <v>-22.645</v>
      </c>
      <c r="H66" s="528">
        <v>-10.53</v>
      </c>
      <c r="I66" s="528">
        <v>1.0980000000000001</v>
      </c>
      <c r="J66" s="528">
        <v>-7.5190000000000001</v>
      </c>
      <c r="K66" s="528">
        <v>-7.2590000000000003</v>
      </c>
    </row>
    <row r="67" spans="2:11" s="494" customFormat="1" ht="11.25" customHeight="1" x14ac:dyDescent="0.25">
      <c r="B67" s="542" t="s">
        <v>1094</v>
      </c>
      <c r="C67" s="543" t="s">
        <v>123</v>
      </c>
      <c r="D67" s="528">
        <v>-40.944000000000003</v>
      </c>
      <c r="E67" s="528">
        <v>-48.033000000000001</v>
      </c>
      <c r="F67" s="528">
        <v>-50.408999999999999</v>
      </c>
      <c r="G67" s="528">
        <v>-54.305</v>
      </c>
      <c r="H67" s="528">
        <v>-56.02</v>
      </c>
      <c r="I67" s="528">
        <v>-65.134</v>
      </c>
      <c r="J67" s="528">
        <v>-85.094000000000008</v>
      </c>
      <c r="K67" s="528">
        <v>-96.34</v>
      </c>
    </row>
    <row r="68" spans="2:11" s="494" customFormat="1" ht="11.25" customHeight="1" x14ac:dyDescent="0.25">
      <c r="B68" s="541" t="s">
        <v>1090</v>
      </c>
      <c r="C68" s="544" t="s">
        <v>123</v>
      </c>
      <c r="D68" s="540">
        <f t="shared" ref="D68:K68" si="20">SUM(D64:D67)</f>
        <v>-112.93700000000001</v>
      </c>
      <c r="E68" s="540">
        <f t="shared" si="20"/>
        <v>-131.81400000000002</v>
      </c>
      <c r="F68" s="540">
        <f t="shared" si="20"/>
        <v>-163.96100000000001</v>
      </c>
      <c r="G68" s="540">
        <f t="shared" si="20"/>
        <v>-184.84300000000002</v>
      </c>
      <c r="H68" s="540">
        <f t="shared" si="20"/>
        <v>-182.66300000000001</v>
      </c>
      <c r="I68" s="540">
        <f t="shared" si="20"/>
        <v>-188.84100000000001</v>
      </c>
      <c r="J68" s="540">
        <f t="shared" si="20"/>
        <v>-233.79900000000004</v>
      </c>
      <c r="K68" s="540">
        <f t="shared" si="20"/>
        <v>-269.21199999999999</v>
      </c>
    </row>
    <row r="69" spans="2:11" s="494" customFormat="1" ht="11.25" customHeight="1" x14ac:dyDescent="0.25">
      <c r="C69" s="495"/>
      <c r="D69" s="528"/>
      <c r="E69" s="528"/>
      <c r="F69" s="528"/>
      <c r="G69" s="528"/>
      <c r="H69" s="528"/>
      <c r="I69" s="528"/>
      <c r="J69" s="528"/>
      <c r="K69" s="528"/>
    </row>
    <row r="70" spans="2:11" s="494" customFormat="1" ht="11.25" customHeight="1" x14ac:dyDescent="0.25">
      <c r="B70" s="519" t="s">
        <v>1097</v>
      </c>
      <c r="C70" s="543" t="s">
        <v>123</v>
      </c>
      <c r="D70" s="528">
        <v>2.27</v>
      </c>
      <c r="E70" s="528">
        <v>-10.388999999999999</v>
      </c>
      <c r="F70" s="528">
        <v>-16.458000000000002</v>
      </c>
      <c r="G70" s="528">
        <v>5.9059999999999997</v>
      </c>
      <c r="H70" s="528">
        <v>18.135000000000002</v>
      </c>
      <c r="I70" s="528">
        <v>13.198</v>
      </c>
      <c r="J70" s="528">
        <v>30.244</v>
      </c>
      <c r="K70" s="528">
        <v>27.545000000000002</v>
      </c>
    </row>
    <row r="71" spans="2:11" s="494" customFormat="1" ht="11.25" customHeight="1" x14ac:dyDescent="0.25">
      <c r="B71" s="519" t="s">
        <v>1098</v>
      </c>
      <c r="C71" s="543" t="s">
        <v>123</v>
      </c>
      <c r="D71" s="528">
        <v>0.92200000000000004</v>
      </c>
      <c r="E71" s="528">
        <v>-8.6630000000000003</v>
      </c>
      <c r="F71" s="528">
        <v>-13.939</v>
      </c>
      <c r="G71" s="528">
        <v>1.004</v>
      </c>
      <c r="H71" s="528">
        <v>10</v>
      </c>
      <c r="I71" s="528">
        <v>6.3170000000000002</v>
      </c>
      <c r="J71" s="528">
        <v>17.263000000000002</v>
      </c>
      <c r="K71" s="528">
        <v>14.801</v>
      </c>
    </row>
    <row r="72" spans="2:11" ht="11.25" customHeight="1" x14ac:dyDescent="0.25">
      <c r="C72" s="539"/>
      <c r="D72" s="539"/>
      <c r="E72" s="539"/>
      <c r="F72" s="539"/>
      <c r="G72" s="539"/>
      <c r="H72" s="539"/>
      <c r="I72" s="539"/>
      <c r="J72" s="539"/>
      <c r="K72" s="539"/>
    </row>
    <row r="73" spans="2:11" ht="11.25" customHeight="1" x14ac:dyDescent="0.25">
      <c r="B73" s="516" t="s">
        <v>1076</v>
      </c>
      <c r="C73" s="539"/>
      <c r="D73" s="539"/>
      <c r="E73" s="539"/>
      <c r="F73" s="539"/>
      <c r="G73" s="539"/>
      <c r="H73" s="539"/>
      <c r="I73" s="539"/>
      <c r="J73" s="539"/>
      <c r="K73" s="539"/>
    </row>
    <row r="74" spans="2:11" s="495" customFormat="1" ht="11.25" customHeight="1" x14ac:dyDescent="0.2">
      <c r="B74" s="492" t="s">
        <v>1100</v>
      </c>
      <c r="C74" s="537" t="s">
        <v>118</v>
      </c>
      <c r="D74" s="507">
        <f t="shared" ref="D74:K74" si="21">D65/D63</f>
        <v>-0.26321317281067991</v>
      </c>
      <c r="E74" s="507">
        <f t="shared" si="21"/>
        <v>-0.30319433802143841</v>
      </c>
      <c r="F74" s="507">
        <f t="shared" si="21"/>
        <v>-0.2224500186687485</v>
      </c>
      <c r="G74" s="507">
        <f t="shared" si="21"/>
        <v>-0.19454161545491794</v>
      </c>
      <c r="H74" s="507">
        <f t="shared" si="21"/>
        <v>-0.20712190449583942</v>
      </c>
      <c r="I74" s="507">
        <f t="shared" si="21"/>
        <v>-0.22141609432688872</v>
      </c>
      <c r="J74" s="507">
        <f t="shared" si="21"/>
        <v>-0.16006400583806218</v>
      </c>
      <c r="K74" s="507">
        <f t="shared" si="21"/>
        <v>-0.16818859517152546</v>
      </c>
    </row>
    <row r="75" spans="2:11" s="495" customFormat="1" ht="11.25" customHeight="1" x14ac:dyDescent="0.2">
      <c r="B75" s="492" t="s">
        <v>1096</v>
      </c>
      <c r="C75" s="537" t="s">
        <v>118</v>
      </c>
      <c r="D75" s="507">
        <f t="shared" ref="D75:K75" si="22">D70/D63</f>
        <v>1.9703663839870839E-2</v>
      </c>
      <c r="E75" s="507">
        <f t="shared" si="22"/>
        <v>-8.5597053661912642E-2</v>
      </c>
      <c r="F75" s="507">
        <f t="shared" si="22"/>
        <v>-0.11172736838532298</v>
      </c>
      <c r="G75" s="507">
        <f t="shared" si="22"/>
        <v>3.1021188532770267E-2</v>
      </c>
      <c r="H75" s="507">
        <f t="shared" si="22"/>
        <v>9.0470536587312689E-2</v>
      </c>
      <c r="I75" s="507">
        <f t="shared" si="22"/>
        <v>6.5494858866965738E-2</v>
      </c>
      <c r="J75" s="507">
        <f t="shared" si="22"/>
        <v>0.11495205263377942</v>
      </c>
      <c r="K75" s="507">
        <f t="shared" si="22"/>
        <v>9.3124444279160348E-2</v>
      </c>
    </row>
    <row r="76" spans="2:11" s="495" customFormat="1" ht="11.25" customHeight="1" x14ac:dyDescent="0.2">
      <c r="B76" s="492" t="s">
        <v>1095</v>
      </c>
      <c r="C76" s="537" t="s">
        <v>118</v>
      </c>
      <c r="D76" s="507">
        <f t="shared" ref="D76:K76" si="23">D71/D63</f>
        <v>8.0029859296744128E-3</v>
      </c>
      <c r="E76" s="507">
        <f t="shared" si="23"/>
        <v>-7.1376193654167808E-2</v>
      </c>
      <c r="F76" s="507">
        <f t="shared" si="23"/>
        <v>-9.4626794745595863E-2</v>
      </c>
      <c r="G76" s="507">
        <f t="shared" si="23"/>
        <v>5.2734970008298928E-3</v>
      </c>
      <c r="H76" s="507">
        <f t="shared" si="23"/>
        <v>4.988725480414264E-2</v>
      </c>
      <c r="I76" s="507">
        <f t="shared" si="23"/>
        <v>3.1348009051570133E-2</v>
      </c>
      <c r="J76" s="507">
        <f t="shared" si="23"/>
        <v>6.5613585657219101E-2</v>
      </c>
      <c r="K76" s="507">
        <f t="shared" si="23"/>
        <v>5.0039386450384908E-2</v>
      </c>
    </row>
  </sheetData>
  <mergeCells count="7">
    <mergeCell ref="B57:K57"/>
    <mergeCell ref="B58:K58"/>
    <mergeCell ref="B52:K52"/>
    <mergeCell ref="B53:K53"/>
    <mergeCell ref="B54:K54"/>
    <mergeCell ref="B55:K55"/>
    <mergeCell ref="B56:K56"/>
  </mergeCells>
  <pageMargins left="0.7" right="0.7" top="0.75" bottom="0.75" header="0.511811023622047" footer="0.511811023622047"/>
  <pageSetup paperSize="9" orientation="portrait" horizontalDpi="300" verticalDpi="300"/>
  <ignoredErrors>
    <ignoredError sqref="D68:K68" formulaRange="1"/>
  </ignoredErrors>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9929-DBCA-4AF9-BB0F-1F69AAAECD08}">
  <dimension ref="B3:K98"/>
  <sheetViews>
    <sheetView showGridLines="0" topLeftCell="A68" zoomScale="145" zoomScaleNormal="145" workbookViewId="0">
      <selection activeCell="P84" sqref="P84"/>
    </sheetView>
  </sheetViews>
  <sheetFormatPr defaultColWidth="8.7109375" defaultRowHeight="11.25" customHeight="1" x14ac:dyDescent="0.2"/>
  <cols>
    <col min="1" max="1" width="2.7109375" style="495" customWidth="1"/>
    <col min="2" max="2" width="30.7109375" style="495" customWidth="1"/>
    <col min="3" max="3" width="5.7109375" style="573" customWidth="1"/>
    <col min="4" max="11" width="6.7109375" style="495" customWidth="1"/>
    <col min="12" max="12" width="12" style="495" bestFit="1" customWidth="1"/>
    <col min="13" max="16384" width="8.7109375" style="495"/>
  </cols>
  <sheetData>
    <row r="3" spans="2:11" ht="11.25" customHeight="1" x14ac:dyDescent="0.2">
      <c r="B3" s="172"/>
      <c r="C3" s="572"/>
      <c r="D3" s="172" t="s">
        <v>1065</v>
      </c>
      <c r="E3" s="172" t="s">
        <v>1066</v>
      </c>
      <c r="F3" s="172" t="s">
        <v>1067</v>
      </c>
      <c r="G3" s="172" t="s">
        <v>1068</v>
      </c>
      <c r="H3" s="172" t="s">
        <v>1069</v>
      </c>
      <c r="I3" s="172" t="s">
        <v>1070</v>
      </c>
      <c r="J3" s="172" t="s">
        <v>1071</v>
      </c>
      <c r="K3" s="172" t="s">
        <v>1072</v>
      </c>
    </row>
    <row r="4" spans="2:11" ht="11.25" customHeight="1" x14ac:dyDescent="0.2">
      <c r="B4" s="491" t="s">
        <v>1</v>
      </c>
      <c r="C4" s="476" t="s">
        <v>415</v>
      </c>
      <c r="D4" s="476">
        <v>43281</v>
      </c>
      <c r="E4" s="174">
        <f>EOMONTH(D4,12)</f>
        <v>43646</v>
      </c>
      <c r="F4" s="174">
        <f t="shared" ref="F4:K4" si="0">EOMONTH(E4,12)</f>
        <v>44012</v>
      </c>
      <c r="G4" s="174">
        <f t="shared" si="0"/>
        <v>44377</v>
      </c>
      <c r="H4" s="174">
        <f t="shared" si="0"/>
        <v>44742</v>
      </c>
      <c r="I4" s="174">
        <f t="shared" si="0"/>
        <v>45107</v>
      </c>
      <c r="J4" s="174">
        <f t="shared" si="0"/>
        <v>45473</v>
      </c>
      <c r="K4" s="174">
        <f t="shared" si="0"/>
        <v>45838</v>
      </c>
    </row>
    <row r="5" spans="2:11" ht="11.25" customHeight="1" x14ac:dyDescent="0.2">
      <c r="D5" s="537"/>
      <c r="E5" s="537"/>
      <c r="F5" s="537"/>
      <c r="G5" s="537"/>
      <c r="H5" s="537"/>
      <c r="I5" s="537"/>
      <c r="J5" s="537"/>
      <c r="K5" s="537"/>
    </row>
    <row r="6" spans="2:11" ht="11.25" customHeight="1" x14ac:dyDescent="0.2">
      <c r="B6" s="551" t="s">
        <v>979</v>
      </c>
      <c r="C6" s="574"/>
    </row>
    <row r="7" spans="2:11" ht="11.25" customHeight="1" x14ac:dyDescent="0.2">
      <c r="B7" s="552" t="s">
        <v>977</v>
      </c>
      <c r="C7" s="575" t="s">
        <v>123</v>
      </c>
      <c r="J7" s="503">
        <v>73207795</v>
      </c>
      <c r="K7" s="503">
        <v>120085310</v>
      </c>
    </row>
    <row r="8" spans="2:11" ht="11.25" customHeight="1" x14ac:dyDescent="0.2">
      <c r="B8" s="552" t="s">
        <v>976</v>
      </c>
      <c r="C8" s="575" t="s">
        <v>123</v>
      </c>
      <c r="J8" s="503">
        <v>26705024</v>
      </c>
      <c r="K8" s="503">
        <v>53532664</v>
      </c>
    </row>
    <row r="9" spans="2:11" s="553" customFormat="1" ht="11.25" customHeight="1" x14ac:dyDescent="0.2">
      <c r="B9" s="552" t="s">
        <v>975</v>
      </c>
      <c r="C9" s="575" t="s">
        <v>123</v>
      </c>
      <c r="H9" s="495"/>
      <c r="I9" s="495"/>
      <c r="J9" s="503">
        <v>-6781457</v>
      </c>
      <c r="K9" s="503">
        <v>-12503238</v>
      </c>
    </row>
    <row r="10" spans="2:11" ht="11.25" customHeight="1" x14ac:dyDescent="0.2">
      <c r="B10" s="552" t="s">
        <v>974</v>
      </c>
      <c r="C10" s="575" t="s">
        <v>123</v>
      </c>
      <c r="J10" s="503">
        <v>-17792411</v>
      </c>
      <c r="K10" s="503">
        <v>-25651149</v>
      </c>
    </row>
    <row r="11" spans="2:11" ht="11.25" customHeight="1" x14ac:dyDescent="0.2">
      <c r="B11" s="552" t="s">
        <v>973</v>
      </c>
      <c r="C11" s="575" t="s">
        <v>123</v>
      </c>
      <c r="J11" s="503">
        <v>-235990</v>
      </c>
      <c r="K11" s="503">
        <v>-1035000</v>
      </c>
    </row>
    <row r="12" spans="2:11" ht="11.25" customHeight="1" x14ac:dyDescent="0.2">
      <c r="B12" s="554" t="s">
        <v>972</v>
      </c>
      <c r="C12" s="576" t="s">
        <v>123</v>
      </c>
      <c r="J12" s="555">
        <f>SUM(J7:J11)</f>
        <v>75102961</v>
      </c>
      <c r="K12" s="555">
        <f>SUM(K7:K11)</f>
        <v>134428587</v>
      </c>
    </row>
    <row r="13" spans="2:11" ht="11.25" customHeight="1" x14ac:dyDescent="0.2">
      <c r="B13" s="523"/>
      <c r="C13" s="529"/>
    </row>
    <row r="14" spans="2:11" ht="11.25" customHeight="1" x14ac:dyDescent="0.2">
      <c r="B14" s="523" t="s">
        <v>993</v>
      </c>
      <c r="C14" s="577" t="s">
        <v>123</v>
      </c>
      <c r="J14" s="556">
        <f>J12-J9</f>
        <v>81884418</v>
      </c>
      <c r="K14" s="556">
        <f>K12-K9</f>
        <v>146931825</v>
      </c>
    </row>
    <row r="15" spans="2:11" ht="11.25" customHeight="1" x14ac:dyDescent="0.2">
      <c r="B15" s="523"/>
      <c r="C15" s="529"/>
    </row>
    <row r="16" spans="2:11" ht="11.25" customHeight="1" x14ac:dyDescent="0.2">
      <c r="B16" s="554" t="s">
        <v>39</v>
      </c>
      <c r="C16" s="576" t="s">
        <v>123</v>
      </c>
      <c r="I16" s="557"/>
      <c r="J16" s="557">
        <v>-3844832</v>
      </c>
      <c r="K16" s="557">
        <v>17239009</v>
      </c>
    </row>
    <row r="17" spans="2:11" ht="11.25" customHeight="1" x14ac:dyDescent="0.2">
      <c r="C17" s="529"/>
    </row>
    <row r="18" spans="2:11" ht="11.25" customHeight="1" x14ac:dyDescent="0.2">
      <c r="B18" s="551" t="s">
        <v>978</v>
      </c>
      <c r="C18" s="529"/>
    </row>
    <row r="19" spans="2:11" ht="11.25" customHeight="1" x14ac:dyDescent="0.2">
      <c r="B19" s="552" t="s">
        <v>977</v>
      </c>
      <c r="C19" s="575" t="s">
        <v>123</v>
      </c>
      <c r="I19" s="503"/>
      <c r="J19" s="503">
        <v>43791077</v>
      </c>
      <c r="K19" s="503">
        <v>144455408</v>
      </c>
    </row>
    <row r="20" spans="2:11" ht="11.25" customHeight="1" x14ac:dyDescent="0.2">
      <c r="B20" s="552" t="s">
        <v>976</v>
      </c>
      <c r="C20" s="575" t="s">
        <v>123</v>
      </c>
      <c r="I20" s="503"/>
      <c r="J20" s="503">
        <v>0</v>
      </c>
      <c r="K20" s="503">
        <v>0</v>
      </c>
    </row>
    <row r="21" spans="2:11" ht="11.25" customHeight="1" x14ac:dyDescent="0.2">
      <c r="B21" s="552" t="s">
        <v>975</v>
      </c>
      <c r="C21" s="575" t="s">
        <v>123</v>
      </c>
      <c r="I21" s="503"/>
      <c r="J21" s="503">
        <v>0</v>
      </c>
      <c r="K21" s="503">
        <v>0</v>
      </c>
    </row>
    <row r="22" spans="2:11" ht="11.25" customHeight="1" x14ac:dyDescent="0.2">
      <c r="B22" s="552" t="s">
        <v>974</v>
      </c>
      <c r="C22" s="575" t="s">
        <v>123</v>
      </c>
      <c r="I22" s="503"/>
      <c r="J22" s="503">
        <v>-1354255</v>
      </c>
      <c r="K22" s="503">
        <v>-4013432</v>
      </c>
    </row>
    <row r="23" spans="2:11" ht="11.25" customHeight="1" x14ac:dyDescent="0.2">
      <c r="B23" s="552" t="s">
        <v>973</v>
      </c>
      <c r="C23" s="575" t="s">
        <v>123</v>
      </c>
      <c r="I23" s="503"/>
      <c r="J23" s="503">
        <v>-343109</v>
      </c>
      <c r="K23" s="503">
        <v>-385008</v>
      </c>
    </row>
    <row r="24" spans="2:11" ht="11.25" customHeight="1" x14ac:dyDescent="0.2">
      <c r="B24" s="554" t="s">
        <v>972</v>
      </c>
      <c r="C24" s="576" t="s">
        <v>123</v>
      </c>
      <c r="I24" s="555"/>
      <c r="J24" s="555">
        <f>SUM(J19:J23)</f>
        <v>42093713</v>
      </c>
      <c r="K24" s="555">
        <f>SUM(K19:K23)</f>
        <v>140056968</v>
      </c>
    </row>
    <row r="25" spans="2:11" ht="11.25" customHeight="1" x14ac:dyDescent="0.2">
      <c r="B25" s="523"/>
      <c r="C25" s="529"/>
    </row>
    <row r="26" spans="2:11" ht="11.25" customHeight="1" x14ac:dyDescent="0.2">
      <c r="B26" s="554" t="s">
        <v>39</v>
      </c>
      <c r="C26" s="576" t="s">
        <v>123</v>
      </c>
      <c r="I26" s="557"/>
      <c r="J26" s="557">
        <v>-6660052</v>
      </c>
      <c r="K26" s="557">
        <v>1402346</v>
      </c>
    </row>
    <row r="27" spans="2:11" ht="11.25" customHeight="1" x14ac:dyDescent="0.2">
      <c r="C27" s="529"/>
    </row>
    <row r="28" spans="2:11" ht="11.25" customHeight="1" x14ac:dyDescent="0.2">
      <c r="B28" s="551" t="s">
        <v>182</v>
      </c>
      <c r="C28" s="529"/>
    </row>
    <row r="29" spans="2:11" ht="11.25" customHeight="1" x14ac:dyDescent="0.2">
      <c r="B29" s="552" t="s">
        <v>977</v>
      </c>
      <c r="C29" s="575" t="s">
        <v>123</v>
      </c>
      <c r="I29" s="503">
        <v>50873041</v>
      </c>
      <c r="J29" s="503">
        <v>116998872</v>
      </c>
      <c r="K29" s="503">
        <v>264842258</v>
      </c>
    </row>
    <row r="30" spans="2:11" ht="11.25" customHeight="1" x14ac:dyDescent="0.2">
      <c r="B30" s="552" t="s">
        <v>976</v>
      </c>
      <c r="C30" s="575" t="s">
        <v>123</v>
      </c>
      <c r="I30" s="503">
        <v>10757497</v>
      </c>
      <c r="J30" s="503">
        <v>26705024</v>
      </c>
      <c r="K30" s="503">
        <v>53486203</v>
      </c>
    </row>
    <row r="31" spans="2:11" ht="11.25" customHeight="1" x14ac:dyDescent="0.2">
      <c r="B31" s="552" t="s">
        <v>975</v>
      </c>
      <c r="C31" s="575" t="s">
        <v>123</v>
      </c>
      <c r="I31" s="503">
        <v>-4180295</v>
      </c>
      <c r="J31" s="503">
        <v>-6781457</v>
      </c>
      <c r="K31" s="503">
        <v>-12503238</v>
      </c>
    </row>
    <row r="32" spans="2:11" ht="11.25" customHeight="1" x14ac:dyDescent="0.2">
      <c r="B32" s="552" t="s">
        <v>974</v>
      </c>
      <c r="C32" s="575" t="s">
        <v>123</v>
      </c>
      <c r="I32" s="503">
        <v>-12087115</v>
      </c>
      <c r="J32" s="503">
        <v>-19146666</v>
      </c>
      <c r="K32" s="503">
        <v>-30193799</v>
      </c>
    </row>
    <row r="33" spans="2:11" ht="11.25" customHeight="1" x14ac:dyDescent="0.2">
      <c r="B33" s="552" t="s">
        <v>973</v>
      </c>
      <c r="C33" s="575" t="s">
        <v>123</v>
      </c>
      <c r="I33" s="503">
        <v>-389220</v>
      </c>
      <c r="J33" s="503">
        <v>-579099</v>
      </c>
      <c r="K33" s="503">
        <v>-1442063</v>
      </c>
    </row>
    <row r="34" spans="2:11" ht="11.25" customHeight="1" x14ac:dyDescent="0.2">
      <c r="B34" s="554" t="s">
        <v>972</v>
      </c>
      <c r="C34" s="576" t="s">
        <v>123</v>
      </c>
      <c r="I34" s="555">
        <f>SUM(I29:I33)</f>
        <v>44973908</v>
      </c>
      <c r="J34" s="555">
        <f>SUM(J29:J33)</f>
        <v>117196674</v>
      </c>
      <c r="K34" s="555">
        <f>SUM(K29:K33)</f>
        <v>274189361</v>
      </c>
    </row>
    <row r="35" spans="2:11" ht="11.25" customHeight="1" x14ac:dyDescent="0.2">
      <c r="B35" s="523"/>
      <c r="C35" s="529"/>
    </row>
    <row r="36" spans="2:11" ht="11.25" customHeight="1" x14ac:dyDescent="0.2">
      <c r="B36" s="554" t="s">
        <v>39</v>
      </c>
      <c r="C36" s="576" t="s">
        <v>123</v>
      </c>
      <c r="I36" s="557"/>
      <c r="J36" s="557">
        <v>-10504884</v>
      </c>
      <c r="K36" s="557">
        <v>16740931</v>
      </c>
    </row>
    <row r="38" spans="2:11" ht="11.25" customHeight="1" x14ac:dyDescent="0.2">
      <c r="B38" s="559" t="s">
        <v>143</v>
      </c>
      <c r="C38" s="578" t="s">
        <v>123</v>
      </c>
      <c r="I38" s="560">
        <v>44973908</v>
      </c>
      <c r="J38" s="560">
        <v>117196674</v>
      </c>
      <c r="K38" s="560">
        <v>274189361</v>
      </c>
    </row>
    <row r="39" spans="2:11" ht="11.25" customHeight="1" x14ac:dyDescent="0.2">
      <c r="B39" s="559" t="s">
        <v>963</v>
      </c>
      <c r="C39" s="578" t="s">
        <v>123</v>
      </c>
      <c r="I39" s="560">
        <v>564249</v>
      </c>
      <c r="J39" s="560">
        <v>449075</v>
      </c>
      <c r="K39" s="560">
        <v>1255191</v>
      </c>
    </row>
    <row r="40" spans="2:11" ht="11.25" customHeight="1" x14ac:dyDescent="0.2">
      <c r="B40" s="561" t="s">
        <v>791</v>
      </c>
      <c r="C40" s="579" t="s">
        <v>123</v>
      </c>
      <c r="I40" s="562">
        <f>I38+I39</f>
        <v>45538157</v>
      </c>
      <c r="J40" s="562">
        <f>J38+J39</f>
        <v>117645749</v>
      </c>
      <c r="K40" s="562">
        <f>K38+K39</f>
        <v>275444552</v>
      </c>
    </row>
    <row r="41" spans="2:11" ht="11.25" customHeight="1" x14ac:dyDescent="0.2">
      <c r="B41" s="559"/>
      <c r="C41" s="16"/>
      <c r="I41" s="12"/>
      <c r="J41" s="12"/>
      <c r="K41" s="12"/>
    </row>
    <row r="42" spans="2:11" ht="11.25" customHeight="1" x14ac:dyDescent="0.2">
      <c r="B42" s="563" t="s">
        <v>1101</v>
      </c>
      <c r="C42" s="16"/>
      <c r="I42" s="12"/>
      <c r="J42" s="12"/>
      <c r="K42" s="12"/>
    </row>
    <row r="43" spans="2:11" ht="11.25" customHeight="1" x14ac:dyDescent="0.2">
      <c r="B43" s="559" t="s">
        <v>107</v>
      </c>
      <c r="C43" s="578" t="s">
        <v>123</v>
      </c>
      <c r="I43" s="560">
        <v>-34416342</v>
      </c>
      <c r="J43" s="560">
        <v>-90315031</v>
      </c>
      <c r="K43" s="560">
        <v>-180028185</v>
      </c>
    </row>
    <row r="44" spans="2:11" ht="11.25" customHeight="1" x14ac:dyDescent="0.2">
      <c r="B44" s="559" t="s">
        <v>1102</v>
      </c>
      <c r="C44" s="578" t="s">
        <v>123</v>
      </c>
      <c r="I44" s="560">
        <v>-2073699</v>
      </c>
      <c r="J44" s="560">
        <v>-3875053</v>
      </c>
      <c r="K44" s="560">
        <v>-4778557</v>
      </c>
    </row>
    <row r="45" spans="2:11" ht="11.25" customHeight="1" x14ac:dyDescent="0.2">
      <c r="B45" s="559" t="s">
        <v>959</v>
      </c>
      <c r="C45" s="578" t="s">
        <v>123</v>
      </c>
      <c r="I45" s="560">
        <v>-9778156</v>
      </c>
      <c r="J45" s="560">
        <v>-15550037</v>
      </c>
      <c r="K45" s="560">
        <v>-28060980</v>
      </c>
    </row>
    <row r="46" spans="2:11" ht="11.25" customHeight="1" x14ac:dyDescent="0.2">
      <c r="B46" s="559" t="s">
        <v>1103</v>
      </c>
      <c r="C46" s="578" t="s">
        <v>123</v>
      </c>
      <c r="I46" s="560">
        <v>-1286366</v>
      </c>
      <c r="J46" s="560">
        <v>-1626253</v>
      </c>
      <c r="K46" s="560">
        <v>-798810</v>
      </c>
    </row>
    <row r="47" spans="2:11" ht="11.25" customHeight="1" x14ac:dyDescent="0.2">
      <c r="B47" s="559" t="s">
        <v>956</v>
      </c>
      <c r="C47" s="578" t="s">
        <v>123</v>
      </c>
      <c r="I47" s="560">
        <v>-32074</v>
      </c>
      <c r="J47" s="560">
        <v>-86103</v>
      </c>
      <c r="K47" s="560">
        <v>-115080</v>
      </c>
    </row>
    <row r="48" spans="2:11" ht="11.25" customHeight="1" x14ac:dyDescent="0.2">
      <c r="B48" s="559" t="s">
        <v>1104</v>
      </c>
      <c r="C48" s="578" t="s">
        <v>123</v>
      </c>
      <c r="I48" s="560">
        <v>-9110648</v>
      </c>
      <c r="J48" s="560">
        <v>-12409257</v>
      </c>
      <c r="K48" s="560">
        <v>-35933369</v>
      </c>
    </row>
    <row r="49" spans="2:11" ht="11.25" customHeight="1" x14ac:dyDescent="0.2">
      <c r="B49" s="559" t="s">
        <v>1105</v>
      </c>
      <c r="C49" s="578" t="s">
        <v>123</v>
      </c>
      <c r="I49" s="560">
        <v>-155458</v>
      </c>
      <c r="J49" s="560">
        <v>-220570</v>
      </c>
      <c r="K49" s="560">
        <v>-326431</v>
      </c>
    </row>
    <row r="50" spans="2:11" ht="11.25" customHeight="1" x14ac:dyDescent="0.2">
      <c r="B50" s="559" t="s">
        <v>1106</v>
      </c>
      <c r="C50" s="578" t="s">
        <v>123</v>
      </c>
      <c r="I50" s="560">
        <v>-53522</v>
      </c>
      <c r="J50" s="560">
        <v>-206752</v>
      </c>
      <c r="K50" s="560">
        <v>-451519</v>
      </c>
    </row>
    <row r="51" spans="2:11" ht="11.25" customHeight="1" x14ac:dyDescent="0.2">
      <c r="B51" s="559" t="s">
        <v>955</v>
      </c>
      <c r="C51" s="578" t="s">
        <v>123</v>
      </c>
      <c r="I51" s="560">
        <v>-4728945</v>
      </c>
      <c r="J51" s="560">
        <v>-7570622</v>
      </c>
      <c r="K51" s="560">
        <v>-12658396</v>
      </c>
    </row>
    <row r="52" spans="2:11" ht="11.25" customHeight="1" x14ac:dyDescent="0.2">
      <c r="B52" s="561" t="s">
        <v>1107</v>
      </c>
      <c r="C52" s="579" t="s">
        <v>123</v>
      </c>
      <c r="I52" s="562">
        <f>I40+SUM(I43:I51)</f>
        <v>-16097053</v>
      </c>
      <c r="J52" s="562">
        <f>J40+SUM(J43:J51)</f>
        <v>-14213929</v>
      </c>
      <c r="K52" s="562">
        <f>K40+SUM(K43:K51)</f>
        <v>12293225</v>
      </c>
    </row>
    <row r="53" spans="2:11" ht="11.25" customHeight="1" x14ac:dyDescent="0.2">
      <c r="B53" s="559" t="s">
        <v>1108</v>
      </c>
      <c r="C53" s="578" t="s">
        <v>123</v>
      </c>
      <c r="I53" s="560">
        <v>0</v>
      </c>
      <c r="J53" s="560">
        <v>0</v>
      </c>
      <c r="K53" s="560">
        <v>2016191</v>
      </c>
    </row>
    <row r="54" spans="2:11" ht="11.25" customHeight="1" x14ac:dyDescent="0.2">
      <c r="B54" s="561" t="s">
        <v>1109</v>
      </c>
      <c r="C54" s="579" t="s">
        <v>123</v>
      </c>
      <c r="I54" s="562">
        <f>I52+I53</f>
        <v>-16097053</v>
      </c>
      <c r="J54" s="562">
        <f>J52+J53</f>
        <v>-14213929</v>
      </c>
      <c r="K54" s="562">
        <f>K52+K53</f>
        <v>14309416</v>
      </c>
    </row>
    <row r="55" spans="2:11" ht="11.25" customHeight="1" x14ac:dyDescent="0.2">
      <c r="B55" s="561" t="s">
        <v>1110</v>
      </c>
      <c r="C55" s="579" t="s">
        <v>123</v>
      </c>
      <c r="I55" s="562">
        <f>I54</f>
        <v>-16097053</v>
      </c>
      <c r="J55" s="562">
        <f>J54</f>
        <v>-14213929</v>
      </c>
      <c r="K55" s="562">
        <f>K54</f>
        <v>14309416</v>
      </c>
    </row>
    <row r="56" spans="2:11" ht="11.25" customHeight="1" x14ac:dyDescent="0.2">
      <c r="B56" s="559"/>
      <c r="C56" s="16"/>
      <c r="I56" s="12"/>
      <c r="J56" s="12"/>
      <c r="K56" s="12"/>
    </row>
    <row r="57" spans="2:11" ht="11.25" customHeight="1" x14ac:dyDescent="0.2">
      <c r="B57" s="563" t="s">
        <v>1111</v>
      </c>
      <c r="C57" s="16"/>
      <c r="I57" s="12"/>
      <c r="J57" s="12"/>
      <c r="K57" s="12"/>
    </row>
    <row r="58" spans="2:11" ht="11.25" customHeight="1" x14ac:dyDescent="0.2">
      <c r="B58" s="559" t="s">
        <v>1112</v>
      </c>
      <c r="C58" s="578" t="s">
        <v>123</v>
      </c>
      <c r="I58" s="560">
        <v>-1403</v>
      </c>
      <c r="J58" s="560">
        <v>-219746</v>
      </c>
      <c r="K58" s="560">
        <v>124843</v>
      </c>
    </row>
    <row r="59" spans="2:11" ht="11.25" customHeight="1" thickBot="1" x14ac:dyDescent="0.25">
      <c r="B59" s="561" t="s">
        <v>1113</v>
      </c>
      <c r="C59" s="579" t="s">
        <v>123</v>
      </c>
      <c r="I59" s="562">
        <f>I58</f>
        <v>-1403</v>
      </c>
      <c r="J59" s="562">
        <f>J58</f>
        <v>-219746</v>
      </c>
      <c r="K59" s="562">
        <f>K58</f>
        <v>124843</v>
      </c>
    </row>
    <row r="60" spans="2:11" ht="11.25" customHeight="1" thickTop="1" x14ac:dyDescent="0.2">
      <c r="B60" s="561" t="s">
        <v>1114</v>
      </c>
      <c r="C60" s="580" t="s">
        <v>123</v>
      </c>
      <c r="I60" s="564">
        <f>I54+I59</f>
        <v>-16098456</v>
      </c>
      <c r="J60" s="564">
        <f>J54+J59</f>
        <v>-14433675</v>
      </c>
      <c r="K60" s="564">
        <f>K54+K59</f>
        <v>14434259</v>
      </c>
    </row>
    <row r="64" spans="2:11" ht="11.25" customHeight="1" x14ac:dyDescent="0.2">
      <c r="B64" s="558" t="s">
        <v>971</v>
      </c>
      <c r="C64" s="581"/>
      <c r="D64" s="558"/>
      <c r="E64" s="558"/>
      <c r="F64" s="558"/>
      <c r="G64" s="558"/>
      <c r="H64" s="558"/>
      <c r="I64" s="558"/>
      <c r="J64" s="558"/>
      <c r="K64" s="558"/>
    </row>
    <row r="65" spans="2:11" ht="11.25" customHeight="1" x14ac:dyDescent="0.2">
      <c r="B65" s="558" t="s">
        <v>970</v>
      </c>
      <c r="C65" s="581"/>
      <c r="D65" s="558"/>
      <c r="E65" s="558"/>
      <c r="F65" s="558"/>
      <c r="G65" s="558"/>
      <c r="H65" s="558"/>
      <c r="I65" s="558"/>
      <c r="J65" s="558"/>
      <c r="K65" s="558"/>
    </row>
    <row r="66" spans="2:11" ht="11.25" customHeight="1" x14ac:dyDescent="0.2">
      <c r="B66" s="558" t="s">
        <v>969</v>
      </c>
      <c r="C66" s="581"/>
      <c r="D66" s="558"/>
      <c r="E66" s="558"/>
      <c r="F66" s="558"/>
      <c r="G66" s="558"/>
      <c r="H66" s="558"/>
      <c r="I66" s="558"/>
      <c r="J66" s="558"/>
      <c r="K66" s="558"/>
    </row>
    <row r="70" spans="2:11" ht="11.25" customHeight="1" x14ac:dyDescent="0.2">
      <c r="B70" s="172"/>
      <c r="C70" s="572"/>
      <c r="D70" s="172" t="s">
        <v>1065</v>
      </c>
      <c r="E70" s="172" t="s">
        <v>1066</v>
      </c>
      <c r="F70" s="172" t="s">
        <v>1067</v>
      </c>
      <c r="G70" s="172" t="s">
        <v>1068</v>
      </c>
      <c r="H70" s="172" t="s">
        <v>1069</v>
      </c>
      <c r="I70" s="172" t="s">
        <v>1070</v>
      </c>
      <c r="J70" s="172" t="s">
        <v>1071</v>
      </c>
      <c r="K70" s="172" t="s">
        <v>1072</v>
      </c>
    </row>
    <row r="71" spans="2:11" ht="11.25" customHeight="1" x14ac:dyDescent="0.2">
      <c r="B71" s="491" t="s">
        <v>1</v>
      </c>
      <c r="C71" s="476" t="s">
        <v>415</v>
      </c>
      <c r="D71" s="476">
        <v>43281</v>
      </c>
      <c r="E71" s="174">
        <f t="shared" ref="E71:K71" si="1">EOMONTH(D71,12)</f>
        <v>43646</v>
      </c>
      <c r="F71" s="174">
        <f t="shared" si="1"/>
        <v>44012</v>
      </c>
      <c r="G71" s="174">
        <f t="shared" si="1"/>
        <v>44377</v>
      </c>
      <c r="H71" s="174">
        <f t="shared" si="1"/>
        <v>44742</v>
      </c>
      <c r="I71" s="174">
        <f t="shared" si="1"/>
        <v>45107</v>
      </c>
      <c r="J71" s="174">
        <f t="shared" si="1"/>
        <v>45473</v>
      </c>
      <c r="K71" s="174">
        <f t="shared" si="1"/>
        <v>45838</v>
      </c>
    </row>
    <row r="72" spans="2:11" ht="11.25" customHeight="1" x14ac:dyDescent="0.2">
      <c r="B72" s="516" t="s">
        <v>1115</v>
      </c>
      <c r="D72" s="537"/>
      <c r="E72" s="537"/>
      <c r="F72" s="537"/>
      <c r="G72" s="537"/>
      <c r="H72" s="537"/>
      <c r="I72" s="537"/>
      <c r="J72" s="537"/>
      <c r="K72" s="537"/>
    </row>
    <row r="73" spans="2:11" ht="11.25" customHeight="1" x14ac:dyDescent="0.2">
      <c r="B73" s="567" t="s">
        <v>979</v>
      </c>
      <c r="C73" s="574"/>
    </row>
    <row r="74" spans="2:11" ht="11.25" customHeight="1" x14ac:dyDescent="0.2">
      <c r="B74" s="568" t="s">
        <v>1188</v>
      </c>
      <c r="C74" s="575" t="s">
        <v>123</v>
      </c>
      <c r="I74" s="528"/>
      <c r="J74" s="528">
        <v>73.207795000000004</v>
      </c>
      <c r="K74" s="528">
        <v>120.08531000000001</v>
      </c>
    </row>
    <row r="75" spans="2:11" ht="11.25" customHeight="1" x14ac:dyDescent="0.2">
      <c r="B75" s="568" t="s">
        <v>1189</v>
      </c>
      <c r="C75" s="575" t="s">
        <v>123</v>
      </c>
      <c r="I75" s="528"/>
      <c r="J75" s="528">
        <v>26.705024000000002</v>
      </c>
      <c r="K75" s="528">
        <v>53.532664000000004</v>
      </c>
    </row>
    <row r="76" spans="2:11" ht="11.25" customHeight="1" x14ac:dyDescent="0.2">
      <c r="B76" s="568" t="s">
        <v>974</v>
      </c>
      <c r="C76" s="575" t="s">
        <v>123</v>
      </c>
      <c r="I76" s="528"/>
      <c r="J76" s="528">
        <v>-17.792411000000001</v>
      </c>
      <c r="K76" s="528">
        <v>-25.651149</v>
      </c>
    </row>
    <row r="77" spans="2:11" s="553" customFormat="1" ht="11.25" customHeight="1" x14ac:dyDescent="0.2">
      <c r="B77" s="569" t="s">
        <v>39</v>
      </c>
      <c r="C77" s="576" t="s">
        <v>123</v>
      </c>
      <c r="I77" s="565"/>
      <c r="J77" s="566">
        <v>-3.8448319999999998</v>
      </c>
      <c r="K77" s="566">
        <v>17.239009000000003</v>
      </c>
    </row>
    <row r="78" spans="2:11" ht="11.25" customHeight="1" x14ac:dyDescent="0.2">
      <c r="B78" s="570"/>
      <c r="C78" s="575"/>
      <c r="I78" s="528"/>
      <c r="J78" s="526"/>
      <c r="K78" s="526"/>
    </row>
    <row r="79" spans="2:11" ht="11.25" customHeight="1" x14ac:dyDescent="0.2">
      <c r="B79" s="567" t="s">
        <v>978</v>
      </c>
      <c r="C79" s="529"/>
      <c r="I79" s="528"/>
      <c r="J79" s="528"/>
      <c r="K79" s="528"/>
    </row>
    <row r="80" spans="2:11" ht="11.25" customHeight="1" x14ac:dyDescent="0.2">
      <c r="B80" s="568" t="s">
        <v>1188</v>
      </c>
      <c r="C80" s="575" t="s">
        <v>123</v>
      </c>
      <c r="I80" s="526"/>
      <c r="J80" s="528">
        <v>43.791077000000001</v>
      </c>
      <c r="K80" s="528">
        <v>144.45540800000001</v>
      </c>
    </row>
    <row r="81" spans="2:11" ht="11.25" customHeight="1" x14ac:dyDescent="0.2">
      <c r="B81" s="568" t="s">
        <v>1189</v>
      </c>
      <c r="C81" s="575" t="s">
        <v>123</v>
      </c>
      <c r="I81" s="526"/>
      <c r="J81" s="528">
        <v>0</v>
      </c>
      <c r="K81" s="528">
        <v>0</v>
      </c>
    </row>
    <row r="82" spans="2:11" ht="11.25" customHeight="1" x14ac:dyDescent="0.2">
      <c r="B82" s="568" t="s">
        <v>974</v>
      </c>
      <c r="C82" s="575" t="s">
        <v>123</v>
      </c>
      <c r="I82" s="526"/>
      <c r="J82" s="528">
        <v>-1.3542550000000002</v>
      </c>
      <c r="K82" s="528">
        <v>-4.0134319999999999</v>
      </c>
    </row>
    <row r="83" spans="2:11" s="553" customFormat="1" ht="11.25" customHeight="1" x14ac:dyDescent="0.2">
      <c r="B83" s="569" t="s">
        <v>39</v>
      </c>
      <c r="C83" s="576" t="s">
        <v>123</v>
      </c>
      <c r="I83" s="565"/>
      <c r="J83" s="566">
        <v>-6.6600520000000003</v>
      </c>
      <c r="K83" s="566">
        <v>1.4023460000000001</v>
      </c>
    </row>
    <row r="84" spans="2:11" ht="11.25" customHeight="1" x14ac:dyDescent="0.2">
      <c r="B84" s="569"/>
      <c r="C84" s="576"/>
      <c r="I84" s="565"/>
      <c r="J84" s="528"/>
      <c r="K84" s="528"/>
    </row>
    <row r="85" spans="2:11" ht="11.25" customHeight="1" x14ac:dyDescent="0.2">
      <c r="B85" s="516" t="s">
        <v>1080</v>
      </c>
      <c r="C85" s="576"/>
      <c r="I85" s="565"/>
      <c r="J85" s="565"/>
      <c r="K85" s="565"/>
    </row>
    <row r="86" spans="2:11" ht="11.25" customHeight="1" x14ac:dyDescent="0.2">
      <c r="B86" s="571" t="s">
        <v>791</v>
      </c>
      <c r="C86" s="582" t="s">
        <v>123</v>
      </c>
      <c r="I86" s="566">
        <v>45.538156999999998</v>
      </c>
      <c r="J86" s="566">
        <v>117.645749</v>
      </c>
      <c r="K86" s="566">
        <v>275.44455199999999</v>
      </c>
    </row>
    <row r="87" spans="2:11" ht="11.25" customHeight="1" x14ac:dyDescent="0.2">
      <c r="B87" s="568" t="s">
        <v>740</v>
      </c>
      <c r="C87" s="578" t="s">
        <v>123</v>
      </c>
      <c r="I87" s="528">
        <v>-34.416342000000007</v>
      </c>
      <c r="J87" s="528">
        <v>-90.315031000000005</v>
      </c>
      <c r="K87" s="528">
        <v>-180.02818500000001</v>
      </c>
    </row>
    <row r="88" spans="2:11" ht="11.25" customHeight="1" x14ac:dyDescent="0.2">
      <c r="B88" s="571" t="s">
        <v>37</v>
      </c>
      <c r="C88" s="582" t="s">
        <v>123</v>
      </c>
      <c r="I88" s="566">
        <f>SUM(I86:I87)</f>
        <v>11.121814999999991</v>
      </c>
      <c r="J88" s="566">
        <f>SUM(J86:J87)</f>
        <v>27.33071799999999</v>
      </c>
      <c r="K88" s="566">
        <f>SUM(K86:K87)</f>
        <v>95.41636699999998</v>
      </c>
    </row>
    <row r="89" spans="2:11" ht="11.25" customHeight="1" x14ac:dyDescent="0.2">
      <c r="B89" s="568" t="s">
        <v>1190</v>
      </c>
      <c r="C89" s="578" t="s">
        <v>123</v>
      </c>
      <c r="I89" s="528">
        <v>-9.1106480000000012</v>
      </c>
      <c r="J89" s="528">
        <v>-12.409257</v>
      </c>
      <c r="K89" s="528">
        <v>-35.933368999999999</v>
      </c>
    </row>
    <row r="90" spans="2:11" ht="11.25" customHeight="1" x14ac:dyDescent="0.2">
      <c r="B90" s="568" t="s">
        <v>269</v>
      </c>
      <c r="C90" s="578" t="s">
        <v>123</v>
      </c>
      <c r="I90" s="528">
        <v>-16.034520999999998</v>
      </c>
      <c r="J90" s="528">
        <v>-25.260337000000003</v>
      </c>
      <c r="K90" s="528">
        <v>-42.411216000000003</v>
      </c>
    </row>
    <row r="91" spans="2:11" s="553" customFormat="1" ht="11.25" customHeight="1" x14ac:dyDescent="0.2">
      <c r="B91" s="519" t="s">
        <v>1097</v>
      </c>
      <c r="C91" s="583" t="s">
        <v>123</v>
      </c>
      <c r="I91" s="566">
        <v>-14.023354000000008</v>
      </c>
      <c r="J91" s="566">
        <v>-10.338876000000013</v>
      </c>
      <c r="K91" s="566">
        <v>17.071781999999978</v>
      </c>
    </row>
    <row r="92" spans="2:11" s="553" customFormat="1" ht="11.25" customHeight="1" x14ac:dyDescent="0.2">
      <c r="B92" s="519" t="s">
        <v>1098</v>
      </c>
      <c r="C92" s="582" t="s">
        <v>123</v>
      </c>
      <c r="I92" s="566">
        <v>-16.097052999999999</v>
      </c>
      <c r="J92" s="566">
        <v>-14.213928999999998</v>
      </c>
      <c r="K92" s="566">
        <v>14.309415999999999</v>
      </c>
    </row>
    <row r="94" spans="2:11" ht="11.25" customHeight="1" x14ac:dyDescent="0.2">
      <c r="B94" s="516" t="s">
        <v>1076</v>
      </c>
    </row>
    <row r="95" spans="2:11" ht="11.25" customHeight="1" x14ac:dyDescent="0.2">
      <c r="B95" s="492" t="s">
        <v>1073</v>
      </c>
      <c r="C95" s="537" t="s">
        <v>118</v>
      </c>
      <c r="D95" s="507"/>
      <c r="E95" s="507"/>
      <c r="F95" s="507"/>
      <c r="G95" s="507"/>
      <c r="H95" s="507"/>
      <c r="I95" s="507">
        <f>I87/I86</f>
        <v>-0.7557693210992269</v>
      </c>
      <c r="J95" s="507">
        <f>J87/J86</f>
        <v>-0.76768631053553837</v>
      </c>
      <c r="K95" s="507">
        <f>K87/K86</f>
        <v>-0.65359138052583454</v>
      </c>
    </row>
    <row r="96" spans="2:11" ht="11.25" customHeight="1" x14ac:dyDescent="0.2">
      <c r="B96" s="492" t="s">
        <v>1116</v>
      </c>
      <c r="C96" s="537" t="s">
        <v>118</v>
      </c>
      <c r="D96" s="507"/>
      <c r="E96" s="507"/>
      <c r="F96" s="507"/>
      <c r="G96" s="507"/>
      <c r="H96" s="507"/>
      <c r="I96" s="507">
        <f>I89/I86</f>
        <v>-0.20006624334840784</v>
      </c>
      <c r="J96" s="507">
        <f>J89/J86</f>
        <v>-0.10547985886000863</v>
      </c>
      <c r="K96" s="507">
        <f>K89/K86</f>
        <v>-0.13045590751056133</v>
      </c>
    </row>
    <row r="97" spans="2:11" ht="11.25" customHeight="1" x14ac:dyDescent="0.2">
      <c r="B97" s="492" t="s">
        <v>1096</v>
      </c>
      <c r="C97" s="537" t="s">
        <v>118</v>
      </c>
      <c r="D97" s="507"/>
      <c r="E97" s="507"/>
      <c r="F97" s="507"/>
      <c r="G97" s="507"/>
      <c r="H97" s="507"/>
      <c r="I97" s="507">
        <f>I91/I86</f>
        <v>-0.30794733304643856</v>
      </c>
      <c r="J97" s="507">
        <f>J91/J86</f>
        <v>-8.7881424427838986E-2</v>
      </c>
      <c r="K97" s="507">
        <f>K91/K86</f>
        <v>6.1979014927113094E-2</v>
      </c>
    </row>
    <row r="98" spans="2:11" ht="11.25" customHeight="1" x14ac:dyDescent="0.2">
      <c r="B98" s="492" t="s">
        <v>1095</v>
      </c>
      <c r="C98" s="537" t="s">
        <v>118</v>
      </c>
      <c r="D98" s="507"/>
      <c r="E98" s="507"/>
      <c r="F98" s="507"/>
      <c r="G98" s="507"/>
      <c r="H98" s="507"/>
      <c r="I98" s="507">
        <f>I92/I86</f>
        <v>-0.35348494670085134</v>
      </c>
      <c r="J98" s="507">
        <f>J92/J86</f>
        <v>-0.12081974164659362</v>
      </c>
      <c r="K98" s="507">
        <f>K92/K86</f>
        <v>5.1950259666054315E-2</v>
      </c>
    </row>
  </sheetData>
  <pageMargins left="0.7" right="0.7" top="0.75" bottom="0.75" header="0.511811023622047" footer="0.511811023622047"/>
  <pageSetup paperSize="9" orientation="portrait" horizontalDpi="300" verticalDpi="300"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AFD5-33D7-4BFB-8141-420148CAE105}">
  <dimension ref="B4:M42"/>
  <sheetViews>
    <sheetView showGridLines="0" zoomScale="145" zoomScaleNormal="145" workbookViewId="0">
      <selection activeCell="J15" sqref="J15"/>
    </sheetView>
  </sheetViews>
  <sheetFormatPr defaultRowHeight="11.25" customHeight="1" x14ac:dyDescent="0.25"/>
  <cols>
    <col min="1" max="1" width="2.7109375" customWidth="1"/>
    <col min="2" max="2" width="30.7109375" style="429" customWidth="1"/>
    <col min="3" max="3" width="5.7109375" style="430" customWidth="1"/>
    <col min="4" max="11" width="6.7109375" style="429" customWidth="1"/>
  </cols>
  <sheetData>
    <row r="4" spans="2:13" ht="11.25" customHeight="1" x14ac:dyDescent="0.25">
      <c r="B4" s="172"/>
      <c r="C4" s="172"/>
      <c r="D4" s="172" t="s">
        <v>1065</v>
      </c>
      <c r="E4" s="172" t="s">
        <v>1066</v>
      </c>
      <c r="F4" s="172" t="s">
        <v>1067</v>
      </c>
      <c r="G4" s="172" t="s">
        <v>1068</v>
      </c>
      <c r="H4" s="172" t="s">
        <v>1069</v>
      </c>
      <c r="I4" s="172" t="s">
        <v>1070</v>
      </c>
      <c r="J4" s="172" t="s">
        <v>1071</v>
      </c>
      <c r="K4" s="172" t="s">
        <v>1072</v>
      </c>
    </row>
    <row r="5" spans="2:13" ht="11.25" customHeight="1" x14ac:dyDescent="0.25">
      <c r="B5" s="491" t="s">
        <v>1</v>
      </c>
      <c r="C5" s="476" t="s">
        <v>415</v>
      </c>
      <c r="D5" s="476">
        <v>43281</v>
      </c>
      <c r="E5" s="174">
        <f>EOMONTH(D5,12)</f>
        <v>43646</v>
      </c>
      <c r="F5" s="174">
        <f t="shared" ref="F5:K5" si="0">EOMONTH(E5,12)</f>
        <v>44012</v>
      </c>
      <c r="G5" s="174">
        <f t="shared" si="0"/>
        <v>44377</v>
      </c>
      <c r="H5" s="174">
        <f t="shared" si="0"/>
        <v>44742</v>
      </c>
      <c r="I5" s="174">
        <f t="shared" si="0"/>
        <v>45107</v>
      </c>
      <c r="J5" s="174">
        <f t="shared" si="0"/>
        <v>45473</v>
      </c>
      <c r="K5" s="174">
        <f t="shared" si="0"/>
        <v>45838</v>
      </c>
    </row>
    <row r="6" spans="2:13" ht="11.25" customHeight="1" x14ac:dyDescent="0.25">
      <c r="B6" s="516" t="s">
        <v>1412</v>
      </c>
      <c r="C6" s="477"/>
      <c r="D6" s="430"/>
      <c r="E6" s="430"/>
      <c r="F6" s="430"/>
      <c r="G6" s="430"/>
      <c r="H6" s="430"/>
      <c r="I6" s="430"/>
      <c r="J6" s="430"/>
      <c r="K6" s="430"/>
    </row>
    <row r="7" spans="2:13" ht="11.25" customHeight="1" x14ac:dyDescent="0.25">
      <c r="B7" s="517" t="s">
        <v>9</v>
      </c>
      <c r="C7" s="482" t="s">
        <v>123</v>
      </c>
      <c r="D7" s="489"/>
      <c r="E7" s="489">
        <f>PBH!AW12</f>
        <v>490.1</v>
      </c>
      <c r="F7" s="489">
        <f>PBH!AX12</f>
        <v>830.5</v>
      </c>
      <c r="G7" s="489">
        <f>PBH!AY12</f>
        <v>1989</v>
      </c>
      <c r="H7" s="489">
        <f>PBH!AZ12</f>
        <v>2536.4</v>
      </c>
      <c r="I7" s="489">
        <f>PBH!BA12</f>
        <v>2632.6</v>
      </c>
      <c r="J7" s="489">
        <f>PBH!BB12</f>
        <v>2676.8</v>
      </c>
      <c r="K7" s="489">
        <f>PBH!BC12</f>
        <v>2314.1999999999998</v>
      </c>
    </row>
    <row r="8" spans="2:13" ht="11.25" customHeight="1" x14ac:dyDescent="0.25">
      <c r="B8" s="519" t="s">
        <v>96</v>
      </c>
      <c r="C8" s="478" t="s">
        <v>123</v>
      </c>
      <c r="D8" s="489"/>
      <c r="E8" s="489">
        <f>PBH!AW14</f>
        <v>50.5</v>
      </c>
      <c r="F8" s="489">
        <f>PBH!AX14</f>
        <v>100.8</v>
      </c>
      <c r="G8" s="489">
        <f>PBH!AY14</f>
        <v>257.3</v>
      </c>
      <c r="H8" s="489">
        <f>PBH!AZ14</f>
        <v>338.4</v>
      </c>
      <c r="I8" s="489">
        <f>PBH!BA14</f>
        <v>309.10000000000002</v>
      </c>
      <c r="J8" s="489">
        <f>PBH!BB14</f>
        <v>315.2</v>
      </c>
      <c r="K8" s="489">
        <f>PBH!BC14</f>
        <v>315.2</v>
      </c>
    </row>
    <row r="9" spans="2:13" ht="11.25" customHeight="1" x14ac:dyDescent="0.25">
      <c r="B9" s="518" t="s">
        <v>97</v>
      </c>
      <c r="C9" s="430" t="s">
        <v>118</v>
      </c>
      <c r="D9" s="584"/>
      <c r="E9" s="584">
        <f t="shared" ref="E9:K9" si="1">E8/E7</f>
        <v>0.10304019587839217</v>
      </c>
      <c r="F9" s="584">
        <f t="shared" si="1"/>
        <v>0.12137266706803131</v>
      </c>
      <c r="G9" s="584">
        <f t="shared" si="1"/>
        <v>0.12936148818501761</v>
      </c>
      <c r="H9" s="584">
        <f t="shared" si="1"/>
        <v>0.13341744204384165</v>
      </c>
      <c r="I9" s="584">
        <f t="shared" si="1"/>
        <v>0.11741244397173897</v>
      </c>
      <c r="J9" s="584">
        <f t="shared" si="1"/>
        <v>0.11775254034668259</v>
      </c>
      <c r="K9" s="584">
        <f t="shared" si="1"/>
        <v>0.1362025754040273</v>
      </c>
    </row>
    <row r="10" spans="2:13" ht="11.25" customHeight="1" x14ac:dyDescent="0.25">
      <c r="B10" s="519" t="s">
        <v>98</v>
      </c>
      <c r="C10" s="478" t="s">
        <v>123</v>
      </c>
      <c r="D10" s="489"/>
      <c r="E10" s="489">
        <f>PBH!AW19</f>
        <v>28.9</v>
      </c>
      <c r="F10" s="489">
        <f>PBH!AX19</f>
        <v>75.099999999999994</v>
      </c>
      <c r="G10" s="489">
        <f>PBH!AY19</f>
        <v>166.1</v>
      </c>
      <c r="H10" s="489">
        <f>PBH!AZ19</f>
        <v>215.4</v>
      </c>
      <c r="I10" s="489">
        <f>PBH!BA19</f>
        <v>211.7</v>
      </c>
      <c r="J10" s="489">
        <f>PBH!BB19</f>
        <v>233.1</v>
      </c>
      <c r="K10" s="489">
        <f>PBH!BC19</f>
        <v>240.6</v>
      </c>
    </row>
    <row r="11" spans="2:13" ht="11.25" customHeight="1" x14ac:dyDescent="0.25">
      <c r="B11" s="518" t="s">
        <v>99</v>
      </c>
      <c r="C11" s="430" t="s">
        <v>118</v>
      </c>
      <c r="D11" s="584"/>
      <c r="E11" s="584">
        <f t="shared" ref="E11:K11" si="2">E10/E7</f>
        <v>5.8967557641297685E-2</v>
      </c>
      <c r="F11" s="584">
        <f t="shared" si="2"/>
        <v>9.0427453341360625E-2</v>
      </c>
      <c r="G11" s="584">
        <f t="shared" si="2"/>
        <v>8.3509301156359975E-2</v>
      </c>
      <c r="H11" s="584">
        <f t="shared" si="2"/>
        <v>8.4923513641381482E-2</v>
      </c>
      <c r="I11" s="584">
        <f t="shared" si="2"/>
        <v>8.0414799057965503E-2</v>
      </c>
      <c r="J11" s="584">
        <f t="shared" si="2"/>
        <v>8.7081589958158984E-2</v>
      </c>
      <c r="K11" s="584">
        <f t="shared" si="2"/>
        <v>0.10396681358568836</v>
      </c>
    </row>
    <row r="12" spans="2:13" ht="11.25" customHeight="1" x14ac:dyDescent="0.25">
      <c r="B12" s="492" t="s">
        <v>100</v>
      </c>
      <c r="C12" s="430" t="s">
        <v>1117</v>
      </c>
      <c r="D12" s="490"/>
      <c r="E12" s="490">
        <f>PBH!AW22/1000</f>
        <v>68.463999999999999</v>
      </c>
      <c r="F12" s="490">
        <f>PBH!AX22/1000</f>
        <v>90.421999999999997</v>
      </c>
      <c r="G12" s="490">
        <f>PBH!AY22/1000</f>
        <v>96.584999999999994</v>
      </c>
      <c r="H12" s="490">
        <f>PBH!AZ22/1000</f>
        <v>239.12100000000001</v>
      </c>
      <c r="I12" s="490">
        <f>PBH!BA22/1000</f>
        <v>238.624</v>
      </c>
      <c r="J12" s="490">
        <f>PBH!BB22/1000</f>
        <v>227.9</v>
      </c>
      <c r="K12" s="490">
        <f>PBH!BC22/1000</f>
        <v>237.4</v>
      </c>
    </row>
    <row r="13" spans="2:13" ht="11.25" customHeight="1" x14ac:dyDescent="0.25">
      <c r="B13" s="518"/>
      <c r="D13" s="490"/>
      <c r="E13" s="490"/>
      <c r="F13" s="490"/>
      <c r="G13" s="490"/>
      <c r="H13" s="490"/>
      <c r="I13" s="490"/>
      <c r="J13" s="490"/>
      <c r="K13" s="490"/>
    </row>
    <row r="14" spans="2:13" ht="11.25" customHeight="1" x14ac:dyDescent="0.25">
      <c r="B14" s="516" t="s">
        <v>1115</v>
      </c>
      <c r="C14" s="477"/>
      <c r="D14" s="430"/>
      <c r="E14" s="430"/>
      <c r="F14" s="430"/>
      <c r="G14" s="430"/>
      <c r="H14" s="430"/>
      <c r="I14" s="430"/>
      <c r="J14" s="430"/>
      <c r="K14" s="430"/>
    </row>
    <row r="15" spans="2:13" ht="11.25" customHeight="1" x14ac:dyDescent="0.25">
      <c r="B15" s="517" t="s">
        <v>143</v>
      </c>
      <c r="C15" s="482"/>
      <c r="D15" s="489"/>
      <c r="E15" s="489"/>
      <c r="F15" s="489"/>
      <c r="G15" s="489"/>
      <c r="H15" s="489"/>
      <c r="I15" s="489"/>
      <c r="J15" s="489"/>
      <c r="K15" s="489"/>
    </row>
    <row r="16" spans="2:13" ht="11.25" customHeight="1" x14ac:dyDescent="0.25">
      <c r="B16" s="518" t="s">
        <v>979</v>
      </c>
      <c r="C16" s="430" t="s">
        <v>123</v>
      </c>
      <c r="D16" s="490">
        <v>9.3819999999999997</v>
      </c>
      <c r="E16" s="490">
        <v>26.337</v>
      </c>
      <c r="F16" s="490">
        <v>68.195000000000007</v>
      </c>
      <c r="G16" s="490">
        <v>150.70000000000002</v>
      </c>
      <c r="H16" s="490">
        <v>195.244</v>
      </c>
      <c r="I16" s="490">
        <v>192.09399999999999</v>
      </c>
      <c r="J16" s="490">
        <v>211.54</v>
      </c>
      <c r="K16" s="490">
        <v>218.47900000000001</v>
      </c>
      <c r="M16" s="490"/>
    </row>
    <row r="17" spans="2:11" ht="11.25" customHeight="1" x14ac:dyDescent="0.25">
      <c r="B17" s="518" t="s">
        <v>978</v>
      </c>
      <c r="C17" s="430" t="s">
        <v>123</v>
      </c>
      <c r="D17" s="490"/>
      <c r="E17" s="490">
        <v>-0.72099999999999997</v>
      </c>
      <c r="F17" s="490">
        <v>6.9779999999999998</v>
      </c>
      <c r="G17" s="490">
        <v>42.308</v>
      </c>
      <c r="H17" s="490">
        <v>98.674000000000007</v>
      </c>
      <c r="I17" s="490">
        <v>172.84399999999999</v>
      </c>
      <c r="J17" s="490"/>
      <c r="K17" s="490"/>
    </row>
    <row r="18" spans="2:11" ht="11.25" customHeight="1" x14ac:dyDescent="0.25">
      <c r="B18" s="518" t="s">
        <v>1148</v>
      </c>
      <c r="C18" s="430" t="s">
        <v>123</v>
      </c>
      <c r="D18" s="490"/>
      <c r="E18" s="490"/>
      <c r="F18" s="490"/>
      <c r="G18" s="490"/>
      <c r="H18" s="490">
        <v>0.17</v>
      </c>
      <c r="I18" s="490">
        <v>18.204000000000001</v>
      </c>
      <c r="J18" s="490">
        <v>33.951999999999998</v>
      </c>
      <c r="K18" s="490">
        <v>42.895000000000003</v>
      </c>
    </row>
    <row r="19" spans="2:11" ht="11.25" customHeight="1" x14ac:dyDescent="0.25">
      <c r="B19" s="519" t="s">
        <v>39</v>
      </c>
      <c r="C19" s="478"/>
      <c r="D19" s="489"/>
      <c r="E19" s="489"/>
      <c r="F19" s="489"/>
      <c r="G19" s="489"/>
      <c r="H19" s="489"/>
      <c r="I19" s="489"/>
      <c r="J19" s="489"/>
      <c r="K19" s="489"/>
    </row>
    <row r="20" spans="2:11" ht="11.25" customHeight="1" x14ac:dyDescent="0.25">
      <c r="B20" s="518" t="s">
        <v>979</v>
      </c>
      <c r="C20" s="430" t="s">
        <v>123</v>
      </c>
      <c r="D20" s="490">
        <v>-4.7110000000000003</v>
      </c>
      <c r="E20" s="490">
        <v>-10.795999999999999</v>
      </c>
      <c r="F20" s="490">
        <v>6.9219999999999997</v>
      </c>
      <c r="G20" s="490">
        <v>9.218</v>
      </c>
      <c r="H20" s="490">
        <v>7.6859999999999999</v>
      </c>
      <c r="I20" s="490">
        <v>5.2000000000000005E-2</v>
      </c>
      <c r="J20" s="490">
        <v>26.847000000000001</v>
      </c>
      <c r="K20" s="490">
        <v>30.080000000000002</v>
      </c>
    </row>
    <row r="21" spans="2:11" ht="11.25" customHeight="1" x14ac:dyDescent="0.25">
      <c r="B21" s="518" t="s">
        <v>978</v>
      </c>
      <c r="C21" s="430" t="s">
        <v>123</v>
      </c>
      <c r="D21" s="490"/>
      <c r="E21" s="490">
        <v>-19.984000000000002</v>
      </c>
      <c r="F21" s="490">
        <v>-38.163000000000004</v>
      </c>
      <c r="G21" s="490">
        <v>-149.577</v>
      </c>
      <c r="H21" s="490">
        <v>-197.44499999999999</v>
      </c>
      <c r="I21" s="490">
        <v>-186.114</v>
      </c>
      <c r="J21" s="490"/>
      <c r="K21" s="490"/>
    </row>
    <row r="22" spans="2:11" ht="11.25" customHeight="1" x14ac:dyDescent="0.25">
      <c r="B22" s="518" t="s">
        <v>1148</v>
      </c>
      <c r="C22" s="430" t="s">
        <v>123</v>
      </c>
      <c r="D22" s="490"/>
      <c r="E22" s="490"/>
      <c r="F22" s="490"/>
      <c r="G22" s="490"/>
      <c r="H22" s="490">
        <v>-15.637</v>
      </c>
      <c r="I22" s="490">
        <v>-35.817999999999998</v>
      </c>
      <c r="J22" s="490">
        <v>-19.741</v>
      </c>
      <c r="K22" s="490">
        <v>-15.082000000000001</v>
      </c>
    </row>
    <row r="23" spans="2:11" ht="11.25" customHeight="1" x14ac:dyDescent="0.25">
      <c r="B23" s="518"/>
      <c r="D23" s="490"/>
      <c r="E23" s="490"/>
      <c r="F23" s="490"/>
      <c r="G23" s="490"/>
      <c r="H23" s="490"/>
      <c r="I23" s="490"/>
      <c r="J23" s="490"/>
      <c r="K23" s="490"/>
    </row>
    <row r="24" spans="2:11" ht="11.25" customHeight="1" x14ac:dyDescent="0.25">
      <c r="B24" s="516" t="s">
        <v>1080</v>
      </c>
      <c r="C24" s="477"/>
      <c r="D24" s="430"/>
      <c r="E24" s="430"/>
      <c r="F24" s="430"/>
      <c r="G24" s="430"/>
      <c r="H24" s="430"/>
      <c r="I24" s="430"/>
      <c r="J24" s="430"/>
      <c r="K24" s="430"/>
    </row>
    <row r="25" spans="2:11" s="34" customFormat="1" ht="11.25" customHeight="1" x14ac:dyDescent="0.25">
      <c r="B25" s="517" t="s">
        <v>143</v>
      </c>
      <c r="C25" s="482" t="s">
        <v>123</v>
      </c>
      <c r="D25" s="489">
        <v>9.3819999999999997</v>
      </c>
      <c r="E25" s="489">
        <v>25.615000000000002</v>
      </c>
      <c r="F25" s="489">
        <v>75.173000000000002</v>
      </c>
      <c r="G25" s="489">
        <v>194.65800000000002</v>
      </c>
      <c r="H25" s="489">
        <v>296.483</v>
      </c>
      <c r="I25" s="489">
        <v>210.298</v>
      </c>
      <c r="J25" s="489">
        <v>245.49200000000002</v>
      </c>
      <c r="K25" s="489">
        <v>261.37400000000002</v>
      </c>
    </row>
    <row r="26" spans="2:11" ht="11.25" customHeight="1" x14ac:dyDescent="0.25">
      <c r="B26" s="518" t="s">
        <v>740</v>
      </c>
      <c r="C26" s="430" t="s">
        <v>123</v>
      </c>
      <c r="D26" s="490">
        <v>-4.3230000000000004</v>
      </c>
      <c r="E26" s="490">
        <v>-14.761000000000001</v>
      </c>
      <c r="F26" s="490">
        <v>-36.923999999999999</v>
      </c>
      <c r="G26" s="490">
        <v>-107.02500000000001</v>
      </c>
      <c r="H26" s="490">
        <v>-174.898</v>
      </c>
      <c r="I26" s="490">
        <v>-104.595</v>
      </c>
      <c r="J26" s="490">
        <v>-115.917</v>
      </c>
      <c r="K26" s="490">
        <v>-124.358</v>
      </c>
    </row>
    <row r="27" spans="2:11" s="34" customFormat="1" ht="11.25" customHeight="1" x14ac:dyDescent="0.25">
      <c r="B27" s="519" t="s">
        <v>37</v>
      </c>
      <c r="C27" s="478" t="s">
        <v>123</v>
      </c>
      <c r="D27" s="489">
        <v>5.0590000000000002</v>
      </c>
      <c r="E27" s="489">
        <v>10.854000000000001</v>
      </c>
      <c r="F27" s="489">
        <v>38.249000000000002</v>
      </c>
      <c r="G27" s="489">
        <v>87.632999999999996</v>
      </c>
      <c r="H27" s="489">
        <v>121.58500000000001</v>
      </c>
      <c r="I27" s="489">
        <v>105.703</v>
      </c>
      <c r="J27" s="489">
        <v>129.57499999999999</v>
      </c>
      <c r="K27" s="489">
        <v>137.01599999999999</v>
      </c>
    </row>
    <row r="28" spans="2:11" ht="11.25" customHeight="1" x14ac:dyDescent="0.25">
      <c r="B28" s="518" t="s">
        <v>1191</v>
      </c>
      <c r="C28" s="430" t="s">
        <v>123</v>
      </c>
      <c r="D28" s="490">
        <v>-6.1879999999999997</v>
      </c>
      <c r="E28" s="490">
        <v>-24.919</v>
      </c>
      <c r="F28" s="490">
        <v>-35.372999999999998</v>
      </c>
      <c r="G28" s="490">
        <v>-170.66300000000001</v>
      </c>
      <c r="H28" s="490">
        <v>-236.79900000000001</v>
      </c>
      <c r="I28" s="490">
        <v>-90.332999999999998</v>
      </c>
      <c r="J28" s="490">
        <v>-70.965000000000003</v>
      </c>
      <c r="K28" s="490">
        <v>-62.545000000000002</v>
      </c>
    </row>
    <row r="29" spans="2:11" ht="11.25" customHeight="1" x14ac:dyDescent="0.25">
      <c r="B29" s="518" t="s">
        <v>269</v>
      </c>
      <c r="C29" s="430" t="s">
        <v>123</v>
      </c>
      <c r="D29" s="490">
        <f>D30-D27-D28</f>
        <v>-5.1970000000000018</v>
      </c>
      <c r="E29" s="490">
        <f t="shared" ref="E29:K29" si="3">E30-E27-E28</f>
        <v>-23.104000000000003</v>
      </c>
      <c r="F29" s="490">
        <f t="shared" si="3"/>
        <v>-42.585000000000001</v>
      </c>
      <c r="G29" s="490">
        <f t="shared" si="3"/>
        <v>-79.293000000000006</v>
      </c>
      <c r="H29" s="490">
        <f t="shared" si="3"/>
        <v>-134.78600000000003</v>
      </c>
      <c r="I29" s="490">
        <f t="shared" si="3"/>
        <v>-258.43500000000006</v>
      </c>
      <c r="J29" s="490">
        <f t="shared" si="3"/>
        <v>-62.027999999999992</v>
      </c>
      <c r="K29" s="490">
        <f t="shared" si="3"/>
        <v>-70.245999999999995</v>
      </c>
    </row>
    <row r="30" spans="2:11" s="34" customFormat="1" ht="11.25" customHeight="1" x14ac:dyDescent="0.25">
      <c r="B30" s="519" t="s">
        <v>1097</v>
      </c>
      <c r="C30" s="478" t="s">
        <v>123</v>
      </c>
      <c r="D30" s="489">
        <v>-6.3260000000000005</v>
      </c>
      <c r="E30" s="489">
        <v>-37.169000000000004</v>
      </c>
      <c r="F30" s="489">
        <v>-39.709000000000003</v>
      </c>
      <c r="G30" s="489">
        <v>-162.32300000000001</v>
      </c>
      <c r="H30" s="489">
        <v>-250</v>
      </c>
      <c r="I30" s="489">
        <v>-243.065</v>
      </c>
      <c r="J30" s="489">
        <v>-3.4180000000000001</v>
      </c>
      <c r="K30" s="489">
        <v>4.2249999999999996</v>
      </c>
    </row>
    <row r="31" spans="2:11" s="34" customFormat="1" ht="11.25" customHeight="1" x14ac:dyDescent="0.25">
      <c r="B31" s="519" t="s">
        <v>1098</v>
      </c>
      <c r="C31" s="478" t="s">
        <v>123</v>
      </c>
      <c r="D31" s="489">
        <v>-6.6580000000000004</v>
      </c>
      <c r="E31" s="489">
        <v>-41.886000000000003</v>
      </c>
      <c r="F31" s="489">
        <v>-41.463999999999999</v>
      </c>
      <c r="G31" s="489">
        <v>-187.131</v>
      </c>
      <c r="H31" s="489">
        <v>-267.68900000000002</v>
      </c>
      <c r="I31" s="489">
        <v>-276.31299999999999</v>
      </c>
      <c r="J31" s="489">
        <v>-42.317999999999998</v>
      </c>
      <c r="K31" s="489">
        <v>-18.152999999999999</v>
      </c>
    </row>
    <row r="32" spans="2:11" ht="11.25" customHeight="1" x14ac:dyDescent="0.25">
      <c r="B32" s="493"/>
      <c r="C32" s="478"/>
      <c r="D32" s="433"/>
      <c r="E32" s="433"/>
      <c r="F32" s="433"/>
      <c r="G32" s="433"/>
      <c r="H32" s="433"/>
      <c r="I32" s="433"/>
      <c r="J32" s="433"/>
      <c r="K32" s="433"/>
    </row>
    <row r="33" spans="2:11" ht="11.25" customHeight="1" x14ac:dyDescent="0.25">
      <c r="B33" s="516" t="s">
        <v>1076</v>
      </c>
      <c r="C33" s="478"/>
      <c r="D33" s="433"/>
      <c r="E33" s="433"/>
      <c r="F33" s="433"/>
      <c r="G33" s="433"/>
      <c r="H33" s="433"/>
      <c r="I33" s="433"/>
      <c r="J33" s="433"/>
      <c r="K33" s="433"/>
    </row>
    <row r="34" spans="2:11" ht="11.25" customHeight="1" x14ac:dyDescent="0.25">
      <c r="B34" s="492" t="s">
        <v>1073</v>
      </c>
      <c r="C34" s="430" t="s">
        <v>118</v>
      </c>
      <c r="D34" s="440">
        <f t="shared" ref="D34:K34" si="4">D26/D25</f>
        <v>-0.46077595395438081</v>
      </c>
      <c r="E34" s="440">
        <f t="shared" si="4"/>
        <v>-0.57626390786648451</v>
      </c>
      <c r="F34" s="440">
        <f t="shared" si="4"/>
        <v>-0.49118699533077032</v>
      </c>
      <c r="G34" s="440">
        <f t="shared" si="4"/>
        <v>-0.54981043676602037</v>
      </c>
      <c r="H34" s="440">
        <f t="shared" si="4"/>
        <v>-0.58990903357022151</v>
      </c>
      <c r="I34" s="440">
        <f t="shared" si="4"/>
        <v>-0.49736564303987674</v>
      </c>
      <c r="J34" s="440">
        <f t="shared" si="4"/>
        <v>-0.47218239290893388</v>
      </c>
      <c r="K34" s="440">
        <f t="shared" si="4"/>
        <v>-0.47578565580356114</v>
      </c>
    </row>
    <row r="35" spans="2:11" ht="11.25" customHeight="1" x14ac:dyDescent="0.25">
      <c r="B35" s="492" t="s">
        <v>1079</v>
      </c>
      <c r="C35" s="430" t="s">
        <v>118</v>
      </c>
      <c r="D35" s="440">
        <f t="shared" ref="D35:K35" si="5">D28/D25</f>
        <v>-0.65956086122361968</v>
      </c>
      <c r="E35" s="440">
        <f t="shared" si="5"/>
        <v>-0.97282842084715981</v>
      </c>
      <c r="F35" s="440">
        <f t="shared" si="5"/>
        <v>-0.47055458741835493</v>
      </c>
      <c r="G35" s="440">
        <f t="shared" si="5"/>
        <v>-0.87673252576313332</v>
      </c>
      <c r="H35" s="440">
        <f t="shared" si="5"/>
        <v>-0.79869334835386852</v>
      </c>
      <c r="I35" s="440">
        <f t="shared" si="5"/>
        <v>-0.42954759436609002</v>
      </c>
      <c r="J35" s="440">
        <f t="shared" si="5"/>
        <v>-0.289072556335848</v>
      </c>
      <c r="K35" s="440">
        <f t="shared" si="5"/>
        <v>-0.23929312020323368</v>
      </c>
    </row>
    <row r="36" spans="2:11" ht="11.25" customHeight="1" x14ac:dyDescent="0.25">
      <c r="B36" s="492" t="s">
        <v>1096</v>
      </c>
      <c r="C36" s="430" t="s">
        <v>118</v>
      </c>
      <c r="D36" s="440">
        <f t="shared" ref="D36:K36" si="6">D30/D25</f>
        <v>-0.67426987849072695</v>
      </c>
      <c r="E36" s="440">
        <f t="shared" si="6"/>
        <v>-1.451063829787234</v>
      </c>
      <c r="F36" s="440">
        <f t="shared" si="6"/>
        <v>-0.52823487156292825</v>
      </c>
      <c r="G36" s="440">
        <f t="shared" si="6"/>
        <v>-0.83388815255473703</v>
      </c>
      <c r="H36" s="440">
        <f t="shared" si="6"/>
        <v>-0.84321866683755897</v>
      </c>
      <c r="I36" s="440">
        <f t="shared" si="6"/>
        <v>-1.1558122283616581</v>
      </c>
      <c r="J36" s="440">
        <f t="shared" si="6"/>
        <v>-1.3923060629266942E-2</v>
      </c>
      <c r="K36" s="440">
        <f t="shared" si="6"/>
        <v>1.6164576430708483E-2</v>
      </c>
    </row>
    <row r="37" spans="2:11" ht="11.25" customHeight="1" x14ac:dyDescent="0.25">
      <c r="B37" s="492" t="s">
        <v>1095</v>
      </c>
      <c r="C37" s="430" t="s">
        <v>118</v>
      </c>
      <c r="D37" s="440">
        <f t="shared" ref="D37:K37" si="7">D31/D25</f>
        <v>-0.70965678959710088</v>
      </c>
      <c r="E37" s="440">
        <f t="shared" si="7"/>
        <v>-1.6352137419480772</v>
      </c>
      <c r="F37" s="440">
        <f t="shared" si="7"/>
        <v>-0.55158101978103835</v>
      </c>
      <c r="G37" s="440">
        <f t="shared" si="7"/>
        <v>-0.96133218259717035</v>
      </c>
      <c r="H37" s="440">
        <f t="shared" si="7"/>
        <v>-0.90288144682831739</v>
      </c>
      <c r="I37" s="440">
        <f t="shared" si="7"/>
        <v>-1.3139116872247951</v>
      </c>
      <c r="J37" s="440">
        <f t="shared" si="7"/>
        <v>-0.17238036270021018</v>
      </c>
      <c r="K37" s="440">
        <f t="shared" si="7"/>
        <v>-6.9452202590923343E-2</v>
      </c>
    </row>
    <row r="39" spans="2:11" ht="11.25" customHeight="1" x14ac:dyDescent="0.25">
      <c r="B39" s="690"/>
      <c r="C39" s="691"/>
      <c r="D39" s="691"/>
      <c r="E39" s="691"/>
      <c r="F39" s="691"/>
      <c r="G39" s="691"/>
      <c r="H39" s="691"/>
      <c r="I39" s="691"/>
      <c r="J39" s="691"/>
    </row>
    <row r="40" spans="2:11" ht="11.25" customHeight="1" x14ac:dyDescent="0.25">
      <c r="B40" s="600"/>
      <c r="C40" s="590"/>
      <c r="D40" s="590"/>
      <c r="E40" s="590"/>
      <c r="F40" s="590"/>
      <c r="G40" s="590"/>
      <c r="H40" s="601"/>
      <c r="I40" s="590"/>
      <c r="J40" s="590"/>
    </row>
    <row r="41" spans="2:11" ht="11.25" customHeight="1" x14ac:dyDescent="0.25">
      <c r="B41"/>
      <c r="C41"/>
      <c r="D41"/>
      <c r="E41"/>
      <c r="F41"/>
      <c r="G41"/>
      <c r="H41"/>
      <c r="I41"/>
      <c r="J41"/>
    </row>
    <row r="42" spans="2:11" ht="11.25" customHeight="1" x14ac:dyDescent="0.25">
      <c r="B42" s="690"/>
      <c r="C42" s="691"/>
      <c r="D42" s="691"/>
      <c r="E42" s="691"/>
      <c r="F42" s="691"/>
      <c r="G42" s="691"/>
      <c r="H42" s="691"/>
      <c r="I42" s="691"/>
      <c r="J42" s="691"/>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5F56-D706-4680-B5B3-744A2955F932}">
  <dimension ref="A1:I111"/>
  <sheetViews>
    <sheetView topLeftCell="A82" workbookViewId="0">
      <selection activeCell="F104" sqref="F104"/>
    </sheetView>
  </sheetViews>
  <sheetFormatPr defaultColWidth="8.7109375" defaultRowHeight="15" x14ac:dyDescent="0.25"/>
  <cols>
    <col min="1" max="1" width="50" customWidth="1"/>
    <col min="2" max="9" width="10.5703125" customWidth="1"/>
  </cols>
  <sheetData>
    <row r="1" spans="1:9" ht="15.75" x14ac:dyDescent="0.25">
      <c r="A1" s="695" t="s">
        <v>1192</v>
      </c>
      <c r="B1" s="695"/>
      <c r="C1" s="695"/>
      <c r="D1" s="695"/>
      <c r="E1" s="695"/>
      <c r="F1" s="695"/>
      <c r="G1" s="695"/>
      <c r="H1" s="695"/>
      <c r="I1" s="695"/>
    </row>
    <row r="2" spans="1:9" x14ac:dyDescent="0.25">
      <c r="A2" s="696" t="s">
        <v>1193</v>
      </c>
      <c r="B2" s="696"/>
      <c r="C2" s="696"/>
      <c r="D2" s="696"/>
      <c r="E2" s="696"/>
      <c r="F2" s="696"/>
      <c r="G2" s="696"/>
      <c r="H2" s="696"/>
      <c r="I2" s="696"/>
    </row>
    <row r="4" spans="1:9" x14ac:dyDescent="0.25">
      <c r="A4" s="586" t="s">
        <v>1119</v>
      </c>
      <c r="B4" s="587"/>
      <c r="C4" s="587"/>
      <c r="D4" s="587"/>
      <c r="E4" s="587"/>
      <c r="F4" s="587"/>
      <c r="G4" s="587"/>
      <c r="H4" s="587"/>
      <c r="I4" s="587"/>
    </row>
    <row r="5" spans="1:9" x14ac:dyDescent="0.25">
      <c r="A5" s="549" t="s">
        <v>1120</v>
      </c>
      <c r="B5" s="588" t="s">
        <v>167</v>
      </c>
      <c r="C5" s="588" t="s">
        <v>168</v>
      </c>
      <c r="D5" s="588" t="s">
        <v>169</v>
      </c>
      <c r="E5" s="588" t="s">
        <v>170</v>
      </c>
      <c r="F5" s="588" t="s">
        <v>171</v>
      </c>
      <c r="G5" s="588" t="s">
        <v>172</v>
      </c>
      <c r="H5" s="588" t="s">
        <v>173</v>
      </c>
      <c r="I5" s="588" t="s">
        <v>174</v>
      </c>
    </row>
    <row r="6" spans="1:9" x14ac:dyDescent="0.25">
      <c r="A6" s="585" t="s">
        <v>1121</v>
      </c>
      <c r="B6" s="589" t="s">
        <v>1194</v>
      </c>
      <c r="C6" s="589" t="s">
        <v>1122</v>
      </c>
      <c r="D6" s="589" t="s">
        <v>1123</v>
      </c>
      <c r="E6" s="589" t="s">
        <v>1124</v>
      </c>
      <c r="F6" s="589" t="s">
        <v>1125</v>
      </c>
      <c r="G6" s="589" t="s">
        <v>1126</v>
      </c>
      <c r="H6" s="589" t="s">
        <v>1127</v>
      </c>
      <c r="I6" s="589" t="s">
        <v>1128</v>
      </c>
    </row>
    <row r="7" spans="1:9" x14ac:dyDescent="0.25">
      <c r="A7" s="548" t="s">
        <v>1129</v>
      </c>
      <c r="B7" s="545">
        <v>9382</v>
      </c>
      <c r="C7" s="545">
        <v>26337</v>
      </c>
      <c r="D7" s="545">
        <v>68195</v>
      </c>
      <c r="E7" s="545">
        <v>150700</v>
      </c>
      <c r="F7" s="545">
        <v>195244</v>
      </c>
      <c r="G7" s="545">
        <v>192094</v>
      </c>
      <c r="H7" s="545">
        <v>211540</v>
      </c>
      <c r="I7" s="545">
        <v>218479</v>
      </c>
    </row>
    <row r="8" spans="1:9" x14ac:dyDescent="0.25">
      <c r="A8" s="548" t="s">
        <v>1130</v>
      </c>
      <c r="B8" s="590"/>
      <c r="C8" s="590"/>
      <c r="D8" s="590"/>
      <c r="E8" s="590"/>
      <c r="F8" s="590"/>
      <c r="G8" s="590"/>
      <c r="H8" s="590"/>
      <c r="I8" s="590"/>
    </row>
    <row r="9" spans="1:9" x14ac:dyDescent="0.25">
      <c r="A9" s="548" t="s">
        <v>1131</v>
      </c>
      <c r="B9" s="590"/>
      <c r="C9" s="545">
        <v>-721</v>
      </c>
      <c r="D9" s="545">
        <v>6978</v>
      </c>
      <c r="E9" s="545">
        <v>42308</v>
      </c>
      <c r="F9" s="545">
        <v>98674</v>
      </c>
      <c r="G9" s="545">
        <v>172844</v>
      </c>
      <c r="H9" s="590"/>
      <c r="I9" s="590"/>
    </row>
    <row r="10" spans="1:9" x14ac:dyDescent="0.25">
      <c r="A10" s="548" t="s">
        <v>1195</v>
      </c>
      <c r="B10" s="590"/>
      <c r="C10" s="590"/>
      <c r="D10" s="590"/>
      <c r="E10" s="590"/>
      <c r="F10" s="590"/>
      <c r="G10" s="590"/>
      <c r="H10" s="590"/>
      <c r="I10" s="590"/>
    </row>
    <row r="11" spans="1:9" x14ac:dyDescent="0.25">
      <c r="A11" s="548" t="s">
        <v>1196</v>
      </c>
      <c r="B11" s="590"/>
      <c r="C11" s="590"/>
      <c r="D11" s="590"/>
      <c r="E11" s="590"/>
      <c r="F11" s="590"/>
      <c r="G11" s="590"/>
      <c r="H11" s="590"/>
      <c r="I11" s="590"/>
    </row>
    <row r="12" spans="1:9" x14ac:dyDescent="0.25">
      <c r="A12" s="548" t="s">
        <v>1132</v>
      </c>
      <c r="B12" s="590"/>
      <c r="C12" s="590"/>
      <c r="D12" s="590"/>
      <c r="E12" s="590"/>
      <c r="F12" s="545">
        <v>170</v>
      </c>
      <c r="G12" s="545">
        <v>18204</v>
      </c>
      <c r="H12" s="545">
        <v>33952</v>
      </c>
      <c r="I12" s="545">
        <v>42895</v>
      </c>
    </row>
    <row r="13" spans="1:9" x14ac:dyDescent="0.25">
      <c r="A13" s="548" t="s">
        <v>1197</v>
      </c>
      <c r="B13" s="590"/>
      <c r="C13" s="590"/>
      <c r="D13" s="590"/>
      <c r="E13" s="590"/>
      <c r="F13" s="590"/>
      <c r="G13" s="590"/>
      <c r="H13" s="590"/>
      <c r="I13" s="590"/>
    </row>
    <row r="14" spans="1:9" x14ac:dyDescent="0.25">
      <c r="A14" s="548" t="s">
        <v>1198</v>
      </c>
      <c r="B14" s="590"/>
      <c r="C14" s="590"/>
      <c r="D14" s="590"/>
      <c r="E14" s="590"/>
      <c r="F14" s="590"/>
      <c r="G14" s="590"/>
      <c r="H14" s="590"/>
      <c r="I14" s="590"/>
    </row>
    <row r="15" spans="1:9" x14ac:dyDescent="0.25">
      <c r="A15" s="548" t="s">
        <v>1133</v>
      </c>
      <c r="B15" s="590"/>
      <c r="C15" s="590"/>
      <c r="D15" s="590"/>
      <c r="E15" s="545">
        <v>1649</v>
      </c>
      <c r="F15" s="545">
        <v>2395</v>
      </c>
      <c r="G15" s="590"/>
      <c r="H15" s="590"/>
      <c r="I15" s="590"/>
    </row>
    <row r="16" spans="1:9" x14ac:dyDescent="0.25">
      <c r="A16" s="549" t="s">
        <v>1134</v>
      </c>
      <c r="B16" s="546">
        <v>9382</v>
      </c>
      <c r="C16" s="546">
        <v>25615</v>
      </c>
      <c r="D16" s="546">
        <v>75173</v>
      </c>
      <c r="E16" s="546">
        <v>194658</v>
      </c>
      <c r="F16" s="546">
        <v>296483</v>
      </c>
      <c r="G16" s="546">
        <v>210298</v>
      </c>
      <c r="H16" s="546">
        <v>245492</v>
      </c>
      <c r="I16" s="546">
        <v>261374</v>
      </c>
    </row>
    <row r="17" spans="1:9" x14ac:dyDescent="0.25">
      <c r="A17" s="548" t="s">
        <v>1135</v>
      </c>
      <c r="B17" s="590"/>
      <c r="C17" s="590"/>
      <c r="D17" s="590"/>
      <c r="E17" s="590"/>
      <c r="F17" s="590"/>
      <c r="G17" s="545">
        <v>383142</v>
      </c>
      <c r="H17" s="590"/>
      <c r="I17" s="590"/>
    </row>
    <row r="18" spans="1:9" ht="15" customHeight="1" x14ac:dyDescent="0.25">
      <c r="A18" s="694" t="s">
        <v>1199</v>
      </c>
      <c r="B18" s="694"/>
      <c r="C18" s="694"/>
      <c r="D18" s="694"/>
      <c r="E18" s="694"/>
      <c r="F18" s="694"/>
      <c r="G18" s="694"/>
      <c r="H18" s="694"/>
      <c r="I18" s="694"/>
    </row>
    <row r="19" spans="1:9" x14ac:dyDescent="0.25">
      <c r="A19" s="694"/>
      <c r="B19" s="694"/>
      <c r="C19" s="694"/>
      <c r="D19" s="694"/>
      <c r="E19" s="694"/>
      <c r="F19" s="694"/>
      <c r="G19" s="694"/>
      <c r="H19" s="694"/>
      <c r="I19" s="694"/>
    </row>
    <row r="21" spans="1:9" x14ac:dyDescent="0.25">
      <c r="A21" s="586" t="s">
        <v>1136</v>
      </c>
      <c r="B21" s="587"/>
      <c r="C21" s="587"/>
      <c r="D21" s="587"/>
      <c r="E21" s="587"/>
      <c r="F21" s="587"/>
      <c r="G21" s="587"/>
      <c r="H21" s="587"/>
      <c r="I21" s="587"/>
    </row>
    <row r="22" spans="1:9" x14ac:dyDescent="0.25">
      <c r="A22" s="549" t="s">
        <v>1137</v>
      </c>
      <c r="B22" s="588" t="s">
        <v>167</v>
      </c>
      <c r="C22" s="588" t="s">
        <v>168</v>
      </c>
      <c r="D22" s="588" t="s">
        <v>169</v>
      </c>
      <c r="E22" s="588" t="s">
        <v>170</v>
      </c>
      <c r="F22" s="588" t="s">
        <v>171</v>
      </c>
      <c r="G22" s="588" t="s">
        <v>172</v>
      </c>
      <c r="H22" s="588" t="s">
        <v>173</v>
      </c>
      <c r="I22" s="588" t="s">
        <v>174</v>
      </c>
    </row>
    <row r="23" spans="1:9" x14ac:dyDescent="0.25">
      <c r="A23" s="585" t="s">
        <v>1121</v>
      </c>
      <c r="B23" s="589" t="s">
        <v>1194</v>
      </c>
      <c r="C23" s="589" t="s">
        <v>1122</v>
      </c>
      <c r="D23" s="589" t="s">
        <v>1123</v>
      </c>
      <c r="E23" s="589" t="s">
        <v>1124</v>
      </c>
      <c r="F23" s="589" t="s">
        <v>1125</v>
      </c>
      <c r="G23" s="589" t="s">
        <v>1126</v>
      </c>
      <c r="H23" s="589" t="s">
        <v>1127</v>
      </c>
      <c r="I23" s="589" t="s">
        <v>1128</v>
      </c>
    </row>
    <row r="24" spans="1:9" x14ac:dyDescent="0.25">
      <c r="A24" s="548" t="s">
        <v>1129</v>
      </c>
      <c r="B24" s="590"/>
      <c r="C24" s="590"/>
      <c r="D24" s="591">
        <v>75.099999999999994</v>
      </c>
      <c r="E24" s="591">
        <v>166.1</v>
      </c>
      <c r="F24" s="591">
        <v>215.4</v>
      </c>
      <c r="G24" s="591">
        <v>211.7</v>
      </c>
      <c r="H24" s="591">
        <v>233.1</v>
      </c>
      <c r="I24" s="591">
        <v>240.6</v>
      </c>
    </row>
    <row r="25" spans="1:9" x14ac:dyDescent="0.25">
      <c r="A25" s="548" t="s">
        <v>1138</v>
      </c>
      <c r="B25" s="590"/>
      <c r="C25" s="590"/>
      <c r="D25" s="590"/>
      <c r="E25" s="590"/>
      <c r="F25" s="590"/>
      <c r="G25" s="590"/>
      <c r="H25" s="590"/>
      <c r="I25" s="590"/>
    </row>
    <row r="26" spans="1:9" x14ac:dyDescent="0.25">
      <c r="A26" s="548" t="s">
        <v>1139</v>
      </c>
      <c r="B26" s="590"/>
      <c r="C26" s="590"/>
      <c r="D26" s="591">
        <v>7</v>
      </c>
      <c r="E26" s="591">
        <v>40.9</v>
      </c>
      <c r="F26" s="591">
        <v>74.099999999999994</v>
      </c>
      <c r="G26" s="591">
        <v>117.3</v>
      </c>
      <c r="H26" s="590"/>
      <c r="I26" s="590"/>
    </row>
    <row r="27" spans="1:9" x14ac:dyDescent="0.25">
      <c r="A27" s="548" t="s">
        <v>1140</v>
      </c>
      <c r="B27" s="590"/>
      <c r="C27" s="590"/>
      <c r="D27" s="590"/>
      <c r="E27" s="591">
        <v>1.5</v>
      </c>
      <c r="F27" s="591">
        <v>19.7</v>
      </c>
      <c r="G27" s="591">
        <v>43.8</v>
      </c>
      <c r="H27" s="590"/>
      <c r="I27" s="590"/>
    </row>
    <row r="28" spans="1:9" x14ac:dyDescent="0.25">
      <c r="A28" s="548" t="s">
        <v>1141</v>
      </c>
      <c r="B28" s="590"/>
      <c r="C28" s="590"/>
      <c r="D28" s="590"/>
      <c r="E28" s="590"/>
      <c r="F28" s="591">
        <v>-0.5</v>
      </c>
      <c r="G28" s="591">
        <v>6.8</v>
      </c>
      <c r="H28" s="591">
        <v>15.2</v>
      </c>
      <c r="I28" s="591">
        <v>17</v>
      </c>
    </row>
    <row r="29" spans="1:9" x14ac:dyDescent="0.25">
      <c r="A29" s="548" t="s">
        <v>1142</v>
      </c>
      <c r="B29" s="590"/>
      <c r="C29" s="590"/>
      <c r="D29" s="590"/>
      <c r="E29" s="590"/>
      <c r="F29" s="591">
        <v>0.7</v>
      </c>
      <c r="G29" s="591">
        <v>11.5</v>
      </c>
      <c r="H29" s="591">
        <v>18.8</v>
      </c>
      <c r="I29" s="591">
        <v>26</v>
      </c>
    </row>
    <row r="30" spans="1:9" x14ac:dyDescent="0.25">
      <c r="A30" s="549" t="s">
        <v>1143</v>
      </c>
      <c r="B30" s="592"/>
      <c r="C30" s="592"/>
      <c r="D30" s="593">
        <v>82.1</v>
      </c>
      <c r="E30" s="593">
        <v>207</v>
      </c>
      <c r="F30" s="593">
        <v>289.10000000000002</v>
      </c>
      <c r="G30" s="593">
        <v>335.8</v>
      </c>
      <c r="H30" s="593">
        <v>248.3</v>
      </c>
      <c r="I30" s="593">
        <v>257.60000000000002</v>
      </c>
    </row>
    <row r="31" spans="1:9" ht="15.75" thickBot="1" x14ac:dyDescent="0.3">
      <c r="A31" s="549" t="s">
        <v>1144</v>
      </c>
      <c r="B31" s="590"/>
      <c r="C31" s="590"/>
      <c r="D31" s="590"/>
      <c r="E31" s="594">
        <v>1.5</v>
      </c>
      <c r="F31" s="594">
        <v>20.399999999999999</v>
      </c>
      <c r="G31" s="594">
        <v>55.3</v>
      </c>
      <c r="H31" s="594">
        <v>18.8</v>
      </c>
      <c r="I31" s="594">
        <v>26</v>
      </c>
    </row>
    <row r="32" spans="1:9" ht="15.75" thickTop="1" x14ac:dyDescent="0.25">
      <c r="A32" s="549" t="s">
        <v>1145</v>
      </c>
      <c r="B32" s="595"/>
      <c r="C32" s="595"/>
      <c r="D32" s="596">
        <v>82.1</v>
      </c>
      <c r="E32" s="596">
        <v>208.5</v>
      </c>
      <c r="F32" s="596">
        <v>309.39999999999998</v>
      </c>
      <c r="G32" s="596">
        <v>391.1</v>
      </c>
      <c r="H32" s="596">
        <v>267.10000000000002</v>
      </c>
      <c r="I32" s="596">
        <v>283.60000000000002</v>
      </c>
    </row>
    <row r="33" spans="1:9" ht="15" customHeight="1" x14ac:dyDescent="0.25">
      <c r="A33" s="694" t="s">
        <v>1200</v>
      </c>
      <c r="B33" s="694"/>
      <c r="C33" s="694"/>
      <c r="D33" s="694"/>
      <c r="E33" s="694"/>
      <c r="F33" s="694"/>
      <c r="G33" s="694"/>
      <c r="H33" s="694"/>
      <c r="I33" s="694"/>
    </row>
    <row r="34" spans="1:9" x14ac:dyDescent="0.25">
      <c r="A34" s="694"/>
      <c r="B34" s="694"/>
      <c r="C34" s="694"/>
      <c r="D34" s="694"/>
      <c r="E34" s="694"/>
      <c r="F34" s="694"/>
      <c r="G34" s="694"/>
      <c r="H34" s="694"/>
      <c r="I34" s="694"/>
    </row>
    <row r="35" spans="1:9" x14ac:dyDescent="0.25">
      <c r="A35" s="694"/>
      <c r="B35" s="694"/>
      <c r="C35" s="694"/>
      <c r="D35" s="694"/>
      <c r="E35" s="694"/>
      <c r="F35" s="694"/>
      <c r="G35" s="694"/>
      <c r="H35" s="694"/>
      <c r="I35" s="694"/>
    </row>
    <row r="36" spans="1:9" x14ac:dyDescent="0.25">
      <c r="A36" s="586" t="s">
        <v>1146</v>
      </c>
      <c r="B36" s="587"/>
      <c r="C36" s="587"/>
      <c r="D36" s="587"/>
      <c r="E36" s="587"/>
      <c r="F36" s="587"/>
      <c r="G36" s="587"/>
      <c r="H36" s="587"/>
      <c r="I36" s="587"/>
    </row>
    <row r="37" spans="1:9" x14ac:dyDescent="0.25">
      <c r="A37" s="549" t="s">
        <v>1120</v>
      </c>
      <c r="B37" s="588" t="s">
        <v>167</v>
      </c>
      <c r="C37" s="588" t="s">
        <v>168</v>
      </c>
      <c r="D37" s="588" t="s">
        <v>169</v>
      </c>
      <c r="E37" s="588" t="s">
        <v>170</v>
      </c>
      <c r="F37" s="588" t="s">
        <v>171</v>
      </c>
      <c r="G37" s="588" t="s">
        <v>172</v>
      </c>
      <c r="H37" s="588" t="s">
        <v>173</v>
      </c>
      <c r="I37" s="588" t="s">
        <v>174</v>
      </c>
    </row>
    <row r="38" spans="1:9" x14ac:dyDescent="0.25">
      <c r="A38" s="585" t="s">
        <v>1121</v>
      </c>
      <c r="B38" s="589" t="s">
        <v>1194</v>
      </c>
      <c r="C38" s="589" t="s">
        <v>1122</v>
      </c>
      <c r="D38" s="589" t="s">
        <v>1123</v>
      </c>
      <c r="E38" s="589" t="s">
        <v>1124</v>
      </c>
      <c r="F38" s="589" t="s">
        <v>1125</v>
      </c>
      <c r="G38" s="589" t="s">
        <v>1126</v>
      </c>
      <c r="H38" s="589" t="s">
        <v>1127</v>
      </c>
      <c r="I38" s="589" t="s">
        <v>1128</v>
      </c>
    </row>
    <row r="39" spans="1:9" x14ac:dyDescent="0.25">
      <c r="A39" s="548" t="s">
        <v>979</v>
      </c>
      <c r="B39" s="545">
        <v>-4711</v>
      </c>
      <c r="C39" s="545">
        <v>-10796</v>
      </c>
      <c r="D39" s="545">
        <v>6922</v>
      </c>
      <c r="E39" s="545">
        <v>9218</v>
      </c>
      <c r="F39" s="545">
        <v>7686</v>
      </c>
      <c r="G39" s="545">
        <v>52</v>
      </c>
      <c r="H39" s="545">
        <v>26847</v>
      </c>
      <c r="I39" s="545">
        <v>30080</v>
      </c>
    </row>
    <row r="40" spans="1:9" x14ac:dyDescent="0.25">
      <c r="A40" s="548" t="s">
        <v>1147</v>
      </c>
      <c r="B40" s="590"/>
      <c r="C40" s="545">
        <v>-19984</v>
      </c>
      <c r="D40" s="545">
        <v>-38163</v>
      </c>
      <c r="E40" s="545">
        <v>-149577</v>
      </c>
      <c r="F40" s="545">
        <v>-197445</v>
      </c>
      <c r="G40" s="545">
        <v>-186114</v>
      </c>
      <c r="H40" s="590"/>
      <c r="I40" s="590"/>
    </row>
    <row r="41" spans="1:9" x14ac:dyDescent="0.25">
      <c r="A41" s="548" t="s">
        <v>1148</v>
      </c>
      <c r="B41" s="590"/>
      <c r="C41" s="590"/>
      <c r="D41" s="590"/>
      <c r="E41" s="590"/>
      <c r="F41" s="545">
        <v>-15637</v>
      </c>
      <c r="G41" s="545">
        <v>-35818</v>
      </c>
      <c r="H41" s="545">
        <v>-19741</v>
      </c>
      <c r="I41" s="545">
        <v>-15082</v>
      </c>
    </row>
    <row r="42" spans="1:9" x14ac:dyDescent="0.25">
      <c r="A42" s="548" t="s">
        <v>1149</v>
      </c>
      <c r="B42" s="545">
        <v>-978</v>
      </c>
      <c r="C42" s="545">
        <v>-2727</v>
      </c>
      <c r="D42" s="545">
        <v>-2923</v>
      </c>
      <c r="E42" s="545">
        <v>-9589</v>
      </c>
      <c r="F42" s="545">
        <v>-19022</v>
      </c>
      <c r="G42" s="545">
        <v>-8365</v>
      </c>
      <c r="H42" s="590"/>
      <c r="I42" s="590"/>
    </row>
    <row r="43" spans="1:9" x14ac:dyDescent="0.25">
      <c r="A43" s="548" t="s">
        <v>1150</v>
      </c>
      <c r="B43" s="545">
        <v>-637</v>
      </c>
      <c r="C43" s="545">
        <v>-3662</v>
      </c>
      <c r="D43" s="545">
        <v>-5545</v>
      </c>
      <c r="E43" s="545">
        <v>-12375</v>
      </c>
      <c r="F43" s="545">
        <v>-25582</v>
      </c>
      <c r="G43" s="545">
        <v>-12820</v>
      </c>
      <c r="H43" s="545">
        <v>-10524</v>
      </c>
      <c r="I43" s="545">
        <v>-10773</v>
      </c>
    </row>
    <row r="44" spans="1:9" x14ac:dyDescent="0.25">
      <c r="A44" s="549" t="s">
        <v>1151</v>
      </c>
      <c r="B44" s="546">
        <v>-6326</v>
      </c>
      <c r="C44" s="546">
        <v>-37169</v>
      </c>
      <c r="D44" s="546">
        <v>-39709</v>
      </c>
      <c r="E44" s="546">
        <v>-162323</v>
      </c>
      <c r="F44" s="546">
        <v>-250000</v>
      </c>
      <c r="G44" s="546">
        <v>-56951</v>
      </c>
      <c r="H44" s="546">
        <v>-3418</v>
      </c>
      <c r="I44" s="546">
        <v>4225</v>
      </c>
    </row>
    <row r="45" spans="1:9" x14ac:dyDescent="0.25">
      <c r="A45" s="548" t="s">
        <v>1152</v>
      </c>
      <c r="B45" s="590"/>
      <c r="C45" s="590"/>
      <c r="D45" s="590"/>
      <c r="E45" s="590"/>
      <c r="F45" s="590"/>
      <c r="G45" s="545">
        <v>-243065</v>
      </c>
      <c r="H45" s="590"/>
      <c r="I45" s="590"/>
    </row>
    <row r="46" spans="1:9" x14ac:dyDescent="0.25">
      <c r="A46" s="548" t="s">
        <v>1153</v>
      </c>
      <c r="B46" s="590"/>
      <c r="C46" s="590"/>
      <c r="D46" s="590"/>
      <c r="E46" s="590"/>
      <c r="F46" s="590"/>
      <c r="G46" s="590"/>
      <c r="H46" s="590"/>
      <c r="I46" s="590"/>
    </row>
    <row r="47" spans="1:9" ht="15" customHeight="1" x14ac:dyDescent="0.25">
      <c r="A47" s="694" t="s">
        <v>1201</v>
      </c>
      <c r="B47" s="694"/>
      <c r="C47" s="694"/>
      <c r="D47" s="694"/>
      <c r="E47" s="694"/>
      <c r="F47" s="694"/>
      <c r="G47" s="694"/>
      <c r="H47" s="694"/>
      <c r="I47" s="694"/>
    </row>
    <row r="48" spans="1:9" x14ac:dyDescent="0.25">
      <c r="A48" s="694"/>
      <c r="B48" s="694"/>
      <c r="C48" s="694"/>
      <c r="D48" s="694"/>
      <c r="E48" s="694"/>
      <c r="F48" s="694"/>
      <c r="G48" s="694"/>
      <c r="H48" s="694"/>
      <c r="I48" s="694"/>
    </row>
    <row r="50" spans="1:9" x14ac:dyDescent="0.25">
      <c r="A50" s="586" t="s">
        <v>1154</v>
      </c>
      <c r="B50" s="587"/>
      <c r="C50" s="587"/>
      <c r="D50" s="587"/>
      <c r="E50" s="587"/>
      <c r="F50" s="587"/>
      <c r="G50" s="587"/>
      <c r="H50" s="587"/>
      <c r="I50" s="587"/>
    </row>
    <row r="51" spans="1:9" x14ac:dyDescent="0.25">
      <c r="A51" s="549" t="s">
        <v>1120</v>
      </c>
      <c r="B51" s="588" t="s">
        <v>167</v>
      </c>
      <c r="C51" s="588" t="s">
        <v>168</v>
      </c>
      <c r="D51" s="588" t="s">
        <v>169</v>
      </c>
      <c r="E51" s="588" t="s">
        <v>170</v>
      </c>
      <c r="F51" s="588" t="s">
        <v>171</v>
      </c>
      <c r="G51" s="588" t="s">
        <v>172</v>
      </c>
      <c r="H51" s="588" t="s">
        <v>173</v>
      </c>
      <c r="I51" s="588" t="s">
        <v>174</v>
      </c>
    </row>
    <row r="52" spans="1:9" x14ac:dyDescent="0.25">
      <c r="A52" s="585" t="s">
        <v>1121</v>
      </c>
      <c r="B52" s="589" t="s">
        <v>1194</v>
      </c>
      <c r="C52" s="589" t="s">
        <v>1122</v>
      </c>
      <c r="D52" s="589" t="s">
        <v>1123</v>
      </c>
      <c r="E52" s="589" t="s">
        <v>1124</v>
      </c>
      <c r="F52" s="589" t="s">
        <v>1125</v>
      </c>
      <c r="G52" s="589" t="s">
        <v>1126</v>
      </c>
      <c r="H52" s="589" t="s">
        <v>1127</v>
      </c>
      <c r="I52" s="589" t="s">
        <v>1128</v>
      </c>
    </row>
    <row r="53" spans="1:9" x14ac:dyDescent="0.25">
      <c r="A53" s="548" t="s">
        <v>1155</v>
      </c>
      <c r="B53" s="590"/>
      <c r="C53" s="590"/>
      <c r="D53" s="590"/>
      <c r="E53" s="590"/>
      <c r="F53" s="590"/>
      <c r="G53" s="590"/>
      <c r="H53" s="590"/>
      <c r="I53" s="590"/>
    </row>
    <row r="54" spans="1:9" x14ac:dyDescent="0.25">
      <c r="A54" s="548" t="s">
        <v>1156</v>
      </c>
      <c r="B54" s="590"/>
      <c r="C54" s="590"/>
      <c r="D54" s="590"/>
      <c r="E54" s="590"/>
      <c r="F54" s="590"/>
      <c r="G54" s="590"/>
      <c r="H54" s="590"/>
      <c r="I54" s="590"/>
    </row>
    <row r="55" spans="1:9" x14ac:dyDescent="0.25">
      <c r="A55" s="548" t="s">
        <v>1157</v>
      </c>
      <c r="B55" s="590"/>
      <c r="C55" s="590"/>
      <c r="D55" s="590"/>
      <c r="E55" s="590"/>
      <c r="F55" s="590"/>
      <c r="G55" s="590"/>
      <c r="H55" s="590"/>
      <c r="I55" s="590"/>
    </row>
    <row r="56" spans="1:9" x14ac:dyDescent="0.25">
      <c r="A56" s="549" t="s">
        <v>1158</v>
      </c>
      <c r="B56" s="546">
        <v>-6188</v>
      </c>
      <c r="C56" s="546">
        <v>-24919</v>
      </c>
      <c r="D56" s="546">
        <v>-35373</v>
      </c>
      <c r="E56" s="546">
        <v>-170663</v>
      </c>
      <c r="F56" s="546">
        <v>-236799</v>
      </c>
      <c r="G56" s="546">
        <v>-90333</v>
      </c>
      <c r="H56" s="546">
        <v>-70965</v>
      </c>
      <c r="I56" s="546">
        <v>-62545</v>
      </c>
    </row>
    <row r="57" spans="1:9" ht="15" customHeight="1" x14ac:dyDescent="0.25">
      <c r="A57" s="694" t="s">
        <v>1159</v>
      </c>
      <c r="B57" s="694"/>
      <c r="C57" s="694"/>
      <c r="D57" s="694"/>
      <c r="E57" s="694"/>
      <c r="F57" s="694"/>
      <c r="G57" s="694"/>
      <c r="H57" s="694"/>
      <c r="I57" s="694"/>
    </row>
    <row r="59" spans="1:9" x14ac:dyDescent="0.25">
      <c r="A59" s="586" t="s">
        <v>1160</v>
      </c>
      <c r="B59" s="587"/>
      <c r="C59" s="587"/>
      <c r="D59" s="587"/>
      <c r="E59" s="587"/>
      <c r="F59" s="587"/>
      <c r="G59" s="587"/>
      <c r="H59" s="587"/>
      <c r="I59" s="587"/>
    </row>
    <row r="60" spans="1:9" x14ac:dyDescent="0.25">
      <c r="A60" s="549" t="s">
        <v>1120</v>
      </c>
      <c r="B60" s="588" t="s">
        <v>167</v>
      </c>
      <c r="C60" s="588" t="s">
        <v>168</v>
      </c>
      <c r="D60" s="588" t="s">
        <v>169</v>
      </c>
      <c r="E60" s="588" t="s">
        <v>170</v>
      </c>
      <c r="F60" s="588" t="s">
        <v>171</v>
      </c>
      <c r="G60" s="588" t="s">
        <v>172</v>
      </c>
      <c r="H60" s="588" t="s">
        <v>173</v>
      </c>
      <c r="I60" s="588" t="s">
        <v>174</v>
      </c>
    </row>
    <row r="61" spans="1:9" x14ac:dyDescent="0.25">
      <c r="A61" s="585" t="s">
        <v>1121</v>
      </c>
      <c r="B61" s="589" t="s">
        <v>1194</v>
      </c>
      <c r="C61" s="589" t="s">
        <v>1122</v>
      </c>
      <c r="D61" s="589" t="s">
        <v>1123</v>
      </c>
      <c r="E61" s="589" t="s">
        <v>1124</v>
      </c>
      <c r="F61" s="589" t="s">
        <v>1125</v>
      </c>
      <c r="G61" s="589" t="s">
        <v>1126</v>
      </c>
      <c r="H61" s="589" t="s">
        <v>1127</v>
      </c>
      <c r="I61" s="589" t="s">
        <v>1128</v>
      </c>
    </row>
    <row r="62" spans="1:9" x14ac:dyDescent="0.25">
      <c r="A62" s="548" t="s">
        <v>1161</v>
      </c>
      <c r="B62" s="590"/>
      <c r="C62" s="590"/>
      <c r="D62" s="590"/>
      <c r="E62" s="590"/>
      <c r="F62" s="590"/>
      <c r="G62" s="590"/>
      <c r="H62" s="590"/>
      <c r="I62" s="590"/>
    </row>
    <row r="63" spans="1:9" x14ac:dyDescent="0.25">
      <c r="A63" s="548" t="s">
        <v>1162</v>
      </c>
      <c r="B63" s="590"/>
      <c r="C63" s="590"/>
      <c r="D63" s="590"/>
      <c r="E63" s="590"/>
      <c r="F63" s="590"/>
      <c r="G63" s="590"/>
      <c r="H63" s="590"/>
      <c r="I63" s="590"/>
    </row>
    <row r="64" spans="1:9" x14ac:dyDescent="0.25">
      <c r="A64" s="548" t="s">
        <v>1163</v>
      </c>
      <c r="B64" s="590"/>
      <c r="C64" s="590"/>
      <c r="D64" s="590"/>
      <c r="E64" s="590"/>
      <c r="F64" s="590"/>
      <c r="G64" s="590"/>
      <c r="H64" s="590"/>
      <c r="I64" s="590"/>
    </row>
    <row r="65" spans="1:9" x14ac:dyDescent="0.25">
      <c r="A65" s="549" t="s">
        <v>1164</v>
      </c>
      <c r="B65" s="546">
        <v>-4323</v>
      </c>
      <c r="C65" s="546">
        <v>-14761</v>
      </c>
      <c r="D65" s="546">
        <v>-36924</v>
      </c>
      <c r="E65" s="546">
        <v>-107025</v>
      </c>
      <c r="F65" s="546">
        <v>-174898</v>
      </c>
      <c r="G65" s="546">
        <v>-104595</v>
      </c>
      <c r="H65" s="546">
        <v>-115917</v>
      </c>
      <c r="I65" s="546">
        <v>-124358</v>
      </c>
    </row>
    <row r="66" spans="1:9" ht="15" customHeight="1" x14ac:dyDescent="0.25">
      <c r="A66" s="694" t="s">
        <v>1165</v>
      </c>
      <c r="B66" s="694"/>
      <c r="C66" s="694"/>
      <c r="D66" s="694"/>
      <c r="E66" s="694"/>
      <c r="F66" s="694"/>
      <c r="G66" s="694"/>
      <c r="H66" s="694"/>
      <c r="I66" s="694"/>
    </row>
    <row r="69" spans="1:9" x14ac:dyDescent="0.25">
      <c r="A69" s="549" t="s">
        <v>1120</v>
      </c>
      <c r="B69" s="588" t="s">
        <v>167</v>
      </c>
      <c r="C69" s="588" t="s">
        <v>168</v>
      </c>
      <c r="D69" s="588" t="s">
        <v>169</v>
      </c>
      <c r="E69" s="588" t="s">
        <v>170</v>
      </c>
      <c r="F69" s="588" t="s">
        <v>171</v>
      </c>
      <c r="G69" s="588" t="s">
        <v>172</v>
      </c>
      <c r="H69" s="588" t="s">
        <v>173</v>
      </c>
      <c r="I69" s="588" t="s">
        <v>174</v>
      </c>
    </row>
    <row r="70" spans="1:9" x14ac:dyDescent="0.25">
      <c r="A70" s="585" t="s">
        <v>1121</v>
      </c>
      <c r="B70" s="589" t="s">
        <v>1194</v>
      </c>
      <c r="C70" s="589" t="s">
        <v>1122</v>
      </c>
      <c r="D70" s="589" t="s">
        <v>1123</v>
      </c>
      <c r="E70" s="589" t="s">
        <v>1124</v>
      </c>
      <c r="F70" s="589" t="s">
        <v>1125</v>
      </c>
      <c r="G70" s="589" t="s">
        <v>1126</v>
      </c>
      <c r="H70" s="589" t="s">
        <v>1127</v>
      </c>
      <c r="I70" s="589" t="s">
        <v>1128</v>
      </c>
    </row>
    <row r="71" spans="1:9" x14ac:dyDescent="0.25">
      <c r="A71" s="550" t="s">
        <v>1166</v>
      </c>
    </row>
    <row r="72" spans="1:9" x14ac:dyDescent="0.25">
      <c r="A72" s="548" t="s">
        <v>143</v>
      </c>
      <c r="B72" s="545">
        <v>9382</v>
      </c>
      <c r="C72" s="545">
        <v>25615</v>
      </c>
      <c r="D72" s="545">
        <v>75173</v>
      </c>
      <c r="E72" s="545">
        <v>194658</v>
      </c>
      <c r="F72" s="545">
        <v>296483</v>
      </c>
      <c r="G72" s="545">
        <v>210298</v>
      </c>
      <c r="H72" s="545">
        <v>245492</v>
      </c>
      <c r="I72" s="545">
        <v>261374</v>
      </c>
    </row>
    <row r="73" spans="1:9" x14ac:dyDescent="0.25">
      <c r="A73" s="548" t="s">
        <v>107</v>
      </c>
      <c r="B73" s="545">
        <v>-4323</v>
      </c>
      <c r="C73" s="545">
        <v>-14761</v>
      </c>
      <c r="D73" s="545">
        <v>-36924</v>
      </c>
      <c r="E73" s="545">
        <v>-107025</v>
      </c>
      <c r="F73" s="545">
        <v>-174898</v>
      </c>
      <c r="G73" s="545">
        <v>-104595</v>
      </c>
      <c r="H73" s="545">
        <v>-115917</v>
      </c>
      <c r="I73" s="545">
        <v>-124358</v>
      </c>
    </row>
    <row r="74" spans="1:9" x14ac:dyDescent="0.25">
      <c r="A74" s="549" t="s">
        <v>109</v>
      </c>
      <c r="B74" s="546">
        <f t="shared" ref="B74:I74" si="0">B72+B73</f>
        <v>5059</v>
      </c>
      <c r="C74" s="546">
        <f t="shared" si="0"/>
        <v>10854</v>
      </c>
      <c r="D74" s="546">
        <f t="shared" si="0"/>
        <v>38249</v>
      </c>
      <c r="E74" s="546">
        <f t="shared" si="0"/>
        <v>87633</v>
      </c>
      <c r="F74" s="546">
        <f t="shared" si="0"/>
        <v>121585</v>
      </c>
      <c r="G74" s="546">
        <f t="shared" si="0"/>
        <v>105703</v>
      </c>
      <c r="H74" s="546">
        <f t="shared" si="0"/>
        <v>129575</v>
      </c>
      <c r="I74" s="546">
        <f t="shared" si="0"/>
        <v>137016</v>
      </c>
    </row>
    <row r="75" spans="1:9" x14ac:dyDescent="0.25">
      <c r="A75" s="548" t="s">
        <v>1167</v>
      </c>
      <c r="B75" s="545">
        <v>443</v>
      </c>
      <c r="C75" s="545">
        <v>-197</v>
      </c>
      <c r="D75" s="545">
        <v>2724</v>
      </c>
      <c r="E75" s="545">
        <v>-9619</v>
      </c>
      <c r="F75" s="545">
        <v>14545</v>
      </c>
      <c r="G75" s="545">
        <v>6093</v>
      </c>
      <c r="H75" s="545">
        <v>-9388</v>
      </c>
      <c r="I75" s="545">
        <v>-84</v>
      </c>
    </row>
    <row r="76" spans="1:9" x14ac:dyDescent="0.25">
      <c r="A76" s="550" t="s">
        <v>1101</v>
      </c>
    </row>
    <row r="77" spans="1:9" x14ac:dyDescent="0.25">
      <c r="A77" s="548" t="s">
        <v>1168</v>
      </c>
      <c r="B77" s="545">
        <v>-416</v>
      </c>
      <c r="C77" s="545">
        <v>-2382</v>
      </c>
      <c r="D77" s="545">
        <v>-3488</v>
      </c>
      <c r="E77" s="545">
        <v>-10250</v>
      </c>
      <c r="F77" s="545">
        <v>-11573</v>
      </c>
      <c r="G77" s="545">
        <v>-5493</v>
      </c>
      <c r="H77" s="545">
        <v>-3948</v>
      </c>
      <c r="I77" s="545">
        <v>-3321</v>
      </c>
    </row>
    <row r="78" spans="1:9" x14ac:dyDescent="0.25">
      <c r="A78" s="548" t="s">
        <v>1169</v>
      </c>
      <c r="B78" s="545">
        <v>-15</v>
      </c>
      <c r="C78" s="545">
        <v>-801</v>
      </c>
      <c r="D78" s="545">
        <v>-602</v>
      </c>
      <c r="E78" s="545">
        <v>-1578</v>
      </c>
      <c r="F78" s="545">
        <v>-2598</v>
      </c>
      <c r="G78" s="545">
        <v>-1698</v>
      </c>
      <c r="H78" s="545">
        <v>-941</v>
      </c>
      <c r="I78" s="545">
        <v>-858</v>
      </c>
    </row>
    <row r="79" spans="1:9" x14ac:dyDescent="0.25">
      <c r="A79" s="548" t="s">
        <v>114</v>
      </c>
      <c r="B79" s="545">
        <v>-360</v>
      </c>
      <c r="C79" s="545">
        <v>-1825</v>
      </c>
      <c r="D79" s="545">
        <v>-5119</v>
      </c>
      <c r="E79" s="545">
        <v>-12202</v>
      </c>
      <c r="F79" s="545">
        <v>-31353</v>
      </c>
      <c r="G79" s="545">
        <v>-27962</v>
      </c>
      <c r="H79" s="545">
        <v>-27459</v>
      </c>
      <c r="I79" s="545">
        <v>-22375</v>
      </c>
    </row>
    <row r="80" spans="1:9" x14ac:dyDescent="0.25">
      <c r="A80" s="548" t="s">
        <v>1170</v>
      </c>
      <c r="B80" s="545">
        <v>-4446</v>
      </c>
      <c r="C80" s="545">
        <v>-15650</v>
      </c>
      <c r="D80" s="545">
        <v>-30943</v>
      </c>
      <c r="E80" s="545">
        <v>-51449</v>
      </c>
      <c r="F80" s="545">
        <v>-92209</v>
      </c>
      <c r="G80" s="545">
        <v>-64900</v>
      </c>
      <c r="H80" s="545">
        <v>-44461</v>
      </c>
      <c r="I80" s="545">
        <v>-46352</v>
      </c>
    </row>
    <row r="81" spans="1:9" x14ac:dyDescent="0.25">
      <c r="A81" s="548" t="s">
        <v>1171</v>
      </c>
      <c r="B81" s="545">
        <v>-261</v>
      </c>
      <c r="C81" s="545">
        <v>-1939</v>
      </c>
      <c r="D81" s="545">
        <v>-6008</v>
      </c>
      <c r="E81" s="545">
        <v>-13848</v>
      </c>
      <c r="F81" s="545">
        <v>-22224</v>
      </c>
      <c r="G81" s="545">
        <v>-13969</v>
      </c>
      <c r="H81" s="545">
        <v>-9772</v>
      </c>
      <c r="I81" s="545">
        <v>-12841</v>
      </c>
    </row>
    <row r="82" spans="1:9" x14ac:dyDescent="0.25">
      <c r="A82" s="548" t="s">
        <v>1172</v>
      </c>
      <c r="B82" s="545">
        <v>-236</v>
      </c>
      <c r="C82" s="545">
        <v>-823</v>
      </c>
      <c r="D82" s="545">
        <v>-288</v>
      </c>
      <c r="E82" s="545">
        <v>-737</v>
      </c>
      <c r="F82" s="545">
        <v>-1578</v>
      </c>
      <c r="G82" s="545">
        <v>-817</v>
      </c>
      <c r="H82" s="545">
        <v>-1185</v>
      </c>
      <c r="I82" s="545">
        <v>-1075</v>
      </c>
    </row>
    <row r="83" spans="1:9" x14ac:dyDescent="0.25">
      <c r="A83" s="548" t="s">
        <v>955</v>
      </c>
      <c r="B83" s="545">
        <v>-63</v>
      </c>
      <c r="C83" s="545">
        <v>-325</v>
      </c>
      <c r="D83" s="545">
        <v>-727</v>
      </c>
      <c r="E83" s="545">
        <v>-1394</v>
      </c>
      <c r="F83" s="545">
        <v>-3657</v>
      </c>
      <c r="G83" s="545">
        <v>-6436</v>
      </c>
      <c r="H83" s="545">
        <v>-1075</v>
      </c>
      <c r="I83" s="545">
        <v>-5362</v>
      </c>
    </row>
    <row r="84" spans="1:9" x14ac:dyDescent="0.25">
      <c r="A84" s="548" t="s">
        <v>1173</v>
      </c>
      <c r="B84" s="545">
        <v>-6188</v>
      </c>
      <c r="C84" s="545">
        <v>-24919</v>
      </c>
      <c r="D84" s="545">
        <v>-35373</v>
      </c>
      <c r="E84" s="545">
        <v>-170663</v>
      </c>
      <c r="F84" s="545">
        <v>-236799</v>
      </c>
      <c r="G84" s="545">
        <v>-90333</v>
      </c>
      <c r="H84" s="545">
        <v>-70965</v>
      </c>
      <c r="I84" s="545">
        <v>-62545</v>
      </c>
    </row>
    <row r="85" spans="1:9" x14ac:dyDescent="0.25">
      <c r="A85" s="548" t="s">
        <v>1174</v>
      </c>
      <c r="B85" s="545">
        <v>-176</v>
      </c>
      <c r="C85" s="545">
        <v>-898</v>
      </c>
      <c r="D85" s="545">
        <v>-953</v>
      </c>
      <c r="E85" s="545">
        <v>-385</v>
      </c>
      <c r="F85" s="545">
        <v>-1365</v>
      </c>
      <c r="G85" s="545">
        <v>-796</v>
      </c>
      <c r="H85" s="545">
        <v>-646</v>
      </c>
      <c r="I85" s="545">
        <v>-437</v>
      </c>
    </row>
    <row r="86" spans="1:9" x14ac:dyDescent="0.25">
      <c r="A86" s="548" t="s">
        <v>1175</v>
      </c>
      <c r="B86" s="545">
        <v>-28</v>
      </c>
      <c r="C86" s="545">
        <v>-89</v>
      </c>
      <c r="D86" s="597"/>
      <c r="E86" s="597"/>
      <c r="F86" s="597"/>
      <c r="G86" s="597"/>
      <c r="H86" s="597"/>
      <c r="I86" s="597"/>
    </row>
    <row r="87" spans="1:9" x14ac:dyDescent="0.25">
      <c r="A87" s="548" t="s">
        <v>1176</v>
      </c>
      <c r="B87" s="597"/>
      <c r="C87" s="597"/>
      <c r="D87" s="597"/>
      <c r="E87" s="597"/>
      <c r="F87" s="597"/>
      <c r="G87" s="545">
        <v>-15157</v>
      </c>
      <c r="H87" s="545">
        <v>-2164</v>
      </c>
      <c r="I87" s="597"/>
    </row>
    <row r="88" spans="1:9" x14ac:dyDescent="0.25">
      <c r="A88" s="549" t="s">
        <v>954</v>
      </c>
      <c r="B88" s="546">
        <f t="shared" ref="B88:I88" si="1">SUM(B77:B87)</f>
        <v>-12189</v>
      </c>
      <c r="C88" s="546">
        <f t="shared" si="1"/>
        <v>-49651</v>
      </c>
      <c r="D88" s="546">
        <f t="shared" si="1"/>
        <v>-83501</v>
      </c>
      <c r="E88" s="546">
        <f t="shared" si="1"/>
        <v>-262506</v>
      </c>
      <c r="F88" s="546">
        <f t="shared" si="1"/>
        <v>-403356</v>
      </c>
      <c r="G88" s="546">
        <f t="shared" si="1"/>
        <v>-227561</v>
      </c>
      <c r="H88" s="546">
        <f t="shared" si="1"/>
        <v>-162616</v>
      </c>
      <c r="I88" s="546">
        <f t="shared" si="1"/>
        <v>-155166</v>
      </c>
    </row>
    <row r="89" spans="1:9" x14ac:dyDescent="0.25">
      <c r="A89" s="548" t="s">
        <v>1177</v>
      </c>
      <c r="B89" s="545">
        <v>29</v>
      </c>
      <c r="C89" s="545">
        <v>122</v>
      </c>
      <c r="D89" s="545">
        <v>1543</v>
      </c>
      <c r="E89" s="545">
        <v>824</v>
      </c>
      <c r="F89" s="545">
        <v>1472</v>
      </c>
      <c r="G89" s="545">
        <v>8105</v>
      </c>
      <c r="H89" s="545">
        <v>3223</v>
      </c>
      <c r="I89" s="545">
        <v>394</v>
      </c>
    </row>
    <row r="90" spans="1:9" x14ac:dyDescent="0.25">
      <c r="A90" s="548" t="s">
        <v>913</v>
      </c>
      <c r="B90" s="545">
        <v>0</v>
      </c>
      <c r="C90" s="545">
        <v>-3014</v>
      </c>
      <c r="D90" s="545">
        <v>-479</v>
      </c>
      <c r="E90" s="545">
        <v>-4029</v>
      </c>
      <c r="F90" s="545">
        <v>-4493</v>
      </c>
      <c r="G90" s="545">
        <v>-150</v>
      </c>
      <c r="H90" s="545">
        <v>-249</v>
      </c>
      <c r="I90" s="545">
        <v>-178</v>
      </c>
    </row>
    <row r="91" spans="1:9" x14ac:dyDescent="0.25">
      <c r="A91" s="549" t="s">
        <v>1178</v>
      </c>
      <c r="B91" s="546">
        <f t="shared" ref="B91:I91" si="2">B89+B90</f>
        <v>29</v>
      </c>
      <c r="C91" s="546">
        <f t="shared" si="2"/>
        <v>-2892</v>
      </c>
      <c r="D91" s="546">
        <f t="shared" si="2"/>
        <v>1064</v>
      </c>
      <c r="E91" s="546">
        <f t="shared" si="2"/>
        <v>-3205</v>
      </c>
      <c r="F91" s="546">
        <f t="shared" si="2"/>
        <v>-3021</v>
      </c>
      <c r="G91" s="546">
        <f t="shared" si="2"/>
        <v>7955</v>
      </c>
      <c r="H91" s="546">
        <f t="shared" si="2"/>
        <v>2974</v>
      </c>
      <c r="I91" s="546">
        <f t="shared" si="2"/>
        <v>216</v>
      </c>
    </row>
    <row r="92" spans="1:9" x14ac:dyDescent="0.25">
      <c r="A92" s="549" t="s">
        <v>908</v>
      </c>
      <c r="B92" s="546">
        <f t="shared" ref="B92:I92" si="3">B74+B75+B88+B91</f>
        <v>-6658</v>
      </c>
      <c r="C92" s="546">
        <f t="shared" si="3"/>
        <v>-41886</v>
      </c>
      <c r="D92" s="546">
        <f t="shared" si="3"/>
        <v>-41464</v>
      </c>
      <c r="E92" s="546">
        <f t="shared" si="3"/>
        <v>-187697</v>
      </c>
      <c r="F92" s="546">
        <f t="shared" si="3"/>
        <v>-270247</v>
      </c>
      <c r="G92" s="546">
        <f t="shared" si="3"/>
        <v>-107810</v>
      </c>
      <c r="H92" s="546">
        <f t="shared" si="3"/>
        <v>-39455</v>
      </c>
      <c r="I92" s="546">
        <f t="shared" si="3"/>
        <v>-18018</v>
      </c>
    </row>
    <row r="93" spans="1:9" x14ac:dyDescent="0.25">
      <c r="A93" s="548" t="s">
        <v>1108</v>
      </c>
      <c r="B93" s="545">
        <v>0</v>
      </c>
      <c r="C93" s="545">
        <v>0</v>
      </c>
      <c r="D93" s="545">
        <v>0</v>
      </c>
      <c r="E93" s="545">
        <v>566</v>
      </c>
      <c r="F93" s="545">
        <v>2558</v>
      </c>
      <c r="G93" s="545">
        <v>-70</v>
      </c>
      <c r="H93" s="545">
        <v>-177</v>
      </c>
      <c r="I93" s="545">
        <v>-135</v>
      </c>
    </row>
    <row r="94" spans="1:9" x14ac:dyDescent="0.25">
      <c r="A94" s="549" t="s">
        <v>1179</v>
      </c>
      <c r="B94" s="546">
        <f t="shared" ref="B94:I94" si="4">B92+B93</f>
        <v>-6658</v>
      </c>
      <c r="C94" s="546">
        <f t="shared" si="4"/>
        <v>-41886</v>
      </c>
      <c r="D94" s="546">
        <f t="shared" si="4"/>
        <v>-41464</v>
      </c>
      <c r="E94" s="546">
        <f t="shared" si="4"/>
        <v>-187131</v>
      </c>
      <c r="F94" s="546">
        <f t="shared" si="4"/>
        <v>-267689</v>
      </c>
      <c r="G94" s="546">
        <f t="shared" si="4"/>
        <v>-107880</v>
      </c>
      <c r="H94" s="546">
        <f t="shared" si="4"/>
        <v>-39632</v>
      </c>
      <c r="I94" s="546">
        <f t="shared" si="4"/>
        <v>-18153</v>
      </c>
    </row>
    <row r="95" spans="1:9" x14ac:dyDescent="0.25">
      <c r="A95" s="550" t="s">
        <v>1180</v>
      </c>
    </row>
    <row r="96" spans="1:9" x14ac:dyDescent="0.25">
      <c r="A96" s="548" t="s">
        <v>1181</v>
      </c>
      <c r="B96" s="597"/>
      <c r="C96" s="597"/>
      <c r="D96" s="597"/>
      <c r="E96" s="597"/>
      <c r="F96" s="597"/>
      <c r="G96" s="545">
        <v>93292</v>
      </c>
      <c r="H96" s="545">
        <v>-2686</v>
      </c>
      <c r="I96" s="597"/>
    </row>
    <row r="97" spans="1:9" x14ac:dyDescent="0.25">
      <c r="A97" s="548" t="s">
        <v>1182</v>
      </c>
      <c r="B97" s="597"/>
      <c r="C97" s="597"/>
      <c r="D97" s="597"/>
      <c r="E97" s="597"/>
      <c r="F97" s="597"/>
      <c r="G97" s="545">
        <v>-261725</v>
      </c>
      <c r="H97" s="597"/>
      <c r="I97" s="597"/>
    </row>
    <row r="98" spans="1:9" ht="15.75" thickBot="1" x14ac:dyDescent="0.3">
      <c r="A98" s="549" t="s">
        <v>1183</v>
      </c>
      <c r="B98" s="546">
        <f t="shared" ref="B98:I98" si="5">B96+B97</f>
        <v>0</v>
      </c>
      <c r="C98" s="546">
        <f t="shared" si="5"/>
        <v>0</v>
      </c>
      <c r="D98" s="546">
        <f t="shared" si="5"/>
        <v>0</v>
      </c>
      <c r="E98" s="546">
        <f t="shared" si="5"/>
        <v>0</v>
      </c>
      <c r="F98" s="546">
        <f t="shared" si="5"/>
        <v>0</v>
      </c>
      <c r="G98" s="546">
        <f t="shared" si="5"/>
        <v>-168433</v>
      </c>
      <c r="H98" s="546">
        <f t="shared" si="5"/>
        <v>-2686</v>
      </c>
      <c r="I98" s="546">
        <f t="shared" si="5"/>
        <v>0</v>
      </c>
    </row>
    <row r="99" spans="1:9" ht="15.75" thickTop="1" x14ac:dyDescent="0.25">
      <c r="A99" s="549" t="s">
        <v>1184</v>
      </c>
      <c r="B99" s="547">
        <f t="shared" ref="B99:I99" si="6">B94+B98</f>
        <v>-6658</v>
      </c>
      <c r="C99" s="547">
        <f t="shared" si="6"/>
        <v>-41886</v>
      </c>
      <c r="D99" s="547">
        <f t="shared" si="6"/>
        <v>-41464</v>
      </c>
      <c r="E99" s="547">
        <f t="shared" si="6"/>
        <v>-187131</v>
      </c>
      <c r="F99" s="547">
        <f t="shared" si="6"/>
        <v>-267689</v>
      </c>
      <c r="G99" s="547">
        <f t="shared" si="6"/>
        <v>-276313</v>
      </c>
      <c r="H99" s="547">
        <f t="shared" si="6"/>
        <v>-42318</v>
      </c>
      <c r="I99" s="547">
        <f t="shared" si="6"/>
        <v>-18153</v>
      </c>
    </row>
    <row r="100" spans="1:9" x14ac:dyDescent="0.25">
      <c r="A100" s="550" t="s">
        <v>1185</v>
      </c>
    </row>
    <row r="101" spans="1:9" ht="15.75" thickBot="1" x14ac:dyDescent="0.3">
      <c r="A101" s="548" t="s">
        <v>1186</v>
      </c>
      <c r="B101" s="545">
        <v>0</v>
      </c>
      <c r="C101" s="545">
        <v>138</v>
      </c>
      <c r="D101" s="545">
        <v>-448</v>
      </c>
      <c r="E101" s="545">
        <v>-12047</v>
      </c>
      <c r="F101" s="545">
        <v>21839</v>
      </c>
      <c r="G101" s="545">
        <v>-9248</v>
      </c>
      <c r="H101" s="545">
        <v>-485</v>
      </c>
      <c r="I101" s="545">
        <v>-42</v>
      </c>
    </row>
    <row r="102" spans="1:9" ht="15.75" thickTop="1" x14ac:dyDescent="0.25">
      <c r="A102" s="549" t="s">
        <v>1187</v>
      </c>
      <c r="B102" s="547">
        <f t="shared" ref="B102:I102" si="7">B99+B101</f>
        <v>-6658</v>
      </c>
      <c r="C102" s="547">
        <f t="shared" si="7"/>
        <v>-41748</v>
      </c>
      <c r="D102" s="547">
        <f t="shared" si="7"/>
        <v>-41912</v>
      </c>
      <c r="E102" s="547">
        <f t="shared" si="7"/>
        <v>-199178</v>
      </c>
      <c r="F102" s="547">
        <f t="shared" si="7"/>
        <v>-245850</v>
      </c>
      <c r="G102" s="547">
        <f t="shared" si="7"/>
        <v>-285561</v>
      </c>
      <c r="H102" s="547">
        <f t="shared" si="7"/>
        <v>-42803</v>
      </c>
      <c r="I102" s="547">
        <f t="shared" si="7"/>
        <v>-18195</v>
      </c>
    </row>
    <row r="104" spans="1:9" x14ac:dyDescent="0.25">
      <c r="A104" s="690" t="s">
        <v>779</v>
      </c>
      <c r="B104" s="691">
        <v>-6.3</v>
      </c>
      <c r="C104" s="691">
        <v>-37.200000000000003</v>
      </c>
      <c r="D104" s="691">
        <v>-39.700000000000003</v>
      </c>
      <c r="E104" s="691">
        <v>-162.30000000000001</v>
      </c>
      <c r="F104" s="691">
        <v>-250</v>
      </c>
      <c r="G104" s="691">
        <v>-56.9</v>
      </c>
      <c r="H104" s="691">
        <v>-3.4</v>
      </c>
      <c r="I104" s="691">
        <v>4.2</v>
      </c>
    </row>
    <row r="105" spans="1:9" x14ac:dyDescent="0.25">
      <c r="A105" s="600" t="s">
        <v>1408</v>
      </c>
      <c r="B105" s="590"/>
      <c r="C105" s="590"/>
      <c r="D105" s="590"/>
      <c r="E105" s="590"/>
      <c r="F105" s="590"/>
      <c r="G105" s="601">
        <v>-243.1</v>
      </c>
      <c r="H105" s="590"/>
      <c r="I105" s="590"/>
    </row>
    <row r="106" spans="1:9" x14ac:dyDescent="0.25">
      <c r="I106" s="442">
        <f>I104+I79</f>
        <v>-22370.799999999999</v>
      </c>
    </row>
    <row r="108" spans="1:9" x14ac:dyDescent="0.25">
      <c r="B108">
        <f>B104*1000</f>
        <v>-6300</v>
      </c>
      <c r="C108">
        <f t="shared" ref="C108:I108" si="8">C104*1000</f>
        <v>-37200</v>
      </c>
      <c r="D108">
        <f t="shared" si="8"/>
        <v>-39700</v>
      </c>
      <c r="E108">
        <f t="shared" si="8"/>
        <v>-162300</v>
      </c>
      <c r="F108">
        <f t="shared" si="8"/>
        <v>-250000</v>
      </c>
      <c r="G108">
        <f t="shared" si="8"/>
        <v>-56900</v>
      </c>
      <c r="H108">
        <f t="shared" si="8"/>
        <v>-3400</v>
      </c>
      <c r="I108">
        <f t="shared" si="8"/>
        <v>4200</v>
      </c>
    </row>
    <row r="110" spans="1:9" x14ac:dyDescent="0.25">
      <c r="A110" s="690" t="s">
        <v>1202</v>
      </c>
      <c r="B110" s="691">
        <v>-6.1</v>
      </c>
      <c r="C110" s="691">
        <v>-32.700000000000003</v>
      </c>
      <c r="D110" s="691">
        <v>-37.6</v>
      </c>
      <c r="E110" s="691">
        <v>-156.1</v>
      </c>
      <c r="F110" s="691">
        <v>-243.6</v>
      </c>
      <c r="G110" s="691">
        <v>-49</v>
      </c>
      <c r="H110" s="691">
        <v>-1.8</v>
      </c>
      <c r="I110" s="691">
        <v>11.2</v>
      </c>
    </row>
    <row r="111" spans="1:9" x14ac:dyDescent="0.25">
      <c r="A111" s="600" t="s">
        <v>1409</v>
      </c>
      <c r="B111" s="590"/>
      <c r="C111" s="590"/>
      <c r="D111" s="590"/>
      <c r="E111" s="590"/>
      <c r="F111" s="590"/>
      <c r="G111" s="601">
        <v>-246.6</v>
      </c>
      <c r="H111" s="590"/>
      <c r="I111" s="590"/>
    </row>
  </sheetData>
  <mergeCells count="7">
    <mergeCell ref="A57:I57"/>
    <mergeCell ref="A66:I66"/>
    <mergeCell ref="A1:I1"/>
    <mergeCell ref="A2:I2"/>
    <mergeCell ref="A18:I19"/>
    <mergeCell ref="A33:I35"/>
    <mergeCell ref="A47:I4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6334E-CD2B-4609-8586-CF59BAEE3BC1}">
  <sheetPr>
    <tabColor theme="4"/>
  </sheetPr>
  <dimension ref="A1"/>
  <sheetViews>
    <sheetView workbookViewId="0">
      <selection activeCell="O28" sqref="O28"/>
    </sheetView>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F160-0E4B-406A-AF8B-39C137D0EA69}">
  <sheetPr>
    <tabColor theme="4" tint="0.79998168889431442"/>
  </sheetPr>
  <dimension ref="A2:AH795"/>
  <sheetViews>
    <sheetView zoomScaleNormal="100" workbookViewId="0">
      <pane xSplit="3" ySplit="3" topLeftCell="I357" activePane="bottomRight" state="frozen"/>
      <selection activeCell="F27" sqref="F27"/>
      <selection pane="topRight" activeCell="F27" sqref="F27"/>
      <selection pane="bottomLeft" activeCell="F27" sqref="F27"/>
      <selection pane="bottomRight" activeCell="O50" sqref="O50:Y50"/>
    </sheetView>
  </sheetViews>
  <sheetFormatPr defaultColWidth="0" defaultRowHeight="11.25" outlineLevelRow="2" x14ac:dyDescent="0.2"/>
  <cols>
    <col min="1" max="1" width="2.7109375" style="12" customWidth="1"/>
    <col min="2" max="2" width="31.7109375" style="12" customWidth="1"/>
    <col min="3" max="3" width="4" style="7" bestFit="1" customWidth="1"/>
    <col min="4" max="29" width="9.140625" style="12" customWidth="1"/>
    <col min="30" max="34" width="3.7109375" style="12" customWidth="1"/>
    <col min="35" max="16384" width="0" style="12" hidden="1"/>
  </cols>
  <sheetData>
    <row r="2" spans="1:34" s="63" customFormat="1" x14ac:dyDescent="0.2">
      <c r="A2" s="1"/>
      <c r="B2" s="2"/>
      <c r="C2" s="3"/>
      <c r="D2" s="63" t="s">
        <v>149</v>
      </c>
      <c r="E2" s="63" t="s">
        <v>150</v>
      </c>
      <c r="F2" s="63" t="s">
        <v>151</v>
      </c>
      <c r="G2" s="63" t="s">
        <v>152</v>
      </c>
      <c r="H2" s="63" t="s">
        <v>153</v>
      </c>
      <c r="I2" s="63" t="s">
        <v>154</v>
      </c>
      <c r="J2" s="63" t="s">
        <v>155</v>
      </c>
      <c r="K2" s="63" t="s">
        <v>156</v>
      </c>
      <c r="L2" s="63" t="s">
        <v>157</v>
      </c>
      <c r="M2" s="63" t="s">
        <v>158</v>
      </c>
      <c r="N2" s="63" t="s">
        <v>159</v>
      </c>
      <c r="O2" s="63" t="s">
        <v>160</v>
      </c>
      <c r="P2" s="63" t="s">
        <v>161</v>
      </c>
      <c r="Q2" s="63" t="s">
        <v>162</v>
      </c>
      <c r="R2" s="63" t="s">
        <v>163</v>
      </c>
      <c r="S2" s="63" t="s">
        <v>164</v>
      </c>
      <c r="T2" s="63" t="s">
        <v>165</v>
      </c>
      <c r="U2" s="63" t="s">
        <v>166</v>
      </c>
      <c r="V2" s="63" t="s">
        <v>167</v>
      </c>
      <c r="W2" s="63" t="s">
        <v>168</v>
      </c>
      <c r="X2" s="63" t="s">
        <v>169</v>
      </c>
      <c r="Y2" s="63" t="s">
        <v>170</v>
      </c>
      <c r="Z2" s="63" t="s">
        <v>171</v>
      </c>
      <c r="AA2" s="63" t="s">
        <v>172</v>
      </c>
      <c r="AB2" s="63" t="s">
        <v>173</v>
      </c>
      <c r="AC2" s="63" t="s">
        <v>174</v>
      </c>
      <c r="AD2" s="63" t="s">
        <v>200</v>
      </c>
      <c r="AE2" s="63" t="s">
        <v>201</v>
      </c>
      <c r="AF2" s="63" t="s">
        <v>202</v>
      </c>
      <c r="AG2" s="63" t="s">
        <v>203</v>
      </c>
      <c r="AH2" s="63" t="s">
        <v>204</v>
      </c>
    </row>
    <row r="3" spans="1:34" s="9" customFormat="1" x14ac:dyDescent="0.2">
      <c r="A3" s="7"/>
      <c r="B3" s="64"/>
      <c r="D3" s="9">
        <v>36707</v>
      </c>
      <c r="E3" s="9">
        <f>EOMONTH(D3,12)</f>
        <v>37072</v>
      </c>
      <c r="F3" s="9">
        <f t="shared" ref="F3:AC3" si="0">EOMONTH(E3,12)</f>
        <v>37437</v>
      </c>
      <c r="G3" s="9">
        <f t="shared" si="0"/>
        <v>37802</v>
      </c>
      <c r="H3" s="9">
        <f t="shared" si="0"/>
        <v>38168</v>
      </c>
      <c r="I3" s="9">
        <f t="shared" si="0"/>
        <v>38533</v>
      </c>
      <c r="J3" s="9">
        <f t="shared" si="0"/>
        <v>38898</v>
      </c>
      <c r="K3" s="9">
        <f t="shared" si="0"/>
        <v>39263</v>
      </c>
      <c r="L3" s="9">
        <f t="shared" si="0"/>
        <v>39629</v>
      </c>
      <c r="M3" s="9">
        <f t="shared" si="0"/>
        <v>39994</v>
      </c>
      <c r="N3" s="9">
        <f t="shared" si="0"/>
        <v>40359</v>
      </c>
      <c r="O3" s="9">
        <f t="shared" si="0"/>
        <v>40724</v>
      </c>
      <c r="P3" s="9">
        <f t="shared" si="0"/>
        <v>41090</v>
      </c>
      <c r="Q3" s="9">
        <f t="shared" si="0"/>
        <v>41455</v>
      </c>
      <c r="R3" s="9">
        <f t="shared" si="0"/>
        <v>41820</v>
      </c>
      <c r="S3" s="9">
        <f t="shared" si="0"/>
        <v>42185</v>
      </c>
      <c r="T3" s="9">
        <f t="shared" si="0"/>
        <v>42551</v>
      </c>
      <c r="U3" s="9">
        <f t="shared" si="0"/>
        <v>42916</v>
      </c>
      <c r="V3" s="9">
        <f t="shared" si="0"/>
        <v>43281</v>
      </c>
      <c r="W3" s="9">
        <f t="shared" si="0"/>
        <v>43646</v>
      </c>
      <c r="X3" s="9">
        <f t="shared" si="0"/>
        <v>44012</v>
      </c>
      <c r="Y3" s="9">
        <f t="shared" si="0"/>
        <v>44377</v>
      </c>
      <c r="Z3" s="9">
        <f t="shared" si="0"/>
        <v>44742</v>
      </c>
      <c r="AA3" s="9">
        <f t="shared" si="0"/>
        <v>45107</v>
      </c>
      <c r="AB3" s="9">
        <f t="shared" si="0"/>
        <v>45473</v>
      </c>
      <c r="AC3" s="9">
        <f t="shared" si="0"/>
        <v>45838</v>
      </c>
      <c r="AD3" s="9">
        <f>EOMONTH(AC3,12)</f>
        <v>46203</v>
      </c>
      <c r="AE3" s="9">
        <f>EOMONTH(AD3,12)</f>
        <v>46568</v>
      </c>
      <c r="AF3" s="9">
        <f>EOMONTH(AE3,12)</f>
        <v>46934</v>
      </c>
      <c r="AG3" s="9">
        <f>EOMONTH(AF3,12)</f>
        <v>47299</v>
      </c>
      <c r="AH3" s="9">
        <f>EOMONTH(AG3,12)</f>
        <v>47664</v>
      </c>
    </row>
    <row r="5" spans="1:34" x14ac:dyDescent="0.2">
      <c r="B5" s="12" t="s">
        <v>232</v>
      </c>
      <c r="D5" s="84"/>
      <c r="E5" s="84"/>
      <c r="F5" s="84"/>
      <c r="G5" s="84"/>
      <c r="H5" s="84"/>
      <c r="I5" s="84"/>
      <c r="J5" s="84"/>
      <c r="K5" s="84"/>
      <c r="L5" s="84"/>
      <c r="M5" s="84"/>
      <c r="N5" s="84"/>
      <c r="O5" s="84"/>
      <c r="P5" s="84"/>
      <c r="Q5" s="84"/>
      <c r="R5" s="84"/>
      <c r="S5" s="84"/>
      <c r="T5" s="84"/>
      <c r="U5" s="84"/>
      <c r="V5" s="84"/>
      <c r="W5" s="84"/>
      <c r="X5" s="84">
        <v>411</v>
      </c>
      <c r="Y5" s="84">
        <v>384</v>
      </c>
      <c r="Z5" s="84">
        <v>457</v>
      </c>
      <c r="AA5" s="84">
        <v>404</v>
      </c>
      <c r="AB5" s="84">
        <v>327</v>
      </c>
      <c r="AC5" s="84">
        <v>343</v>
      </c>
    </row>
    <row r="6" spans="1:34" x14ac:dyDescent="0.2">
      <c r="B6" s="12" t="s">
        <v>231</v>
      </c>
      <c r="D6" s="84"/>
      <c r="E6" s="84"/>
      <c r="F6" s="84"/>
      <c r="G6" s="84"/>
      <c r="H6" s="84"/>
      <c r="I6" s="84"/>
      <c r="J6" s="84"/>
      <c r="K6" s="84"/>
      <c r="L6" s="84"/>
      <c r="M6" s="84"/>
      <c r="N6" s="84"/>
      <c r="O6" s="84"/>
      <c r="P6" s="84"/>
      <c r="Q6" s="84"/>
      <c r="R6" s="84"/>
      <c r="S6" s="84"/>
      <c r="T6" s="84"/>
      <c r="U6" s="84"/>
      <c r="V6" s="84"/>
      <c r="W6" s="84"/>
      <c r="X6" s="84"/>
      <c r="Y6" s="84">
        <v>24</v>
      </c>
      <c r="Z6" s="84">
        <v>32</v>
      </c>
      <c r="AA6" s="84">
        <v>27</v>
      </c>
      <c r="AB6" s="84">
        <v>42</v>
      </c>
      <c r="AC6" s="84">
        <v>39</v>
      </c>
    </row>
    <row r="9" spans="1:34" x14ac:dyDescent="0.2">
      <c r="B9" s="12" t="s">
        <v>175</v>
      </c>
      <c r="W9" s="12" t="s">
        <v>398</v>
      </c>
    </row>
    <row r="10" spans="1:34" x14ac:dyDescent="0.2">
      <c r="B10" s="12" t="s">
        <v>176</v>
      </c>
    </row>
    <row r="11" spans="1:34" x14ac:dyDescent="0.2">
      <c r="B11" s="12" t="s">
        <v>178</v>
      </c>
    </row>
    <row r="13" spans="1:34" x14ac:dyDescent="0.2">
      <c r="B13" s="12" t="s">
        <v>177</v>
      </c>
    </row>
    <row r="14" spans="1:34" x14ac:dyDescent="0.2">
      <c r="B14" s="12" t="s">
        <v>179</v>
      </c>
    </row>
    <row r="15" spans="1:34" x14ac:dyDescent="0.2">
      <c r="B15" s="12" t="s">
        <v>180</v>
      </c>
    </row>
    <row r="16" spans="1:34" x14ac:dyDescent="0.2">
      <c r="B16" s="12" t="s">
        <v>210</v>
      </c>
    </row>
    <row r="17" spans="2:34" x14ac:dyDescent="0.2">
      <c r="B17" s="12" t="s">
        <v>181</v>
      </c>
    </row>
    <row r="19" spans="2:34" x14ac:dyDescent="0.2">
      <c r="B19" s="20" t="s">
        <v>199</v>
      </c>
      <c r="G19" s="65"/>
      <c r="H19" s="65"/>
      <c r="I19" s="65"/>
      <c r="J19" s="65"/>
      <c r="K19" s="65"/>
      <c r="L19" s="65"/>
      <c r="M19" s="65"/>
      <c r="N19" s="65"/>
      <c r="O19" s="65"/>
    </row>
    <row r="20" spans="2:34" x14ac:dyDescent="0.2">
      <c r="G20" s="65"/>
      <c r="H20" s="65"/>
      <c r="I20" s="65"/>
      <c r="J20" s="65"/>
      <c r="K20" s="65"/>
      <c r="L20" s="65"/>
      <c r="M20" s="65"/>
      <c r="N20" s="65"/>
      <c r="O20" s="65"/>
    </row>
    <row r="21" spans="2:34" x14ac:dyDescent="0.2">
      <c r="B21" s="21" t="s">
        <v>8</v>
      </c>
      <c r="G21" s="65"/>
      <c r="H21" s="65"/>
      <c r="I21" s="65"/>
      <c r="J21" s="65"/>
      <c r="K21" s="65"/>
      <c r="L21" s="65"/>
      <c r="M21" s="65"/>
      <c r="N21" s="65"/>
      <c r="O21" s="65"/>
    </row>
    <row r="22" spans="2:34" x14ac:dyDescent="0.2">
      <c r="B22" s="73" t="s">
        <v>196</v>
      </c>
      <c r="C22" s="7" t="s">
        <v>123</v>
      </c>
      <c r="E22" s="24">
        <v>9563</v>
      </c>
      <c r="F22" s="24">
        <v>9641.9500000000007</v>
      </c>
      <c r="G22" s="24">
        <v>10524.11</v>
      </c>
      <c r="H22" s="24">
        <v>11150.4</v>
      </c>
      <c r="I22" s="24">
        <v>11700.69</v>
      </c>
      <c r="J22" s="24">
        <v>11674</v>
      </c>
      <c r="K22" s="24">
        <v>12849.93</v>
      </c>
      <c r="L22" s="24">
        <v>10385</v>
      </c>
      <c r="M22" s="24">
        <v>14433.21</v>
      </c>
      <c r="N22" s="24">
        <v>14395.3</v>
      </c>
      <c r="O22" s="24">
        <v>14387.79</v>
      </c>
      <c r="P22" s="24">
        <v>14376.49</v>
      </c>
      <c r="Q22" s="24">
        <v>14461.65</v>
      </c>
      <c r="R22" s="24">
        <v>15438.86</v>
      </c>
      <c r="S22" s="24">
        <v>15898.27</v>
      </c>
      <c r="T22" s="24">
        <v>15718.33</v>
      </c>
      <c r="U22" s="24">
        <v>18063.53</v>
      </c>
      <c r="V22" s="24">
        <v>19055.14</v>
      </c>
      <c r="W22" s="24">
        <v>20435.63</v>
      </c>
      <c r="X22" s="24">
        <v>21087.71</v>
      </c>
      <c r="Y22" s="24">
        <v>27233.17</v>
      </c>
      <c r="Z22" s="24">
        <v>29143.96</v>
      </c>
      <c r="AA22" s="24">
        <v>26365.200000000001</v>
      </c>
      <c r="AB22" s="24"/>
      <c r="AC22" s="24"/>
    </row>
    <row r="23" spans="2:34" x14ac:dyDescent="0.2">
      <c r="B23" s="73" t="s">
        <v>193</v>
      </c>
      <c r="C23" s="7" t="s">
        <v>123</v>
      </c>
      <c r="E23" s="24">
        <v>2371</v>
      </c>
      <c r="F23" s="24">
        <v>3209.45</v>
      </c>
      <c r="G23" s="24">
        <v>3401.2</v>
      </c>
      <c r="H23" s="24">
        <v>3865.44</v>
      </c>
      <c r="I23" s="24">
        <v>4254.6000000000004</v>
      </c>
      <c r="J23" s="24">
        <v>4427</v>
      </c>
      <c r="K23" s="24">
        <v>4744.3500000000004</v>
      </c>
      <c r="L23" s="24">
        <v>5074</v>
      </c>
      <c r="M23" s="24">
        <v>4936.26</v>
      </c>
      <c r="N23" s="24">
        <v>5277.22</v>
      </c>
      <c r="O23" s="24">
        <v>5780.15</v>
      </c>
      <c r="P23" s="24">
        <v>6051.2</v>
      </c>
      <c r="Q23" s="24">
        <v>6054.18</v>
      </c>
      <c r="R23" s="24">
        <v>5474</v>
      </c>
      <c r="S23" s="24">
        <v>6669.39</v>
      </c>
      <c r="T23" s="24">
        <v>4922.6499999999996</v>
      </c>
      <c r="U23" s="24">
        <v>4867.5200000000004</v>
      </c>
      <c r="V23" s="24">
        <v>9033.2800000000007</v>
      </c>
      <c r="W23" s="24">
        <v>9487.67</v>
      </c>
      <c r="X23" s="24">
        <v>10445.469999999999</v>
      </c>
      <c r="Y23" s="24">
        <v>14246.72</v>
      </c>
    </row>
    <row r="24" spans="2:34" x14ac:dyDescent="0.2">
      <c r="B24" s="73" t="s">
        <v>194</v>
      </c>
      <c r="C24" s="7" t="s">
        <v>123</v>
      </c>
      <c r="E24" s="24">
        <v>11934</v>
      </c>
      <c r="F24" s="24">
        <v>12851.4</v>
      </c>
      <c r="G24" s="24">
        <v>13925.31</v>
      </c>
      <c r="H24" s="24">
        <v>15015.84</v>
      </c>
      <c r="I24" s="24">
        <v>15955.29</v>
      </c>
      <c r="J24" s="24">
        <v>16101</v>
      </c>
      <c r="K24" s="24">
        <v>17594.28</v>
      </c>
      <c r="L24" s="24">
        <v>15459</v>
      </c>
      <c r="M24" s="24">
        <v>19369.47</v>
      </c>
      <c r="N24" s="24">
        <v>19672.52</v>
      </c>
      <c r="O24" s="24">
        <v>20167.939999999999</v>
      </c>
      <c r="P24" s="24">
        <v>20427.689999999999</v>
      </c>
      <c r="Q24" s="24">
        <v>20515.830000000002</v>
      </c>
      <c r="R24" s="24">
        <v>20912.86</v>
      </c>
      <c r="S24" s="24">
        <v>22567.66</v>
      </c>
      <c r="T24" s="24">
        <v>20640.98</v>
      </c>
      <c r="U24" s="24">
        <v>22931.05</v>
      </c>
      <c r="V24" s="24">
        <v>28088.42</v>
      </c>
      <c r="W24" s="24">
        <v>29923.3</v>
      </c>
      <c r="X24" s="24">
        <v>31533.18</v>
      </c>
      <c r="Y24" s="24">
        <v>43302.080000000002</v>
      </c>
    </row>
    <row r="25" spans="2:34" x14ac:dyDescent="0.2">
      <c r="B25" s="73" t="s">
        <v>195</v>
      </c>
      <c r="C25" s="7" t="s">
        <v>123</v>
      </c>
      <c r="E25" s="24">
        <v>880</v>
      </c>
      <c r="F25" s="24">
        <v>1320</v>
      </c>
      <c r="G25" s="24">
        <v>1584.79</v>
      </c>
      <c r="H25" s="24">
        <v>1426.33</v>
      </c>
      <c r="I25" s="24">
        <v>1657.18</v>
      </c>
      <c r="J25" s="24">
        <v>1790</v>
      </c>
      <c r="K25" s="24">
        <v>1849</v>
      </c>
      <c r="L25" s="24">
        <v>2398</v>
      </c>
      <c r="M25" s="24">
        <v>2573.31</v>
      </c>
      <c r="N25" s="24">
        <v>2945</v>
      </c>
      <c r="O25" s="24">
        <v>3333.41</v>
      </c>
      <c r="P25" s="24">
        <v>3221.21</v>
      </c>
      <c r="Q25" s="24">
        <v>3991.44</v>
      </c>
      <c r="R25" s="24">
        <v>4455.25</v>
      </c>
      <c r="S25" s="24">
        <v>5891.53</v>
      </c>
      <c r="T25" s="24">
        <v>8243.41</v>
      </c>
      <c r="U25" s="24">
        <v>9666.81</v>
      </c>
      <c r="V25" s="24">
        <v>11230.49</v>
      </c>
      <c r="W25" s="24">
        <v>12359.03</v>
      </c>
      <c r="X25" s="24">
        <v>10160.39</v>
      </c>
      <c r="Y25" s="24">
        <v>16602.990000000002</v>
      </c>
    </row>
    <row r="26" spans="2:34" x14ac:dyDescent="0.2">
      <c r="B26" s="72" t="s">
        <v>192</v>
      </c>
      <c r="C26" s="79" t="s">
        <v>123</v>
      </c>
      <c r="D26" s="67"/>
      <c r="E26" s="69">
        <v>12814</v>
      </c>
      <c r="F26" s="69">
        <v>14171.4</v>
      </c>
      <c r="G26" s="69">
        <v>15510.1</v>
      </c>
      <c r="H26" s="69">
        <v>16442.169999999998</v>
      </c>
      <c r="I26" s="69">
        <v>17612.47</v>
      </c>
      <c r="J26" s="69">
        <v>17891</v>
      </c>
      <c r="K26" s="69">
        <v>19443.28</v>
      </c>
      <c r="L26" s="69">
        <v>17857</v>
      </c>
      <c r="M26" s="69">
        <v>21942.78</v>
      </c>
      <c r="N26" s="69">
        <v>22617.52</v>
      </c>
      <c r="O26" s="69">
        <v>23501.35</v>
      </c>
      <c r="P26" s="69">
        <v>23648.9</v>
      </c>
      <c r="Q26" s="69">
        <v>24507.27</v>
      </c>
      <c r="R26" s="69">
        <v>25368.11</v>
      </c>
      <c r="S26" s="69">
        <v>28459.19</v>
      </c>
      <c r="T26" s="69">
        <v>28884.39</v>
      </c>
      <c r="U26" s="69">
        <v>32597.86</v>
      </c>
      <c r="V26" s="69">
        <v>39318.910000000003</v>
      </c>
      <c r="W26" s="69">
        <v>42282.33</v>
      </c>
      <c r="X26" s="69">
        <v>41693.57</v>
      </c>
      <c r="Y26" s="69">
        <v>59905.07</v>
      </c>
      <c r="Z26" s="67"/>
      <c r="AA26" s="67"/>
      <c r="AB26" s="67"/>
      <c r="AC26" s="67"/>
      <c r="AD26" s="67"/>
      <c r="AE26" s="67"/>
      <c r="AF26" s="67"/>
      <c r="AG26" s="67"/>
      <c r="AH26" s="67"/>
    </row>
    <row r="27" spans="2:34" x14ac:dyDescent="0.2">
      <c r="B27" s="18"/>
    </row>
    <row r="28" spans="2:34" x14ac:dyDescent="0.2">
      <c r="B28" s="82" t="s">
        <v>141</v>
      </c>
      <c r="E28" s="83">
        <f>E26-SUM(E24:E25)</f>
        <v>0</v>
      </c>
      <c r="F28" s="83">
        <f t="shared" ref="F28:Y28" si="1">F26-SUM(F24:F25)</f>
        <v>0</v>
      </c>
      <c r="G28" s="83">
        <f t="shared" si="1"/>
        <v>0</v>
      </c>
      <c r="H28" s="83">
        <f t="shared" si="1"/>
        <v>0</v>
      </c>
      <c r="I28" s="83">
        <f t="shared" si="1"/>
        <v>0</v>
      </c>
      <c r="J28" s="83">
        <f t="shared" si="1"/>
        <v>0</v>
      </c>
      <c r="K28" s="83">
        <f t="shared" si="1"/>
        <v>0</v>
      </c>
      <c r="L28" s="83">
        <f t="shared" si="1"/>
        <v>0</v>
      </c>
      <c r="M28" s="83">
        <f t="shared" si="1"/>
        <v>0</v>
      </c>
      <c r="N28" s="83">
        <f t="shared" si="1"/>
        <v>0</v>
      </c>
      <c r="O28" s="83">
        <f t="shared" si="1"/>
        <v>0</v>
      </c>
      <c r="P28" s="83">
        <f t="shared" si="1"/>
        <v>0</v>
      </c>
      <c r="Q28" s="83">
        <f t="shared" si="1"/>
        <v>0</v>
      </c>
      <c r="R28" s="83">
        <f t="shared" si="1"/>
        <v>0</v>
      </c>
      <c r="S28" s="83">
        <f t="shared" si="1"/>
        <v>0</v>
      </c>
      <c r="T28" s="83">
        <f t="shared" si="1"/>
        <v>0</v>
      </c>
      <c r="U28" s="83">
        <f t="shared" si="1"/>
        <v>0</v>
      </c>
      <c r="V28" s="83">
        <f t="shared" si="1"/>
        <v>0</v>
      </c>
      <c r="W28" s="83">
        <f t="shared" si="1"/>
        <v>0</v>
      </c>
      <c r="X28" s="83">
        <f t="shared" si="1"/>
        <v>0</v>
      </c>
      <c r="Y28" s="83">
        <f t="shared" si="1"/>
        <v>0</v>
      </c>
    </row>
    <row r="29" spans="2:34" x14ac:dyDescent="0.2">
      <c r="B29" s="18"/>
    </row>
    <row r="30" spans="2:34" x14ac:dyDescent="0.2">
      <c r="B30" s="74" t="s">
        <v>215</v>
      </c>
    </row>
    <row r="31" spans="2:34" x14ac:dyDescent="0.2">
      <c r="B31" s="22" t="s">
        <v>197</v>
      </c>
      <c r="C31" s="7" t="s">
        <v>118</v>
      </c>
      <c r="E31" s="26">
        <f t="shared" ref="E31:Y31" si="2">E22/E$26</f>
        <v>0.74629311690338695</v>
      </c>
      <c r="F31" s="26">
        <f t="shared" si="2"/>
        <v>0.68038090802602436</v>
      </c>
      <c r="G31" s="26">
        <f t="shared" si="2"/>
        <v>0.67853269804836847</v>
      </c>
      <c r="H31" s="26">
        <f t="shared" si="2"/>
        <v>0.67815866153920079</v>
      </c>
      <c r="I31" s="26">
        <f t="shared" si="2"/>
        <v>0.66434123095738418</v>
      </c>
      <c r="J31" s="26">
        <f t="shared" si="2"/>
        <v>0.65250684701805373</v>
      </c>
      <c r="K31" s="26">
        <f t="shared" si="2"/>
        <v>0.66089312091375529</v>
      </c>
      <c r="L31" s="26">
        <f t="shared" si="2"/>
        <v>0.58156465251722012</v>
      </c>
      <c r="M31" s="26">
        <f t="shared" si="2"/>
        <v>0.65776578902035199</v>
      </c>
      <c r="N31" s="26">
        <f t="shared" si="2"/>
        <v>0.63646677442973409</v>
      </c>
      <c r="O31" s="26">
        <f t="shared" si="2"/>
        <v>0.61221121339837936</v>
      </c>
      <c r="P31" s="26">
        <f t="shared" si="2"/>
        <v>0.60791368731738049</v>
      </c>
      <c r="Q31" s="26">
        <f t="shared" si="2"/>
        <v>0.59009632651862076</v>
      </c>
      <c r="R31" s="26">
        <f t="shared" si="2"/>
        <v>0.60859322984644892</v>
      </c>
      <c r="S31" s="26">
        <f t="shared" si="2"/>
        <v>0.558633959715649</v>
      </c>
      <c r="T31" s="26">
        <f t="shared" si="2"/>
        <v>0.54418078415365534</v>
      </c>
      <c r="U31" s="26">
        <f t="shared" si="2"/>
        <v>0.5541323878315938</v>
      </c>
      <c r="V31" s="26">
        <f t="shared" si="2"/>
        <v>0.48463042337643636</v>
      </c>
      <c r="W31" s="26">
        <f t="shared" si="2"/>
        <v>0.48331371520916655</v>
      </c>
      <c r="X31" s="26">
        <f t="shared" si="2"/>
        <v>0.50577846895816303</v>
      </c>
      <c r="Y31" s="26">
        <f t="shared" si="2"/>
        <v>0.4546054282216847</v>
      </c>
    </row>
    <row r="32" spans="2:34" x14ac:dyDescent="0.2">
      <c r="B32" s="22" t="s">
        <v>198</v>
      </c>
      <c r="C32" s="7" t="s">
        <v>118</v>
      </c>
      <c r="E32" s="26">
        <f t="shared" ref="E32:Y32" si="3">E23/E$26</f>
        <v>0.18503199625409708</v>
      </c>
      <c r="F32" s="26">
        <f t="shared" si="3"/>
        <v>0.22647374289061065</v>
      </c>
      <c r="G32" s="26">
        <f t="shared" si="3"/>
        <v>0.2192893662839053</v>
      </c>
      <c r="H32" s="26">
        <f t="shared" si="3"/>
        <v>0.2350930564517944</v>
      </c>
      <c r="I32" s="26">
        <f t="shared" si="3"/>
        <v>0.24156748031366412</v>
      </c>
      <c r="J32" s="26">
        <f t="shared" si="3"/>
        <v>0.24744284835951036</v>
      </c>
      <c r="K32" s="26">
        <f t="shared" si="3"/>
        <v>0.24400975555564702</v>
      </c>
      <c r="L32" s="26">
        <f t="shared" si="3"/>
        <v>0.28414627317018537</v>
      </c>
      <c r="M32" s="26">
        <f t="shared" si="3"/>
        <v>0.22496055650195648</v>
      </c>
      <c r="N32" s="26">
        <f t="shared" si="3"/>
        <v>0.23332443167951217</v>
      </c>
      <c r="O32" s="26">
        <f t="shared" si="3"/>
        <v>0.24594970076187112</v>
      </c>
      <c r="P32" s="26">
        <f t="shared" si="3"/>
        <v>0.2558765946830508</v>
      </c>
      <c r="Q32" s="26">
        <f t="shared" si="3"/>
        <v>0.24703608357846468</v>
      </c>
      <c r="R32" s="26">
        <f t="shared" si="3"/>
        <v>0.21578272878823057</v>
      </c>
      <c r="S32" s="26">
        <f t="shared" si="3"/>
        <v>0.23434925589941247</v>
      </c>
      <c r="T32" s="26">
        <f t="shared" si="3"/>
        <v>0.17042596364333815</v>
      </c>
      <c r="U32" s="26">
        <f t="shared" si="3"/>
        <v>0.14932023145077622</v>
      </c>
      <c r="V32" s="26">
        <f t="shared" si="3"/>
        <v>0.22974390693943447</v>
      </c>
      <c r="W32" s="26">
        <f t="shared" si="3"/>
        <v>0.22438853298765701</v>
      </c>
      <c r="X32" s="26">
        <f t="shared" si="3"/>
        <v>0.25052951810075269</v>
      </c>
      <c r="Y32" s="26">
        <f t="shared" si="3"/>
        <v>0.23782160675214969</v>
      </c>
    </row>
    <row r="33" spans="2:25" x14ac:dyDescent="0.2">
      <c r="B33" s="22" t="s">
        <v>195</v>
      </c>
      <c r="C33" s="7" t="s">
        <v>118</v>
      </c>
      <c r="E33" s="26">
        <f>E25/E$26</f>
        <v>6.8674886842515992E-2</v>
      </c>
      <c r="F33" s="26">
        <f t="shared" ref="F33:Y33" si="4">F25/F$26</f>
        <v>9.3145349083365095E-2</v>
      </c>
      <c r="G33" s="26">
        <f t="shared" si="4"/>
        <v>0.10217793566772619</v>
      </c>
      <c r="H33" s="26">
        <f t="shared" si="4"/>
        <v>8.6748282009004904E-2</v>
      </c>
      <c r="I33" s="26">
        <f t="shared" si="4"/>
        <v>9.40912887289517E-2</v>
      </c>
      <c r="J33" s="26">
        <f t="shared" si="4"/>
        <v>0.10005030462243586</v>
      </c>
      <c r="K33" s="26">
        <f t="shared" si="4"/>
        <v>9.5097123530597724E-2</v>
      </c>
      <c r="L33" s="26">
        <f t="shared" si="4"/>
        <v>0.13428907431259451</v>
      </c>
      <c r="M33" s="26">
        <f t="shared" si="4"/>
        <v>0.11727365447769153</v>
      </c>
      <c r="N33" s="26">
        <f t="shared" si="4"/>
        <v>0.13020879389075371</v>
      </c>
      <c r="O33" s="26">
        <f t="shared" si="4"/>
        <v>0.14183908583974963</v>
      </c>
      <c r="P33" s="26">
        <f t="shared" si="4"/>
        <v>0.13620971799956869</v>
      </c>
      <c r="Q33" s="26">
        <f t="shared" si="4"/>
        <v>0.16286758990291453</v>
      </c>
      <c r="R33" s="26">
        <f t="shared" si="4"/>
        <v>0.17562404136532048</v>
      </c>
      <c r="S33" s="26">
        <f t="shared" si="4"/>
        <v>0.20701678438493856</v>
      </c>
      <c r="T33" s="26">
        <f t="shared" si="4"/>
        <v>0.28539325220300654</v>
      </c>
      <c r="U33" s="26">
        <f t="shared" si="4"/>
        <v>0.29654738071762993</v>
      </c>
      <c r="V33" s="26">
        <f t="shared" si="4"/>
        <v>0.28562566968412906</v>
      </c>
      <c r="W33" s="26">
        <f t="shared" si="4"/>
        <v>0.29229775180317641</v>
      </c>
      <c r="X33" s="26">
        <f t="shared" si="4"/>
        <v>0.2436920129410842</v>
      </c>
      <c r="Y33" s="26">
        <f t="shared" si="4"/>
        <v>0.27715500541106125</v>
      </c>
    </row>
    <row r="34" spans="2:25" x14ac:dyDescent="0.2">
      <c r="B34" s="22"/>
    </row>
    <row r="35" spans="2:25" x14ac:dyDescent="0.2">
      <c r="B35" s="22" t="s">
        <v>27</v>
      </c>
      <c r="C35" s="7" t="s">
        <v>118</v>
      </c>
      <c r="E35" s="26">
        <f>E24/E$26</f>
        <v>0.93132511315748401</v>
      </c>
      <c r="F35" s="26">
        <f t="shared" ref="F35:Y35" si="5">F24/F$26</f>
        <v>0.90685465091663486</v>
      </c>
      <c r="G35" s="26">
        <f t="shared" si="5"/>
        <v>0.89782206433227374</v>
      </c>
      <c r="H35" s="26">
        <f t="shared" si="5"/>
        <v>0.91325171799099525</v>
      </c>
      <c r="I35" s="26">
        <f t="shared" si="5"/>
        <v>0.90590871127104833</v>
      </c>
      <c r="J35" s="26">
        <f t="shared" si="5"/>
        <v>0.89994969537756409</v>
      </c>
      <c r="K35" s="26">
        <f t="shared" si="5"/>
        <v>0.90490287646940226</v>
      </c>
      <c r="L35" s="26">
        <f t="shared" si="5"/>
        <v>0.86571092568740549</v>
      </c>
      <c r="M35" s="26">
        <f t="shared" si="5"/>
        <v>0.88272634552230855</v>
      </c>
      <c r="N35" s="26">
        <f t="shared" si="5"/>
        <v>0.86979120610924632</v>
      </c>
      <c r="O35" s="26">
        <f t="shared" si="5"/>
        <v>0.85816091416025042</v>
      </c>
      <c r="P35" s="26">
        <f t="shared" si="5"/>
        <v>0.86379028200043118</v>
      </c>
      <c r="Q35" s="26">
        <f t="shared" si="5"/>
        <v>0.8371324100970855</v>
      </c>
      <c r="R35" s="26">
        <f t="shared" si="5"/>
        <v>0.8243759586346795</v>
      </c>
      <c r="S35" s="26">
        <f t="shared" si="5"/>
        <v>0.79298321561506147</v>
      </c>
      <c r="T35" s="26">
        <f t="shared" si="5"/>
        <v>0.71460674779699351</v>
      </c>
      <c r="U35" s="26">
        <f t="shared" si="5"/>
        <v>0.70345261928237002</v>
      </c>
      <c r="V35" s="26">
        <f t="shared" si="5"/>
        <v>0.71437433031587083</v>
      </c>
      <c r="W35" s="26">
        <f t="shared" si="5"/>
        <v>0.70770224819682359</v>
      </c>
      <c r="X35" s="26">
        <f t="shared" si="5"/>
        <v>0.75630798705891578</v>
      </c>
      <c r="Y35" s="26">
        <f t="shared" si="5"/>
        <v>0.72284499458893881</v>
      </c>
    </row>
    <row r="36" spans="2:25" x14ac:dyDescent="0.2">
      <c r="B36" s="22" t="s">
        <v>195</v>
      </c>
      <c r="C36" s="7" t="s">
        <v>118</v>
      </c>
      <c r="E36" s="26">
        <f>E25/E$26</f>
        <v>6.8674886842515992E-2</v>
      </c>
      <c r="F36" s="26">
        <f t="shared" ref="F36:Y36" si="6">F25/F$26</f>
        <v>9.3145349083365095E-2</v>
      </c>
      <c r="G36" s="26">
        <f t="shared" si="6"/>
        <v>0.10217793566772619</v>
      </c>
      <c r="H36" s="26">
        <f t="shared" si="6"/>
        <v>8.6748282009004904E-2</v>
      </c>
      <c r="I36" s="26">
        <f t="shared" si="6"/>
        <v>9.40912887289517E-2</v>
      </c>
      <c r="J36" s="26">
        <f t="shared" si="6"/>
        <v>0.10005030462243586</v>
      </c>
      <c r="K36" s="26">
        <f t="shared" si="6"/>
        <v>9.5097123530597724E-2</v>
      </c>
      <c r="L36" s="26">
        <f t="shared" si="6"/>
        <v>0.13428907431259451</v>
      </c>
      <c r="M36" s="26">
        <f t="shared" si="6"/>
        <v>0.11727365447769153</v>
      </c>
      <c r="N36" s="26">
        <f t="shared" si="6"/>
        <v>0.13020879389075371</v>
      </c>
      <c r="O36" s="26">
        <f t="shared" si="6"/>
        <v>0.14183908583974963</v>
      </c>
      <c r="P36" s="26">
        <f t="shared" si="6"/>
        <v>0.13620971799956869</v>
      </c>
      <c r="Q36" s="26">
        <f t="shared" si="6"/>
        <v>0.16286758990291453</v>
      </c>
      <c r="R36" s="26">
        <f t="shared" si="6"/>
        <v>0.17562404136532048</v>
      </c>
      <c r="S36" s="26">
        <f t="shared" si="6"/>
        <v>0.20701678438493856</v>
      </c>
      <c r="T36" s="26">
        <f t="shared" si="6"/>
        <v>0.28539325220300654</v>
      </c>
      <c r="U36" s="26">
        <f t="shared" si="6"/>
        <v>0.29654738071762993</v>
      </c>
      <c r="V36" s="26">
        <f t="shared" si="6"/>
        <v>0.28562566968412906</v>
      </c>
      <c r="W36" s="26">
        <f t="shared" si="6"/>
        <v>0.29229775180317641</v>
      </c>
      <c r="X36" s="26">
        <f t="shared" si="6"/>
        <v>0.2436920129410842</v>
      </c>
      <c r="Y36" s="26">
        <f t="shared" si="6"/>
        <v>0.27715500541106125</v>
      </c>
    </row>
    <row r="38" spans="2:25" x14ac:dyDescent="0.2">
      <c r="B38" s="77" t="s">
        <v>216</v>
      </c>
    </row>
    <row r="39" spans="2:25" x14ac:dyDescent="0.2">
      <c r="B39" s="22" t="s">
        <v>197</v>
      </c>
      <c r="C39" s="7" t="s">
        <v>118</v>
      </c>
      <c r="E39" s="26"/>
      <c r="F39" s="78">
        <f>F22/E22-1</f>
        <v>8.2557774756877311E-3</v>
      </c>
      <c r="G39" s="78">
        <f t="shared" ref="G39:Y39" si="7">G22/F22-1</f>
        <v>9.1491866271864009E-2</v>
      </c>
      <c r="H39" s="78">
        <f t="shared" si="7"/>
        <v>5.9510020324758939E-2</v>
      </c>
      <c r="I39" s="78">
        <f t="shared" si="7"/>
        <v>4.935159276797263E-2</v>
      </c>
      <c r="J39" s="78">
        <f t="shared" si="7"/>
        <v>-2.2810620570240525E-3</v>
      </c>
      <c r="K39" s="78">
        <f t="shared" si="7"/>
        <v>0.10073068357032722</v>
      </c>
      <c r="L39" s="78">
        <f t="shared" si="7"/>
        <v>-0.19182439126127537</v>
      </c>
      <c r="M39" s="78">
        <f t="shared" si="7"/>
        <v>0.38981319210399601</v>
      </c>
      <c r="N39" s="78">
        <f t="shared" si="7"/>
        <v>-2.6265813356834977E-3</v>
      </c>
      <c r="O39" s="78">
        <f t="shared" si="7"/>
        <v>-5.2169805422597193E-4</v>
      </c>
      <c r="P39" s="78">
        <f t="shared" si="7"/>
        <v>-7.8538816593798355E-4</v>
      </c>
      <c r="Q39" s="78">
        <f t="shared" si="7"/>
        <v>5.9235599231801661E-3</v>
      </c>
      <c r="R39" s="78">
        <f t="shared" si="7"/>
        <v>6.7572510743933112E-2</v>
      </c>
      <c r="S39" s="78">
        <f t="shared" si="7"/>
        <v>2.9756730743073057E-2</v>
      </c>
      <c r="T39" s="78">
        <f t="shared" si="7"/>
        <v>-1.1318212610554546E-2</v>
      </c>
      <c r="U39" s="78">
        <f t="shared" si="7"/>
        <v>0.14920160093343249</v>
      </c>
      <c r="V39" s="78">
        <f t="shared" si="7"/>
        <v>5.4895693145249114E-2</v>
      </c>
      <c r="W39" s="78">
        <f t="shared" si="7"/>
        <v>7.2447119254962278E-2</v>
      </c>
      <c r="X39" s="78">
        <f t="shared" si="7"/>
        <v>3.1908974668263035E-2</v>
      </c>
      <c r="Y39" s="78">
        <f t="shared" si="7"/>
        <v>0.29142377242479145</v>
      </c>
    </row>
    <row r="40" spans="2:25" x14ac:dyDescent="0.2">
      <c r="B40" s="22" t="s">
        <v>198</v>
      </c>
      <c r="C40" s="7" t="s">
        <v>118</v>
      </c>
      <c r="E40" s="26"/>
      <c r="F40" s="78">
        <f>F23/E23-1</f>
        <v>0.35362716153521712</v>
      </c>
      <c r="G40" s="78">
        <f t="shared" ref="G40:Y40" si="8">G23/F23-1</f>
        <v>5.9745439249715648E-2</v>
      </c>
      <c r="H40" s="78">
        <f t="shared" si="8"/>
        <v>0.13649300246971663</v>
      </c>
      <c r="I40" s="78">
        <f t="shared" si="8"/>
        <v>0.10067676642245127</v>
      </c>
      <c r="J40" s="78">
        <f t="shared" si="8"/>
        <v>4.0520848023315903E-2</v>
      </c>
      <c r="K40" s="78">
        <f t="shared" si="8"/>
        <v>7.1685114072735479E-2</v>
      </c>
      <c r="L40" s="78">
        <f t="shared" si="8"/>
        <v>6.9482647781044848E-2</v>
      </c>
      <c r="M40" s="78">
        <f t="shared" si="8"/>
        <v>-2.7146235711470235E-2</v>
      </c>
      <c r="N40" s="78">
        <f t="shared" si="8"/>
        <v>6.9072536697823761E-2</v>
      </c>
      <c r="O40" s="78">
        <f t="shared" si="8"/>
        <v>9.530207192423279E-2</v>
      </c>
      <c r="P40" s="78">
        <f t="shared" si="8"/>
        <v>4.6893246715050685E-2</v>
      </c>
      <c r="Q40" s="78">
        <f t="shared" si="8"/>
        <v>4.9246430460092583E-4</v>
      </c>
      <c r="R40" s="78">
        <f t="shared" si="8"/>
        <v>-9.5831309937927212E-2</v>
      </c>
      <c r="S40" s="78">
        <f t="shared" si="8"/>
        <v>0.21837595907928398</v>
      </c>
      <c r="T40" s="78">
        <f t="shared" si="8"/>
        <v>-0.26190401221101189</v>
      </c>
      <c r="U40" s="78">
        <f t="shared" si="8"/>
        <v>-1.1199252435171947E-2</v>
      </c>
      <c r="V40" s="78">
        <f t="shared" si="8"/>
        <v>0.85582801919663409</v>
      </c>
      <c r="W40" s="78">
        <f t="shared" si="8"/>
        <v>5.0301772999397754E-2</v>
      </c>
      <c r="X40" s="78">
        <f t="shared" si="8"/>
        <v>0.10095207780203141</v>
      </c>
      <c r="Y40" s="78">
        <f t="shared" si="8"/>
        <v>0.363913734853482</v>
      </c>
    </row>
    <row r="41" spans="2:25" x14ac:dyDescent="0.2">
      <c r="B41" s="22" t="s">
        <v>195</v>
      </c>
      <c r="C41" s="7" t="s">
        <v>118</v>
      </c>
      <c r="E41" s="26"/>
      <c r="F41" s="78">
        <f>F25/E25-1</f>
        <v>0.5</v>
      </c>
      <c r="G41" s="78">
        <f t="shared" ref="G41:Y41" si="9">G25/F25-1</f>
        <v>0.20059848484848475</v>
      </c>
      <c r="H41" s="78">
        <f t="shared" si="9"/>
        <v>-9.9988011029852553E-2</v>
      </c>
      <c r="I41" s="78">
        <f t="shared" si="9"/>
        <v>0.16184894098841096</v>
      </c>
      <c r="J41" s="78">
        <f t="shared" si="9"/>
        <v>8.014820357474739E-2</v>
      </c>
      <c r="K41" s="78">
        <f t="shared" si="9"/>
        <v>3.2960893854748541E-2</v>
      </c>
      <c r="L41" s="78">
        <f t="shared" si="9"/>
        <v>0.29691725256895629</v>
      </c>
      <c r="M41" s="78">
        <f t="shared" si="9"/>
        <v>7.3106755629691378E-2</v>
      </c>
      <c r="N41" s="78">
        <f t="shared" si="9"/>
        <v>0.14444042886399222</v>
      </c>
      <c r="O41" s="78">
        <f t="shared" si="9"/>
        <v>0.13188794567062812</v>
      </c>
      <c r="P41" s="78">
        <f t="shared" si="9"/>
        <v>-3.3659225837805673E-2</v>
      </c>
      <c r="Q41" s="78">
        <f t="shared" si="9"/>
        <v>0.2391120107040523</v>
      </c>
      <c r="R41" s="78">
        <f t="shared" si="9"/>
        <v>0.11620117050488044</v>
      </c>
      <c r="S41" s="78">
        <f t="shared" si="9"/>
        <v>0.32237921553223714</v>
      </c>
      <c r="T41" s="78">
        <f t="shared" si="9"/>
        <v>0.39919681305195764</v>
      </c>
      <c r="U41" s="78">
        <f t="shared" si="9"/>
        <v>0.17267126104367003</v>
      </c>
      <c r="V41" s="78">
        <f t="shared" si="9"/>
        <v>0.1617576015252189</v>
      </c>
      <c r="W41" s="78">
        <f t="shared" si="9"/>
        <v>0.10048893681397697</v>
      </c>
      <c r="X41" s="78">
        <f t="shared" si="9"/>
        <v>-0.17789745635377541</v>
      </c>
      <c r="Y41" s="78">
        <f t="shared" si="9"/>
        <v>0.6340898331658531</v>
      </c>
    </row>
    <row r="42" spans="2:25" x14ac:dyDescent="0.2">
      <c r="B42" s="22"/>
    </row>
    <row r="43" spans="2:25" x14ac:dyDescent="0.2">
      <c r="B43" s="22" t="s">
        <v>27</v>
      </c>
      <c r="C43" s="7" t="s">
        <v>118</v>
      </c>
      <c r="E43" s="26"/>
      <c r="F43" s="78">
        <f>F22/E22-1</f>
        <v>8.2557774756877311E-3</v>
      </c>
      <c r="G43" s="78">
        <f t="shared" ref="G43:Y43" si="10">G22/F22-1</f>
        <v>9.1491866271864009E-2</v>
      </c>
      <c r="H43" s="78">
        <f t="shared" si="10"/>
        <v>5.9510020324758939E-2</v>
      </c>
      <c r="I43" s="78">
        <f t="shared" si="10"/>
        <v>4.935159276797263E-2</v>
      </c>
      <c r="J43" s="78">
        <f t="shared" si="10"/>
        <v>-2.2810620570240525E-3</v>
      </c>
      <c r="K43" s="78">
        <f t="shared" si="10"/>
        <v>0.10073068357032722</v>
      </c>
      <c r="L43" s="78">
        <f t="shared" si="10"/>
        <v>-0.19182439126127537</v>
      </c>
      <c r="M43" s="78">
        <f t="shared" si="10"/>
        <v>0.38981319210399601</v>
      </c>
      <c r="N43" s="78">
        <f t="shared" si="10"/>
        <v>-2.6265813356834977E-3</v>
      </c>
      <c r="O43" s="78">
        <f t="shared" si="10"/>
        <v>-5.2169805422597193E-4</v>
      </c>
      <c r="P43" s="78">
        <f t="shared" si="10"/>
        <v>-7.8538816593798355E-4</v>
      </c>
      <c r="Q43" s="78">
        <f t="shared" si="10"/>
        <v>5.9235599231801661E-3</v>
      </c>
      <c r="R43" s="78">
        <f t="shared" si="10"/>
        <v>6.7572510743933112E-2</v>
      </c>
      <c r="S43" s="78">
        <f t="shared" si="10"/>
        <v>2.9756730743073057E-2</v>
      </c>
      <c r="T43" s="78">
        <f t="shared" si="10"/>
        <v>-1.1318212610554546E-2</v>
      </c>
      <c r="U43" s="78">
        <f t="shared" si="10"/>
        <v>0.14920160093343249</v>
      </c>
      <c r="V43" s="78">
        <f t="shared" si="10"/>
        <v>5.4895693145249114E-2</v>
      </c>
      <c r="W43" s="78">
        <f t="shared" si="10"/>
        <v>7.2447119254962278E-2</v>
      </c>
      <c r="X43" s="78">
        <f t="shared" si="10"/>
        <v>3.1908974668263035E-2</v>
      </c>
      <c r="Y43" s="78">
        <f t="shared" si="10"/>
        <v>0.29142377242479145</v>
      </c>
    </row>
    <row r="44" spans="2:25" x14ac:dyDescent="0.2">
      <c r="B44" s="22" t="s">
        <v>195</v>
      </c>
      <c r="C44" s="7" t="s">
        <v>118</v>
      </c>
      <c r="E44" s="26"/>
      <c r="F44" s="78">
        <f>F25/E25-1</f>
        <v>0.5</v>
      </c>
      <c r="G44" s="78">
        <f t="shared" ref="G44:Y44" si="11">G25/F25-1</f>
        <v>0.20059848484848475</v>
      </c>
      <c r="H44" s="78">
        <f t="shared" si="11"/>
        <v>-9.9988011029852553E-2</v>
      </c>
      <c r="I44" s="78">
        <f t="shared" si="11"/>
        <v>0.16184894098841096</v>
      </c>
      <c r="J44" s="78">
        <f t="shared" si="11"/>
        <v>8.014820357474739E-2</v>
      </c>
      <c r="K44" s="78">
        <f t="shared" si="11"/>
        <v>3.2960893854748541E-2</v>
      </c>
      <c r="L44" s="78">
        <f t="shared" si="11"/>
        <v>0.29691725256895629</v>
      </c>
      <c r="M44" s="78">
        <f t="shared" si="11"/>
        <v>7.3106755629691378E-2</v>
      </c>
      <c r="N44" s="78">
        <f t="shared" si="11"/>
        <v>0.14444042886399222</v>
      </c>
      <c r="O44" s="78">
        <f t="shared" si="11"/>
        <v>0.13188794567062812</v>
      </c>
      <c r="P44" s="78">
        <f t="shared" si="11"/>
        <v>-3.3659225837805673E-2</v>
      </c>
      <c r="Q44" s="78">
        <f t="shared" si="11"/>
        <v>0.2391120107040523</v>
      </c>
      <c r="R44" s="78">
        <f t="shared" si="11"/>
        <v>0.11620117050488044</v>
      </c>
      <c r="S44" s="78">
        <f t="shared" si="11"/>
        <v>0.32237921553223714</v>
      </c>
      <c r="T44" s="78">
        <f t="shared" si="11"/>
        <v>0.39919681305195764</v>
      </c>
      <c r="U44" s="78">
        <f t="shared" si="11"/>
        <v>0.17267126104367003</v>
      </c>
      <c r="V44" s="78">
        <f t="shared" si="11"/>
        <v>0.1617576015252189</v>
      </c>
      <c r="W44" s="78">
        <f t="shared" si="11"/>
        <v>0.10048893681397697</v>
      </c>
      <c r="X44" s="78">
        <f t="shared" si="11"/>
        <v>-0.17789745635377541</v>
      </c>
      <c r="Y44" s="78">
        <f t="shared" si="11"/>
        <v>0.6340898331658531</v>
      </c>
    </row>
    <row r="45" spans="2:25" x14ac:dyDescent="0.2">
      <c r="B45" s="22" t="s">
        <v>182</v>
      </c>
      <c r="C45" s="7" t="s">
        <v>118</v>
      </c>
      <c r="E45" s="26"/>
      <c r="F45" s="78">
        <f>F26/E26-1</f>
        <v>0.10593101295458096</v>
      </c>
      <c r="G45" s="78">
        <f t="shared" ref="G45:Y45" si="12">G26/F26-1</f>
        <v>9.4464908195379449E-2</v>
      </c>
      <c r="H45" s="78">
        <f t="shared" si="12"/>
        <v>6.0094390107091389E-2</v>
      </c>
      <c r="I45" s="78">
        <f t="shared" si="12"/>
        <v>7.1176736404015006E-2</v>
      </c>
      <c r="J45" s="78">
        <f t="shared" si="12"/>
        <v>1.5814363345970195E-2</v>
      </c>
      <c r="K45" s="78">
        <f t="shared" si="12"/>
        <v>8.6763177016376813E-2</v>
      </c>
      <c r="L45" s="78">
        <f t="shared" si="12"/>
        <v>-8.1585000061717872E-2</v>
      </c>
      <c r="M45" s="78">
        <f t="shared" si="12"/>
        <v>0.22880551044408359</v>
      </c>
      <c r="N45" s="78">
        <f t="shared" si="12"/>
        <v>3.074997789705769E-2</v>
      </c>
      <c r="O45" s="78">
        <f t="shared" si="12"/>
        <v>3.9077228626303695E-2</v>
      </c>
      <c r="P45" s="78">
        <f t="shared" si="12"/>
        <v>6.278362732353715E-3</v>
      </c>
      <c r="Q45" s="78">
        <f t="shared" si="12"/>
        <v>3.6296402792518778E-2</v>
      </c>
      <c r="R45" s="78">
        <f t="shared" si="12"/>
        <v>3.5125903456402874E-2</v>
      </c>
      <c r="S45" s="78">
        <f t="shared" si="12"/>
        <v>0.12184904590842582</v>
      </c>
      <c r="T45" s="78">
        <f t="shared" si="12"/>
        <v>1.4940692268472944E-2</v>
      </c>
      <c r="U45" s="78">
        <f t="shared" si="12"/>
        <v>0.12856321355583411</v>
      </c>
      <c r="V45" s="78">
        <f t="shared" si="12"/>
        <v>0.20618071247621783</v>
      </c>
      <c r="W45" s="78">
        <f t="shared" si="12"/>
        <v>7.5368823805135987E-2</v>
      </c>
      <c r="X45" s="78">
        <f t="shared" si="12"/>
        <v>-1.3924492808225164E-2</v>
      </c>
      <c r="Y45" s="78">
        <f t="shared" si="12"/>
        <v>0.43679397086888927</v>
      </c>
    </row>
    <row r="47" spans="2:25" x14ac:dyDescent="0.2">
      <c r="B47" s="20" t="s">
        <v>220</v>
      </c>
    </row>
    <row r="49" spans="2:34" x14ac:dyDescent="0.2">
      <c r="B49" s="21" t="s">
        <v>209</v>
      </c>
    </row>
    <row r="50" spans="2:34" x14ac:dyDescent="0.2">
      <c r="B50" s="73" t="s">
        <v>183</v>
      </c>
      <c r="C50" s="7" t="s">
        <v>123</v>
      </c>
      <c r="E50" s="24"/>
      <c r="F50" s="24"/>
      <c r="G50" s="24"/>
      <c r="H50" s="24"/>
      <c r="I50" s="24"/>
      <c r="J50" s="24"/>
      <c r="K50" s="24"/>
      <c r="L50" s="24"/>
      <c r="M50" s="24"/>
      <c r="N50" s="24"/>
      <c r="O50" s="24">
        <v>3642.08</v>
      </c>
      <c r="P50" s="24">
        <v>3663.62</v>
      </c>
      <c r="Q50" s="24">
        <v>3828.63</v>
      </c>
      <c r="R50" s="24">
        <v>5152.3599999999997</v>
      </c>
      <c r="S50" s="24">
        <v>5254.05</v>
      </c>
      <c r="T50" s="24">
        <v>3940.59</v>
      </c>
      <c r="U50" s="24">
        <v>3915.97</v>
      </c>
      <c r="V50" s="24">
        <v>4100.07</v>
      </c>
      <c r="W50" s="24">
        <v>4159.08</v>
      </c>
      <c r="X50" s="24">
        <v>3810.81</v>
      </c>
      <c r="Y50" s="24">
        <v>4557.5600000000004</v>
      </c>
      <c r="Z50" s="24"/>
      <c r="AA50" s="24"/>
      <c r="AB50" s="24"/>
      <c r="AC50" s="24"/>
      <c r="AD50" s="24"/>
      <c r="AE50" s="24"/>
      <c r="AF50" s="24"/>
      <c r="AG50" s="24"/>
      <c r="AH50" s="24"/>
    </row>
    <row r="51" spans="2:34" x14ac:dyDescent="0.2">
      <c r="B51" s="73" t="s">
        <v>184</v>
      </c>
      <c r="C51" s="7" t="s">
        <v>123</v>
      </c>
      <c r="E51" s="24"/>
      <c r="F51" s="24"/>
      <c r="G51" s="24"/>
      <c r="H51" s="24"/>
      <c r="I51" s="24"/>
      <c r="J51" s="24"/>
      <c r="K51" s="24"/>
      <c r="L51" s="24"/>
      <c r="M51" s="24"/>
      <c r="N51" s="24"/>
      <c r="O51" s="24">
        <v>3107.37</v>
      </c>
      <c r="P51" s="24">
        <v>3279.61</v>
      </c>
      <c r="Q51" s="24">
        <v>3166.35</v>
      </c>
      <c r="R51" s="24">
        <v>5053.53</v>
      </c>
      <c r="S51" s="24">
        <v>4884</v>
      </c>
      <c r="T51" s="24">
        <v>2799.38</v>
      </c>
      <c r="U51" s="24">
        <v>2840.08</v>
      </c>
      <c r="V51" s="24">
        <v>2910.07</v>
      </c>
      <c r="W51" s="24">
        <v>3021.82</v>
      </c>
      <c r="X51" s="24">
        <v>2816.29</v>
      </c>
      <c r="Y51" s="24">
        <v>3089.04</v>
      </c>
      <c r="Z51" s="24"/>
      <c r="AA51" s="24"/>
      <c r="AB51" s="24"/>
      <c r="AC51" s="24"/>
      <c r="AD51" s="24"/>
      <c r="AE51" s="24"/>
      <c r="AF51" s="24"/>
      <c r="AG51" s="24"/>
      <c r="AH51" s="24"/>
    </row>
    <row r="52" spans="2:34" x14ac:dyDescent="0.2">
      <c r="B52" s="73" t="s">
        <v>185</v>
      </c>
      <c r="C52" s="7" t="s">
        <v>123</v>
      </c>
      <c r="E52" s="24"/>
      <c r="F52" s="24"/>
      <c r="G52" s="24"/>
      <c r="H52" s="24"/>
      <c r="I52" s="24"/>
      <c r="J52" s="24"/>
      <c r="K52" s="24"/>
      <c r="L52" s="24"/>
      <c r="M52" s="24"/>
      <c r="N52" s="24"/>
      <c r="O52" s="24">
        <v>1815.46</v>
      </c>
      <c r="P52" s="24">
        <v>1798.88</v>
      </c>
      <c r="Q52" s="24">
        <v>1777.46</v>
      </c>
      <c r="R52" s="24">
        <v>2608.06</v>
      </c>
      <c r="S52" s="24">
        <v>2523.5500000000002</v>
      </c>
      <c r="T52" s="24">
        <v>1660.02</v>
      </c>
      <c r="U52" s="24">
        <v>1536.08</v>
      </c>
      <c r="V52" s="24">
        <v>1501.32</v>
      </c>
      <c r="W52" s="24">
        <v>1416.21</v>
      </c>
      <c r="X52" s="24">
        <v>1186.83</v>
      </c>
      <c r="Y52" s="24">
        <v>1292.78</v>
      </c>
      <c r="Z52" s="24"/>
      <c r="AA52" s="24"/>
      <c r="AB52" s="24"/>
      <c r="AC52" s="24"/>
      <c r="AD52" s="24"/>
      <c r="AE52" s="24"/>
      <c r="AF52" s="24"/>
      <c r="AG52" s="24"/>
      <c r="AH52" s="24"/>
    </row>
    <row r="53" spans="2:34" x14ac:dyDescent="0.2">
      <c r="B53" s="73" t="s">
        <v>186</v>
      </c>
      <c r="C53" s="7" t="s">
        <v>123</v>
      </c>
      <c r="E53" s="24"/>
      <c r="F53" s="24"/>
      <c r="G53" s="24"/>
      <c r="H53" s="24"/>
      <c r="I53" s="24"/>
      <c r="J53" s="24"/>
      <c r="K53" s="24"/>
      <c r="L53" s="24"/>
      <c r="M53" s="24"/>
      <c r="N53" s="24"/>
      <c r="O53" s="24">
        <v>615.41999999999996</v>
      </c>
      <c r="P53" s="24">
        <v>564.49</v>
      </c>
      <c r="Q53" s="24">
        <v>489.99</v>
      </c>
      <c r="R53" s="24">
        <v>806.06</v>
      </c>
      <c r="S53" s="24">
        <v>900.68</v>
      </c>
      <c r="T53" s="24">
        <v>504.17</v>
      </c>
      <c r="U53" s="24">
        <v>476.52</v>
      </c>
      <c r="V53" s="24">
        <v>470.64</v>
      </c>
      <c r="W53" s="24">
        <v>437.74</v>
      </c>
      <c r="X53" s="24">
        <v>365.84</v>
      </c>
      <c r="Y53" s="24">
        <v>450.62</v>
      </c>
      <c r="Z53" s="24"/>
      <c r="AA53" s="24"/>
      <c r="AB53" s="24"/>
      <c r="AC53" s="24"/>
      <c r="AD53" s="24"/>
      <c r="AE53" s="24"/>
      <c r="AF53" s="24"/>
      <c r="AG53" s="24"/>
      <c r="AH53" s="24"/>
    </row>
    <row r="54" spans="2:34" x14ac:dyDescent="0.2">
      <c r="B54" s="73" t="s">
        <v>187</v>
      </c>
      <c r="C54" s="7" t="s">
        <v>123</v>
      </c>
      <c r="E54" s="24"/>
      <c r="F54" s="24"/>
      <c r="G54" s="24"/>
      <c r="H54" s="24"/>
      <c r="I54" s="24"/>
      <c r="J54" s="24"/>
      <c r="K54" s="24"/>
      <c r="L54" s="24"/>
      <c r="M54" s="24"/>
      <c r="N54" s="24"/>
      <c r="O54" s="24">
        <v>992.17</v>
      </c>
      <c r="P54" s="24">
        <v>1023.63</v>
      </c>
      <c r="Q54" s="24">
        <v>1074.0899999999999</v>
      </c>
      <c r="R54" s="24">
        <v>2336.9699999999998</v>
      </c>
      <c r="S54" s="24">
        <v>1693.92</v>
      </c>
      <c r="T54" s="24">
        <v>1172.1199999999999</v>
      </c>
      <c r="U54" s="24">
        <v>1104.07</v>
      </c>
      <c r="V54" s="24">
        <v>1097.45</v>
      </c>
      <c r="W54" s="24">
        <v>1088.24</v>
      </c>
      <c r="X54" s="24">
        <v>1047.51</v>
      </c>
      <c r="Y54" s="24">
        <v>2660.95</v>
      </c>
      <c r="Z54" s="24"/>
      <c r="AA54" s="24"/>
      <c r="AB54" s="24"/>
      <c r="AC54" s="24"/>
      <c r="AD54" s="24"/>
      <c r="AE54" s="24"/>
      <c r="AF54" s="24"/>
      <c r="AG54" s="24"/>
      <c r="AH54" s="24"/>
    </row>
    <row r="55" spans="2:34" x14ac:dyDescent="0.2">
      <c r="B55" s="73" t="s">
        <v>188</v>
      </c>
      <c r="C55" s="7" t="s">
        <v>123</v>
      </c>
      <c r="E55" s="24"/>
      <c r="F55" s="24"/>
      <c r="G55" s="24"/>
      <c r="H55" s="24"/>
      <c r="I55" s="24"/>
      <c r="J55" s="24"/>
      <c r="K55" s="24"/>
      <c r="L55" s="24"/>
      <c r="M55" s="24"/>
      <c r="N55" s="24"/>
      <c r="O55" s="24">
        <v>667.39</v>
      </c>
      <c r="P55" s="24">
        <v>574.16999999999996</v>
      </c>
      <c r="Q55" s="24">
        <v>171.71</v>
      </c>
      <c r="R55" s="24">
        <v>272.91000000000003</v>
      </c>
      <c r="S55" s="24">
        <v>303.27</v>
      </c>
      <c r="T55" s="24">
        <v>242.79</v>
      </c>
      <c r="U55" s="24">
        <v>253.77</v>
      </c>
      <c r="V55" s="24">
        <v>244</v>
      </c>
      <c r="W55" s="24">
        <v>206.86</v>
      </c>
      <c r="X55" s="24">
        <v>158.79</v>
      </c>
      <c r="Y55" s="24">
        <v>159.65</v>
      </c>
      <c r="Z55" s="24"/>
      <c r="AA55" s="24"/>
      <c r="AB55" s="24"/>
      <c r="AC55" s="24"/>
      <c r="AD55" s="24"/>
      <c r="AE55" s="24"/>
      <c r="AF55" s="24"/>
      <c r="AG55" s="24"/>
      <c r="AH55" s="24"/>
    </row>
    <row r="56" spans="2:34" x14ac:dyDescent="0.2">
      <c r="B56" s="73" t="s">
        <v>189</v>
      </c>
      <c r="C56" s="7" t="s">
        <v>123</v>
      </c>
      <c r="E56" s="24"/>
      <c r="F56" s="24"/>
      <c r="G56" s="24"/>
      <c r="H56" s="24"/>
      <c r="I56" s="24"/>
      <c r="J56" s="24"/>
      <c r="K56" s="24"/>
      <c r="L56" s="24"/>
      <c r="M56" s="24"/>
      <c r="N56" s="24"/>
      <c r="O56" s="24">
        <v>165.01</v>
      </c>
      <c r="P56" s="24">
        <v>126.52</v>
      </c>
      <c r="Q56" s="24">
        <v>122.61</v>
      </c>
      <c r="R56" s="24">
        <v>136.84</v>
      </c>
      <c r="S56" s="24">
        <v>170.59</v>
      </c>
      <c r="T56" s="24">
        <v>117.67</v>
      </c>
      <c r="U56" s="24">
        <v>126.72</v>
      </c>
      <c r="V56" s="24">
        <v>123.87</v>
      </c>
      <c r="W56" s="24">
        <v>123.45</v>
      </c>
      <c r="X56" s="24">
        <v>109.18</v>
      </c>
      <c r="Y56" s="24">
        <v>127.02</v>
      </c>
      <c r="Z56" s="24"/>
      <c r="AA56" s="24"/>
      <c r="AB56" s="24"/>
      <c r="AC56" s="24"/>
      <c r="AD56" s="24"/>
      <c r="AE56" s="24"/>
      <c r="AF56" s="24"/>
      <c r="AG56" s="24"/>
      <c r="AH56" s="24"/>
    </row>
    <row r="57" spans="2:34" x14ac:dyDescent="0.2">
      <c r="B57" s="73" t="s">
        <v>190</v>
      </c>
      <c r="C57" s="7" t="s">
        <v>123</v>
      </c>
      <c r="E57" s="24"/>
      <c r="F57" s="24"/>
      <c r="G57" s="24"/>
      <c r="H57" s="24"/>
      <c r="I57" s="24"/>
      <c r="J57" s="24"/>
      <c r="K57" s="24"/>
      <c r="L57" s="24"/>
      <c r="M57" s="24"/>
      <c r="N57" s="24"/>
      <c r="O57" s="24">
        <v>3382.89</v>
      </c>
      <c r="P57" s="24">
        <v>3345.57</v>
      </c>
      <c r="Q57" s="24">
        <v>3830.81</v>
      </c>
      <c r="R57" s="24">
        <v>162.34</v>
      </c>
      <c r="S57" s="24">
        <v>168.21</v>
      </c>
      <c r="T57" s="24">
        <v>5281.59</v>
      </c>
      <c r="U57" s="24">
        <v>7810.32</v>
      </c>
      <c r="V57" s="24">
        <v>9106.7999999999993</v>
      </c>
      <c r="W57" s="24">
        <v>10490.79</v>
      </c>
      <c r="X57" s="24">
        <v>11592.45</v>
      </c>
      <c r="Y57" s="24">
        <v>16717.740000000002</v>
      </c>
      <c r="Z57" s="24"/>
      <c r="AA57" s="24"/>
      <c r="AB57" s="24"/>
      <c r="AC57" s="24"/>
      <c r="AD57" s="24"/>
      <c r="AE57" s="24"/>
      <c r="AF57" s="24"/>
      <c r="AG57" s="24"/>
      <c r="AH57" s="24"/>
    </row>
    <row r="58" spans="2:34" x14ac:dyDescent="0.2">
      <c r="B58" s="72" t="s">
        <v>192</v>
      </c>
      <c r="C58" s="79" t="s">
        <v>123</v>
      </c>
      <c r="D58" s="67"/>
      <c r="E58" s="71">
        <f>E22</f>
        <v>9563</v>
      </c>
      <c r="F58" s="71">
        <f t="shared" ref="F58:N58" si="13">F22</f>
        <v>9641.9500000000007</v>
      </c>
      <c r="G58" s="71">
        <f t="shared" si="13"/>
        <v>10524.11</v>
      </c>
      <c r="H58" s="71">
        <f t="shared" si="13"/>
        <v>11150.4</v>
      </c>
      <c r="I58" s="71">
        <f t="shared" si="13"/>
        <v>11700.69</v>
      </c>
      <c r="J58" s="71">
        <f t="shared" si="13"/>
        <v>11674</v>
      </c>
      <c r="K58" s="71">
        <f t="shared" si="13"/>
        <v>12849.93</v>
      </c>
      <c r="L58" s="71">
        <f t="shared" si="13"/>
        <v>10385</v>
      </c>
      <c r="M58" s="71">
        <f t="shared" si="13"/>
        <v>14433.21</v>
      </c>
      <c r="N58" s="71">
        <f t="shared" si="13"/>
        <v>14395.3</v>
      </c>
      <c r="O58" s="69">
        <v>14387.79</v>
      </c>
      <c r="P58" s="69">
        <v>14376.49</v>
      </c>
      <c r="Q58" s="69">
        <v>14461.65</v>
      </c>
      <c r="R58" s="69">
        <v>16529.07</v>
      </c>
      <c r="S58" s="69">
        <v>15898.27</v>
      </c>
      <c r="T58" s="69">
        <v>15718.33</v>
      </c>
      <c r="U58" s="69">
        <v>18063.53</v>
      </c>
      <c r="V58" s="69">
        <v>19554.22</v>
      </c>
      <c r="W58" s="69">
        <v>20944.189999999999</v>
      </c>
      <c r="X58" s="69">
        <v>21087.71</v>
      </c>
      <c r="Y58" s="69">
        <v>29055.360000000001</v>
      </c>
      <c r="Z58" s="69"/>
      <c r="AA58" s="69"/>
      <c r="AB58" s="69"/>
      <c r="AC58" s="69"/>
      <c r="AD58" s="69"/>
      <c r="AE58" s="69"/>
      <c r="AF58" s="69"/>
      <c r="AG58" s="69"/>
      <c r="AH58" s="69"/>
    </row>
    <row r="59" spans="2:34" x14ac:dyDescent="0.2">
      <c r="B59" s="73"/>
    </row>
    <row r="60" spans="2:34" x14ac:dyDescent="0.2">
      <c r="B60" s="21" t="s">
        <v>208</v>
      </c>
    </row>
    <row r="61" spans="2:34" x14ac:dyDescent="0.2">
      <c r="B61" s="73" t="s">
        <v>183</v>
      </c>
      <c r="C61" s="7" t="s">
        <v>123</v>
      </c>
      <c r="E61" s="24"/>
      <c r="F61" s="24"/>
      <c r="G61" s="24"/>
      <c r="H61" s="24"/>
      <c r="I61" s="24"/>
      <c r="J61" s="24"/>
      <c r="K61" s="24"/>
      <c r="L61" s="24"/>
      <c r="M61" s="24"/>
      <c r="N61" s="24"/>
      <c r="O61" s="24">
        <v>598.83000000000004</v>
      </c>
      <c r="P61" s="24">
        <v>581.12</v>
      </c>
      <c r="Q61" s="24">
        <v>1015.38</v>
      </c>
      <c r="R61" s="24">
        <v>1063.8599999999999</v>
      </c>
      <c r="S61" s="24">
        <v>605.19000000000005</v>
      </c>
      <c r="T61" s="24">
        <v>586.41</v>
      </c>
      <c r="U61" s="24">
        <v>565.35</v>
      </c>
      <c r="V61" s="24">
        <v>566.83000000000004</v>
      </c>
      <c r="W61" s="24">
        <v>520.89</v>
      </c>
      <c r="X61" s="24">
        <v>440.29</v>
      </c>
      <c r="Y61" s="24">
        <v>504.68</v>
      </c>
      <c r="Z61" s="24"/>
      <c r="AA61" s="24"/>
      <c r="AB61" s="24"/>
      <c r="AC61" s="24"/>
      <c r="AD61" s="24"/>
      <c r="AE61" s="24"/>
      <c r="AF61" s="24"/>
      <c r="AG61" s="24"/>
      <c r="AH61" s="24"/>
    </row>
    <row r="62" spans="2:34" x14ac:dyDescent="0.2">
      <c r="B62" s="73" t="s">
        <v>184</v>
      </c>
      <c r="C62" s="7" t="s">
        <v>123</v>
      </c>
      <c r="E62" s="24"/>
      <c r="F62" s="24"/>
      <c r="G62" s="24"/>
      <c r="H62" s="24"/>
      <c r="I62" s="24"/>
      <c r="J62" s="24"/>
      <c r="K62" s="24"/>
      <c r="L62" s="24"/>
      <c r="M62" s="24"/>
      <c r="N62" s="24"/>
      <c r="O62" s="24">
        <v>543.41</v>
      </c>
      <c r="P62" s="24">
        <v>536.74</v>
      </c>
      <c r="Q62" s="24">
        <v>800.99</v>
      </c>
      <c r="R62" s="24">
        <v>873.48</v>
      </c>
      <c r="S62" s="24">
        <v>516.87</v>
      </c>
      <c r="T62" s="24">
        <v>505.28</v>
      </c>
      <c r="U62" s="24">
        <v>498.11</v>
      </c>
      <c r="V62" s="24">
        <v>493.32</v>
      </c>
      <c r="W62" s="24">
        <v>448.41</v>
      </c>
      <c r="X62" s="24">
        <v>386.26</v>
      </c>
      <c r="Y62" s="24">
        <v>377.67</v>
      </c>
      <c r="Z62" s="24"/>
      <c r="AA62" s="24"/>
      <c r="AB62" s="24"/>
      <c r="AC62" s="24"/>
      <c r="AD62" s="24"/>
      <c r="AE62" s="24"/>
      <c r="AF62" s="24"/>
      <c r="AG62" s="24"/>
      <c r="AH62" s="24"/>
    </row>
    <row r="63" spans="2:34" x14ac:dyDescent="0.2">
      <c r="B63" s="73" t="s">
        <v>185</v>
      </c>
      <c r="C63" s="7" t="s">
        <v>123</v>
      </c>
      <c r="E63" s="24"/>
      <c r="F63" s="24"/>
      <c r="G63" s="24"/>
      <c r="H63" s="24"/>
      <c r="I63" s="24"/>
      <c r="J63" s="24"/>
      <c r="K63" s="24"/>
      <c r="L63" s="24"/>
      <c r="M63" s="24"/>
      <c r="N63" s="24"/>
      <c r="O63" s="24">
        <v>237.08</v>
      </c>
      <c r="P63" s="24">
        <v>206.35</v>
      </c>
      <c r="Q63" s="24">
        <v>306.29000000000002</v>
      </c>
      <c r="R63" s="24">
        <v>292.73</v>
      </c>
      <c r="S63" s="24">
        <v>209.25</v>
      </c>
      <c r="T63" s="24">
        <v>213.69</v>
      </c>
      <c r="U63" s="24">
        <v>193.24</v>
      </c>
      <c r="V63" s="24">
        <v>184.26</v>
      </c>
      <c r="W63" s="24">
        <v>153.72999999999999</v>
      </c>
      <c r="X63" s="24">
        <v>120.35</v>
      </c>
      <c r="Y63" s="24">
        <v>123.28</v>
      </c>
      <c r="Z63" s="24"/>
      <c r="AA63" s="24"/>
      <c r="AB63" s="24"/>
      <c r="AC63" s="24"/>
      <c r="AD63" s="24"/>
      <c r="AE63" s="24"/>
      <c r="AF63" s="24"/>
      <c r="AG63" s="24"/>
      <c r="AH63" s="24"/>
    </row>
    <row r="64" spans="2:34" x14ac:dyDescent="0.2">
      <c r="B64" s="73" t="s">
        <v>186</v>
      </c>
      <c r="C64" s="7" t="s">
        <v>123</v>
      </c>
      <c r="E64" s="24"/>
      <c r="F64" s="24"/>
      <c r="G64" s="24"/>
      <c r="H64" s="24"/>
      <c r="I64" s="24"/>
      <c r="J64" s="24"/>
      <c r="K64" s="24"/>
      <c r="L64" s="24"/>
      <c r="M64" s="24"/>
      <c r="N64" s="24"/>
      <c r="O64" s="24">
        <v>117.73</v>
      </c>
      <c r="P64" s="24">
        <v>103.23</v>
      </c>
      <c r="Q64" s="24">
        <v>116.48</v>
      </c>
      <c r="R64" s="24">
        <v>143.78</v>
      </c>
      <c r="S64" s="24">
        <v>86.66</v>
      </c>
      <c r="T64" s="24">
        <v>86.45</v>
      </c>
      <c r="U64" s="24">
        <v>72.36</v>
      </c>
      <c r="V64" s="24">
        <v>67.27</v>
      </c>
      <c r="W64" s="24">
        <v>54.97</v>
      </c>
      <c r="X64" s="24">
        <v>41.6</v>
      </c>
      <c r="Y64" s="24">
        <v>49.01</v>
      </c>
      <c r="Z64" s="24"/>
      <c r="AA64" s="24"/>
      <c r="AB64" s="24"/>
      <c r="AC64" s="24"/>
      <c r="AD64" s="24"/>
      <c r="AE64" s="24"/>
      <c r="AF64" s="24"/>
      <c r="AG64" s="24"/>
      <c r="AH64" s="24"/>
    </row>
    <row r="65" spans="2:34" x14ac:dyDescent="0.2">
      <c r="B65" s="73" t="s">
        <v>187</v>
      </c>
      <c r="C65" s="7" t="s">
        <v>123</v>
      </c>
      <c r="E65" s="24"/>
      <c r="F65" s="24"/>
      <c r="G65" s="24"/>
      <c r="H65" s="24"/>
      <c r="I65" s="24"/>
      <c r="J65" s="24"/>
      <c r="K65" s="24"/>
      <c r="L65" s="24"/>
      <c r="M65" s="24"/>
      <c r="N65" s="24"/>
      <c r="O65" s="24">
        <v>308.93</v>
      </c>
      <c r="P65" s="24">
        <v>321.47000000000003</v>
      </c>
      <c r="Q65" s="24">
        <v>616.5</v>
      </c>
      <c r="R65" s="24">
        <v>632.29999999999995</v>
      </c>
      <c r="S65" s="24">
        <v>303.81</v>
      </c>
      <c r="T65" s="24">
        <v>281.49</v>
      </c>
      <c r="U65" s="24">
        <v>256.60000000000002</v>
      </c>
      <c r="V65" s="24">
        <v>256.73</v>
      </c>
      <c r="W65" s="24">
        <v>234.28</v>
      </c>
      <c r="X65" s="24">
        <v>210.47</v>
      </c>
      <c r="Y65" s="24">
        <v>556.33000000000004</v>
      </c>
      <c r="Z65" s="24"/>
      <c r="AA65" s="24"/>
      <c r="AB65" s="24"/>
      <c r="AC65" s="24"/>
      <c r="AD65" s="24"/>
      <c r="AE65" s="24"/>
      <c r="AF65" s="24"/>
      <c r="AG65" s="24"/>
      <c r="AH65" s="24"/>
    </row>
    <row r="66" spans="2:34" x14ac:dyDescent="0.2">
      <c r="B66" s="73" t="s">
        <v>188</v>
      </c>
      <c r="C66" s="7" t="s">
        <v>123</v>
      </c>
      <c r="E66" s="24"/>
      <c r="F66" s="24"/>
      <c r="G66" s="24"/>
      <c r="H66" s="24"/>
      <c r="I66" s="24"/>
      <c r="J66" s="24"/>
      <c r="K66" s="24"/>
      <c r="L66" s="24"/>
      <c r="M66" s="24"/>
      <c r="N66" s="24"/>
      <c r="O66" s="24">
        <v>161</v>
      </c>
      <c r="P66" s="24">
        <v>172.58</v>
      </c>
      <c r="Q66" s="24">
        <v>46.98</v>
      </c>
      <c r="R66" s="24">
        <v>53.54</v>
      </c>
      <c r="S66" s="24">
        <v>53.23</v>
      </c>
      <c r="T66" s="24">
        <v>58.58</v>
      </c>
      <c r="U66" s="24">
        <v>53.23</v>
      </c>
      <c r="V66" s="24">
        <v>48.4</v>
      </c>
      <c r="W66" s="24">
        <v>32.83</v>
      </c>
      <c r="X66" s="24">
        <v>21.17</v>
      </c>
      <c r="Y66" s="24">
        <v>22.02</v>
      </c>
      <c r="Z66" s="24"/>
      <c r="AA66" s="24"/>
      <c r="AB66" s="24"/>
      <c r="AC66" s="24"/>
      <c r="AD66" s="24"/>
      <c r="AE66" s="24"/>
      <c r="AF66" s="24"/>
      <c r="AG66" s="24"/>
      <c r="AH66" s="24"/>
    </row>
    <row r="67" spans="2:34" x14ac:dyDescent="0.2">
      <c r="B67" s="73" t="s">
        <v>189</v>
      </c>
      <c r="C67" s="7" t="s">
        <v>123</v>
      </c>
      <c r="E67" s="24"/>
      <c r="F67" s="24"/>
      <c r="G67" s="24"/>
      <c r="H67" s="24"/>
      <c r="I67" s="24"/>
      <c r="J67" s="24"/>
      <c r="K67" s="24"/>
      <c r="L67" s="24"/>
      <c r="M67" s="24"/>
      <c r="N67" s="24"/>
      <c r="O67" s="24">
        <v>24.66</v>
      </c>
      <c r="P67" s="24">
        <v>16.260000000000002</v>
      </c>
      <c r="Q67" s="24">
        <v>23.81</v>
      </c>
      <c r="R67" s="24">
        <v>24.74</v>
      </c>
      <c r="S67" s="24">
        <v>14.9</v>
      </c>
      <c r="T67" s="24">
        <v>12.54</v>
      </c>
      <c r="U67" s="24">
        <v>14.11</v>
      </c>
      <c r="V67" s="24">
        <v>14.21</v>
      </c>
      <c r="W67" s="24">
        <v>13.08</v>
      </c>
      <c r="X67" s="24">
        <v>11.37</v>
      </c>
      <c r="Y67" s="24">
        <v>13.35</v>
      </c>
      <c r="Z67" s="24"/>
      <c r="AA67" s="24"/>
      <c r="AB67" s="24"/>
      <c r="AC67" s="24"/>
      <c r="AD67" s="24"/>
      <c r="AE67" s="24"/>
      <c r="AF67" s="24"/>
      <c r="AG67" s="24"/>
      <c r="AH67" s="24"/>
    </row>
    <row r="68" spans="2:34" x14ac:dyDescent="0.2">
      <c r="B68" s="73" t="s">
        <v>190</v>
      </c>
      <c r="C68" s="7" t="s">
        <v>123</v>
      </c>
      <c r="E68" s="24"/>
      <c r="F68" s="24"/>
      <c r="G68" s="24"/>
      <c r="H68" s="24"/>
      <c r="I68" s="24"/>
      <c r="J68" s="24"/>
      <c r="K68" s="24"/>
      <c r="L68" s="24"/>
      <c r="M68" s="24"/>
      <c r="N68" s="24"/>
      <c r="O68" s="24">
        <v>360.81</v>
      </c>
      <c r="P68" s="24">
        <v>372.62</v>
      </c>
      <c r="Q68" s="24">
        <v>812.05</v>
      </c>
      <c r="R68" s="24">
        <v>26.41</v>
      </c>
      <c r="S68" s="24">
        <v>667.07</v>
      </c>
      <c r="T68" s="24">
        <v>16.07</v>
      </c>
      <c r="U68" s="24">
        <v>13.95</v>
      </c>
      <c r="V68" s="24">
        <v>13.52</v>
      </c>
      <c r="W68" s="24">
        <v>10.33</v>
      </c>
      <c r="X68" s="24">
        <v>2216.16</v>
      </c>
      <c r="Y68" s="24">
        <v>2301.59</v>
      </c>
      <c r="Z68" s="24"/>
      <c r="AA68" s="24"/>
      <c r="AB68" s="24"/>
      <c r="AC68" s="24"/>
      <c r="AD68" s="24"/>
      <c r="AE68" s="24"/>
      <c r="AF68" s="24"/>
      <c r="AG68" s="24"/>
      <c r="AH68" s="24"/>
    </row>
    <row r="69" spans="2:34" x14ac:dyDescent="0.2">
      <c r="B69" s="72" t="s">
        <v>192</v>
      </c>
      <c r="C69" s="79" t="s">
        <v>123</v>
      </c>
      <c r="D69" s="67"/>
      <c r="E69" s="69"/>
      <c r="F69" s="69"/>
      <c r="G69" s="69"/>
      <c r="H69" s="69"/>
      <c r="I69" s="69"/>
      <c r="J69" s="69"/>
      <c r="K69" s="69"/>
      <c r="L69" s="69"/>
      <c r="M69" s="69"/>
      <c r="N69" s="69"/>
      <c r="O69" s="69">
        <v>2352.4499999999998</v>
      </c>
      <c r="P69" s="69">
        <v>2310.37</v>
      </c>
      <c r="Q69" s="69">
        <v>3738.48</v>
      </c>
      <c r="R69" s="69">
        <v>3110.84</v>
      </c>
      <c r="S69" s="69">
        <v>2456.98</v>
      </c>
      <c r="T69" s="69">
        <v>1760.51</v>
      </c>
      <c r="U69" s="69">
        <v>1666.95</v>
      </c>
      <c r="V69" s="69">
        <v>1644.54</v>
      </c>
      <c r="W69" s="69">
        <v>1468.52</v>
      </c>
      <c r="X69" s="69">
        <v>3447.67</v>
      </c>
      <c r="Y69" s="69">
        <v>3947.93</v>
      </c>
      <c r="Z69" s="69"/>
      <c r="AA69" s="69"/>
      <c r="AB69" s="69"/>
      <c r="AC69" s="69"/>
      <c r="AD69" s="69"/>
      <c r="AE69" s="69"/>
      <c r="AF69" s="69"/>
      <c r="AG69" s="69"/>
      <c r="AH69" s="69"/>
    </row>
    <row r="70" spans="2:34" x14ac:dyDescent="0.2">
      <c r="B70" s="73"/>
    </row>
    <row r="71" spans="2:34" x14ac:dyDescent="0.2">
      <c r="B71" s="21" t="s">
        <v>206</v>
      </c>
    </row>
    <row r="72" spans="2:34" x14ac:dyDescent="0.2">
      <c r="B72" s="73" t="s">
        <v>183</v>
      </c>
      <c r="C72" s="7" t="s">
        <v>123</v>
      </c>
      <c r="E72" s="24"/>
      <c r="F72" s="24"/>
      <c r="G72" s="24"/>
      <c r="H72" s="24"/>
      <c r="I72" s="24"/>
      <c r="J72" s="24"/>
      <c r="K72" s="24"/>
      <c r="L72" s="24"/>
      <c r="M72" s="24"/>
      <c r="N72" s="24"/>
      <c r="O72" s="24">
        <v>1115.67</v>
      </c>
      <c r="P72" s="24">
        <v>1230.6199999999999</v>
      </c>
      <c r="Q72" s="24">
        <v>600.71</v>
      </c>
      <c r="R72" s="24">
        <v>636.6</v>
      </c>
      <c r="S72" s="24">
        <v>1113.6099999999999</v>
      </c>
      <c r="T72" s="24">
        <v>1157.33</v>
      </c>
      <c r="U72" s="24">
        <v>1194.95</v>
      </c>
      <c r="V72" s="24">
        <v>1210.48</v>
      </c>
      <c r="W72" s="24">
        <v>1176.3</v>
      </c>
      <c r="X72" s="24">
        <v>1034.4100000000001</v>
      </c>
      <c r="Y72" s="24">
        <v>1181.6199999999999</v>
      </c>
      <c r="Z72" s="24"/>
      <c r="AA72" s="24"/>
      <c r="AB72" s="24"/>
      <c r="AC72" s="24"/>
      <c r="AD72" s="24"/>
      <c r="AE72" s="24"/>
      <c r="AF72" s="24"/>
      <c r="AG72" s="24"/>
      <c r="AH72" s="24"/>
    </row>
    <row r="73" spans="2:34" x14ac:dyDescent="0.2">
      <c r="B73" s="73" t="s">
        <v>184</v>
      </c>
      <c r="C73" s="7" t="s">
        <v>123</v>
      </c>
      <c r="E73" s="24"/>
      <c r="F73" s="24"/>
      <c r="G73" s="24"/>
      <c r="H73" s="24"/>
      <c r="I73" s="24"/>
      <c r="J73" s="24"/>
      <c r="K73" s="24"/>
      <c r="L73" s="24"/>
      <c r="M73" s="24"/>
      <c r="N73" s="24"/>
      <c r="O73" s="24">
        <v>716.98</v>
      </c>
      <c r="P73" s="24">
        <v>741.13</v>
      </c>
      <c r="Q73" s="24">
        <v>533.57000000000005</v>
      </c>
      <c r="R73" s="24">
        <v>518.29999999999995</v>
      </c>
      <c r="S73" s="24">
        <v>870.4</v>
      </c>
      <c r="T73" s="24">
        <v>862.87</v>
      </c>
      <c r="U73" s="24">
        <v>900.07</v>
      </c>
      <c r="V73" s="24">
        <v>925.35</v>
      </c>
      <c r="W73" s="24">
        <v>904.42</v>
      </c>
      <c r="X73" s="24">
        <v>808.34</v>
      </c>
      <c r="Y73" s="24">
        <v>803.19</v>
      </c>
      <c r="Z73" s="24"/>
      <c r="AA73" s="24"/>
      <c r="AB73" s="24"/>
      <c r="AC73" s="24"/>
      <c r="AD73" s="24"/>
      <c r="AE73" s="24"/>
      <c r="AF73" s="24"/>
      <c r="AG73" s="24"/>
      <c r="AH73" s="24"/>
    </row>
    <row r="74" spans="2:34" x14ac:dyDescent="0.2">
      <c r="B74" s="73" t="s">
        <v>185</v>
      </c>
      <c r="C74" s="7" t="s">
        <v>123</v>
      </c>
      <c r="E74" s="24"/>
      <c r="F74" s="24"/>
      <c r="G74" s="24"/>
      <c r="H74" s="24"/>
      <c r="I74" s="24"/>
      <c r="J74" s="24"/>
      <c r="K74" s="24"/>
      <c r="L74" s="24"/>
      <c r="M74" s="24"/>
      <c r="N74" s="24"/>
      <c r="O74" s="24">
        <v>334.64</v>
      </c>
      <c r="P74" s="24">
        <v>322.33</v>
      </c>
      <c r="Q74" s="24">
        <v>204.67</v>
      </c>
      <c r="R74" s="24">
        <v>209.42</v>
      </c>
      <c r="S74" s="24">
        <v>301.94</v>
      </c>
      <c r="T74" s="24">
        <v>337.77</v>
      </c>
      <c r="U74" s="24">
        <v>332.05</v>
      </c>
      <c r="V74" s="24">
        <v>336.22</v>
      </c>
      <c r="W74" s="24">
        <v>298.29000000000002</v>
      </c>
      <c r="X74" s="24">
        <v>243.09</v>
      </c>
      <c r="Y74" s="24">
        <v>250.01</v>
      </c>
      <c r="Z74" s="24"/>
      <c r="AA74" s="24"/>
      <c r="AB74" s="24"/>
      <c r="AC74" s="24"/>
      <c r="AD74" s="24"/>
      <c r="AE74" s="24"/>
      <c r="AF74" s="24"/>
      <c r="AG74" s="24"/>
      <c r="AH74" s="24"/>
    </row>
    <row r="75" spans="2:34" x14ac:dyDescent="0.2">
      <c r="B75" s="73" t="s">
        <v>186</v>
      </c>
      <c r="C75" s="7" t="s">
        <v>123</v>
      </c>
      <c r="E75" s="24"/>
      <c r="F75" s="24"/>
      <c r="G75" s="24"/>
      <c r="H75" s="24"/>
      <c r="I75" s="24"/>
      <c r="J75" s="24"/>
      <c r="K75" s="24"/>
      <c r="L75" s="24"/>
      <c r="M75" s="24"/>
      <c r="N75" s="24"/>
      <c r="O75" s="24">
        <v>134.91999999999999</v>
      </c>
      <c r="P75" s="24">
        <v>128.9</v>
      </c>
      <c r="Q75" s="24">
        <v>87.48</v>
      </c>
      <c r="R75" s="24">
        <v>87.42</v>
      </c>
      <c r="S75" s="24">
        <v>114.15</v>
      </c>
      <c r="T75" s="24">
        <v>124.12</v>
      </c>
      <c r="U75" s="24">
        <v>115.49</v>
      </c>
      <c r="V75" s="24">
        <v>114.33</v>
      </c>
      <c r="W75" s="24">
        <v>104.02</v>
      </c>
      <c r="X75" s="24">
        <v>76.67</v>
      </c>
      <c r="Y75" s="24">
        <v>88.53</v>
      </c>
      <c r="Z75" s="24"/>
      <c r="AA75" s="24"/>
      <c r="AB75" s="24"/>
      <c r="AC75" s="24"/>
      <c r="AD75" s="24"/>
      <c r="AE75" s="24"/>
      <c r="AF75" s="24"/>
      <c r="AG75" s="24"/>
      <c r="AH75" s="24"/>
    </row>
    <row r="76" spans="2:34" x14ac:dyDescent="0.2">
      <c r="B76" s="73" t="s">
        <v>187</v>
      </c>
      <c r="C76" s="7" t="s">
        <v>123</v>
      </c>
      <c r="E76" s="24"/>
      <c r="F76" s="24"/>
      <c r="G76" s="24"/>
      <c r="H76" s="24"/>
      <c r="I76" s="24"/>
      <c r="J76" s="24"/>
      <c r="K76" s="24"/>
      <c r="L76" s="24"/>
      <c r="M76" s="24"/>
      <c r="N76" s="24"/>
      <c r="O76" s="24">
        <v>463.31</v>
      </c>
      <c r="P76" s="24">
        <v>552.28</v>
      </c>
      <c r="Q76" s="24">
        <v>339.34</v>
      </c>
      <c r="R76" s="24">
        <v>332.82</v>
      </c>
      <c r="S76" s="24">
        <v>575.88</v>
      </c>
      <c r="T76" s="24">
        <v>537.9</v>
      </c>
      <c r="U76" s="24">
        <v>520.32000000000005</v>
      </c>
      <c r="V76" s="24">
        <v>539.30999999999995</v>
      </c>
      <c r="W76" s="24">
        <v>535.02</v>
      </c>
      <c r="X76" s="24">
        <v>495.9</v>
      </c>
      <c r="Y76" s="24">
        <v>1310.54</v>
      </c>
      <c r="Z76" s="24"/>
      <c r="AA76" s="24"/>
      <c r="AB76" s="24"/>
      <c r="AC76" s="24"/>
      <c r="AD76" s="24"/>
      <c r="AE76" s="24"/>
      <c r="AF76" s="24"/>
      <c r="AG76" s="24"/>
      <c r="AH76" s="24"/>
    </row>
    <row r="77" spans="2:34" x14ac:dyDescent="0.2">
      <c r="B77" s="73" t="s">
        <v>188</v>
      </c>
      <c r="C77" s="7" t="s">
        <v>123</v>
      </c>
      <c r="E77" s="24"/>
      <c r="F77" s="24"/>
      <c r="G77" s="24"/>
      <c r="H77" s="24"/>
      <c r="I77" s="24"/>
      <c r="J77" s="24"/>
      <c r="K77" s="24"/>
      <c r="L77" s="24"/>
      <c r="M77" s="24"/>
      <c r="N77" s="24"/>
      <c r="O77" s="24">
        <v>119.97</v>
      </c>
      <c r="P77" s="24">
        <v>137.83000000000001</v>
      </c>
      <c r="Q77" s="24">
        <v>37.020000000000003</v>
      </c>
      <c r="R77" s="24">
        <v>47.29</v>
      </c>
      <c r="S77" s="24">
        <v>63.67</v>
      </c>
      <c r="T77" s="24">
        <v>87.77</v>
      </c>
      <c r="U77" s="24">
        <v>80.69</v>
      </c>
      <c r="V77" s="24">
        <v>81.42</v>
      </c>
      <c r="W77" s="24">
        <v>64.77</v>
      </c>
      <c r="X77" s="24">
        <v>42.52</v>
      </c>
      <c r="Y77" s="24">
        <v>39.42</v>
      </c>
      <c r="Z77" s="24"/>
      <c r="AA77" s="24"/>
      <c r="AB77" s="24"/>
      <c r="AC77" s="24"/>
      <c r="AD77" s="24"/>
      <c r="AE77" s="24"/>
      <c r="AF77" s="24"/>
      <c r="AG77" s="24"/>
      <c r="AH77" s="24"/>
    </row>
    <row r="78" spans="2:34" x14ac:dyDescent="0.2">
      <c r="B78" s="73" t="s">
        <v>189</v>
      </c>
      <c r="C78" s="7" t="s">
        <v>123</v>
      </c>
      <c r="E78" s="24"/>
      <c r="F78" s="24"/>
      <c r="G78" s="24"/>
      <c r="H78" s="24"/>
      <c r="I78" s="24"/>
      <c r="J78" s="24"/>
      <c r="K78" s="24"/>
      <c r="L78" s="24"/>
      <c r="M78" s="24"/>
      <c r="N78" s="24"/>
      <c r="O78" s="24">
        <v>32.25</v>
      </c>
      <c r="P78" s="24">
        <v>23.78</v>
      </c>
      <c r="Q78" s="24">
        <v>15.68</v>
      </c>
      <c r="R78" s="24">
        <v>16.329999999999998</v>
      </c>
      <c r="S78" s="24">
        <v>22.22</v>
      </c>
      <c r="T78" s="24">
        <v>23.65</v>
      </c>
      <c r="U78" s="24">
        <v>28.46</v>
      </c>
      <c r="V78" s="24">
        <v>30.57</v>
      </c>
      <c r="W78" s="24">
        <v>30.75</v>
      </c>
      <c r="X78" s="24">
        <v>28.62</v>
      </c>
      <c r="Y78" s="24">
        <v>31.98</v>
      </c>
      <c r="Z78" s="24"/>
      <c r="AA78" s="24"/>
      <c r="AB78" s="24"/>
      <c r="AC78" s="24"/>
      <c r="AD78" s="24"/>
      <c r="AE78" s="24"/>
      <c r="AF78" s="24"/>
      <c r="AG78" s="24"/>
      <c r="AH78" s="24"/>
    </row>
    <row r="79" spans="2:34" x14ac:dyDescent="0.2">
      <c r="B79" s="73" t="s">
        <v>190</v>
      </c>
      <c r="C79" s="7" t="s">
        <v>123</v>
      </c>
      <c r="E79" s="24"/>
      <c r="F79" s="24"/>
      <c r="G79" s="24"/>
      <c r="H79" s="24"/>
      <c r="I79" s="24"/>
      <c r="J79" s="24"/>
      <c r="K79" s="24"/>
      <c r="L79" s="24"/>
      <c r="M79" s="24"/>
      <c r="N79" s="24"/>
      <c r="O79" s="24">
        <v>509.96</v>
      </c>
      <c r="P79" s="24">
        <v>603.96</v>
      </c>
      <c r="Q79" s="24">
        <v>497.23</v>
      </c>
      <c r="R79" s="24">
        <v>544.80999999999995</v>
      </c>
      <c r="S79" s="24">
        <v>1150.55</v>
      </c>
      <c r="T79" s="24">
        <v>30.73</v>
      </c>
      <c r="U79" s="24">
        <v>28.53</v>
      </c>
      <c r="V79" s="24">
        <v>27.73</v>
      </c>
      <c r="W79" s="24">
        <v>22.8</v>
      </c>
      <c r="X79" s="24">
        <v>4268.26</v>
      </c>
      <c r="Y79" s="24">
        <v>6593.5</v>
      </c>
      <c r="Z79" s="24"/>
      <c r="AA79" s="24"/>
      <c r="AB79" s="24"/>
      <c r="AC79" s="24"/>
      <c r="AD79" s="24"/>
      <c r="AE79" s="24"/>
      <c r="AF79" s="24"/>
      <c r="AG79" s="24"/>
      <c r="AH79" s="24"/>
    </row>
    <row r="80" spans="2:34" x14ac:dyDescent="0.2">
      <c r="B80" s="72" t="s">
        <v>192</v>
      </c>
      <c r="C80" s="79" t="s">
        <v>123</v>
      </c>
      <c r="D80" s="67"/>
      <c r="E80" s="69"/>
      <c r="F80" s="69"/>
      <c r="G80" s="69"/>
      <c r="H80" s="69"/>
      <c r="I80" s="69"/>
      <c r="J80" s="69"/>
      <c r="K80" s="69"/>
      <c r="L80" s="69"/>
      <c r="M80" s="69"/>
      <c r="N80" s="69"/>
      <c r="O80" s="69">
        <v>3427.7</v>
      </c>
      <c r="P80" s="69">
        <v>3740.83</v>
      </c>
      <c r="Q80" s="69">
        <v>2315.6999999999998</v>
      </c>
      <c r="R80" s="69">
        <v>2363.4699999999998</v>
      </c>
      <c r="S80" s="69">
        <v>4212.42</v>
      </c>
      <c r="T80" s="69">
        <v>3162.14</v>
      </c>
      <c r="U80" s="69">
        <v>3200.56</v>
      </c>
      <c r="V80" s="69">
        <v>3265.41</v>
      </c>
      <c r="W80" s="69">
        <v>3136.37</v>
      </c>
      <c r="X80" s="69">
        <v>6997.8</v>
      </c>
      <c r="Y80" s="69">
        <v>10298.790000000001</v>
      </c>
      <c r="Z80" s="69"/>
      <c r="AA80" s="69"/>
      <c r="AB80" s="69"/>
      <c r="AC80" s="69"/>
      <c r="AD80" s="69"/>
      <c r="AE80" s="69"/>
      <c r="AF80" s="69"/>
      <c r="AG80" s="69"/>
      <c r="AH80" s="69"/>
    </row>
    <row r="81" spans="2:34" x14ac:dyDescent="0.2">
      <c r="B81" s="73"/>
    </row>
    <row r="82" spans="2:34" x14ac:dyDescent="0.2">
      <c r="B82" s="21" t="s">
        <v>205</v>
      </c>
    </row>
    <row r="83" spans="2:34" x14ac:dyDescent="0.2">
      <c r="B83" s="73" t="s">
        <v>183</v>
      </c>
      <c r="C83" s="7" t="s">
        <v>123</v>
      </c>
      <c r="D83" s="70"/>
      <c r="E83" s="70"/>
      <c r="F83" s="70"/>
      <c r="G83" s="70"/>
      <c r="H83" s="70"/>
      <c r="I83" s="70"/>
      <c r="J83" s="70"/>
      <c r="K83" s="70"/>
      <c r="L83" s="70"/>
      <c r="M83" s="70"/>
      <c r="N83" s="70"/>
      <c r="O83" s="70">
        <f t="shared" ref="O83:X91" si="14">O50+O61+O72</f>
        <v>5356.58</v>
      </c>
      <c r="P83" s="70">
        <f t="shared" si="14"/>
        <v>5475.36</v>
      </c>
      <c r="Q83" s="70">
        <f t="shared" si="14"/>
        <v>5444.72</v>
      </c>
      <c r="R83" s="70">
        <f t="shared" si="14"/>
        <v>6852.82</v>
      </c>
      <c r="S83" s="70">
        <f t="shared" si="14"/>
        <v>6972.8499999999995</v>
      </c>
      <c r="T83" s="70">
        <f t="shared" si="14"/>
        <v>5684.33</v>
      </c>
      <c r="U83" s="70">
        <f t="shared" si="14"/>
        <v>5676.2699999999995</v>
      </c>
      <c r="V83" s="70">
        <f t="shared" si="14"/>
        <v>5877.3799999999992</v>
      </c>
      <c r="W83" s="70">
        <f t="shared" si="14"/>
        <v>5856.27</v>
      </c>
      <c r="X83" s="70">
        <f t="shared" si="14"/>
        <v>5285.51</v>
      </c>
      <c r="Y83" s="70">
        <f>Y50+Y61+Y72</f>
        <v>6243.8600000000006</v>
      </c>
      <c r="Z83" s="24"/>
      <c r="AA83" s="24"/>
      <c r="AB83" s="24"/>
      <c r="AC83" s="24"/>
      <c r="AD83" s="24"/>
      <c r="AE83" s="24"/>
      <c r="AF83" s="24"/>
      <c r="AG83" s="24"/>
      <c r="AH83" s="24"/>
    </row>
    <row r="84" spans="2:34" x14ac:dyDescent="0.2">
      <c r="B84" s="73" t="s">
        <v>184</v>
      </c>
      <c r="C84" s="7" t="s">
        <v>123</v>
      </c>
      <c r="D84" s="70"/>
      <c r="E84" s="70"/>
      <c r="F84" s="70"/>
      <c r="G84" s="70"/>
      <c r="H84" s="70"/>
      <c r="I84" s="70"/>
      <c r="J84" s="70"/>
      <c r="K84" s="70"/>
      <c r="L84" s="70"/>
      <c r="M84" s="70"/>
      <c r="N84" s="70"/>
      <c r="O84" s="70">
        <f t="shared" si="14"/>
        <v>4367.76</v>
      </c>
      <c r="P84" s="70">
        <f t="shared" si="14"/>
        <v>4557.4800000000005</v>
      </c>
      <c r="Q84" s="70">
        <f t="shared" si="14"/>
        <v>4500.91</v>
      </c>
      <c r="R84" s="70">
        <f t="shared" si="14"/>
        <v>6445.31</v>
      </c>
      <c r="S84" s="70">
        <f t="shared" si="14"/>
        <v>6271.2699999999995</v>
      </c>
      <c r="T84" s="70">
        <f t="shared" si="14"/>
        <v>4167.53</v>
      </c>
      <c r="U84" s="70">
        <f t="shared" si="14"/>
        <v>4238.26</v>
      </c>
      <c r="V84" s="70">
        <f t="shared" si="14"/>
        <v>4328.7400000000007</v>
      </c>
      <c r="W84" s="70">
        <f t="shared" si="14"/>
        <v>4374.6499999999996</v>
      </c>
      <c r="X84" s="70">
        <f t="shared" si="14"/>
        <v>4010.8900000000003</v>
      </c>
      <c r="Y84" s="70">
        <f t="shared" ref="Y84:Y91" si="15">Y51+Y62+Y73</f>
        <v>4269.8999999999996</v>
      </c>
      <c r="Z84" s="24"/>
      <c r="AA84" s="24"/>
      <c r="AB84" s="24"/>
      <c r="AC84" s="24"/>
      <c r="AD84" s="24"/>
      <c r="AE84" s="24"/>
      <c r="AF84" s="24"/>
      <c r="AG84" s="24"/>
      <c r="AH84" s="24"/>
    </row>
    <row r="85" spans="2:34" x14ac:dyDescent="0.2">
      <c r="B85" s="73" t="s">
        <v>185</v>
      </c>
      <c r="C85" s="7" t="s">
        <v>123</v>
      </c>
      <c r="D85" s="70"/>
      <c r="E85" s="70"/>
      <c r="F85" s="70"/>
      <c r="G85" s="70"/>
      <c r="H85" s="70"/>
      <c r="I85" s="70"/>
      <c r="J85" s="70"/>
      <c r="K85" s="70"/>
      <c r="L85" s="70"/>
      <c r="M85" s="70"/>
      <c r="N85" s="70"/>
      <c r="O85" s="70">
        <f t="shared" si="14"/>
        <v>2387.1799999999998</v>
      </c>
      <c r="P85" s="70">
        <f t="shared" si="14"/>
        <v>2327.56</v>
      </c>
      <c r="Q85" s="70">
        <f t="shared" si="14"/>
        <v>2288.42</v>
      </c>
      <c r="R85" s="70">
        <f t="shared" si="14"/>
        <v>3110.21</v>
      </c>
      <c r="S85" s="70">
        <f t="shared" si="14"/>
        <v>3034.7400000000002</v>
      </c>
      <c r="T85" s="70">
        <f t="shared" si="14"/>
        <v>2211.48</v>
      </c>
      <c r="U85" s="70">
        <f t="shared" si="14"/>
        <v>2061.37</v>
      </c>
      <c r="V85" s="70">
        <f t="shared" si="14"/>
        <v>2021.8</v>
      </c>
      <c r="W85" s="70">
        <f t="shared" si="14"/>
        <v>1868.23</v>
      </c>
      <c r="X85" s="70">
        <f t="shared" si="14"/>
        <v>1550.2699999999998</v>
      </c>
      <c r="Y85" s="70">
        <f t="shared" si="15"/>
        <v>1666.07</v>
      </c>
      <c r="Z85" s="24"/>
      <c r="AA85" s="24"/>
      <c r="AB85" s="24"/>
      <c r="AC85" s="24"/>
      <c r="AD85" s="24"/>
      <c r="AE85" s="24"/>
      <c r="AF85" s="24"/>
      <c r="AG85" s="24"/>
      <c r="AH85" s="24"/>
    </row>
    <row r="86" spans="2:34" x14ac:dyDescent="0.2">
      <c r="B86" s="73" t="s">
        <v>186</v>
      </c>
      <c r="C86" s="7" t="s">
        <v>123</v>
      </c>
      <c r="D86" s="70"/>
      <c r="E86" s="70"/>
      <c r="F86" s="70"/>
      <c r="G86" s="70"/>
      <c r="H86" s="70"/>
      <c r="I86" s="70"/>
      <c r="J86" s="70"/>
      <c r="K86" s="70"/>
      <c r="L86" s="70"/>
      <c r="M86" s="70"/>
      <c r="N86" s="70"/>
      <c r="O86" s="70">
        <f t="shared" si="14"/>
        <v>868.06999999999994</v>
      </c>
      <c r="P86" s="70">
        <f t="shared" si="14"/>
        <v>796.62</v>
      </c>
      <c r="Q86" s="70">
        <f t="shared" si="14"/>
        <v>693.95</v>
      </c>
      <c r="R86" s="70">
        <f t="shared" si="14"/>
        <v>1037.26</v>
      </c>
      <c r="S86" s="70">
        <f t="shared" si="14"/>
        <v>1101.49</v>
      </c>
      <c r="T86" s="70">
        <f t="shared" si="14"/>
        <v>714.74</v>
      </c>
      <c r="U86" s="70">
        <f t="shared" si="14"/>
        <v>664.37</v>
      </c>
      <c r="V86" s="70">
        <f t="shared" si="14"/>
        <v>652.24</v>
      </c>
      <c r="W86" s="70">
        <f t="shared" si="14"/>
        <v>596.73</v>
      </c>
      <c r="X86" s="70">
        <f t="shared" si="14"/>
        <v>484.11</v>
      </c>
      <c r="Y86" s="70">
        <f t="shared" si="15"/>
        <v>588.16</v>
      </c>
      <c r="Z86" s="24"/>
      <c r="AA86" s="24"/>
      <c r="AB86" s="24"/>
      <c r="AC86" s="24"/>
      <c r="AD86" s="24"/>
      <c r="AE86" s="24"/>
      <c r="AF86" s="24"/>
      <c r="AG86" s="24"/>
      <c r="AH86" s="24"/>
    </row>
    <row r="87" spans="2:34" x14ac:dyDescent="0.2">
      <c r="B87" s="73" t="s">
        <v>187</v>
      </c>
      <c r="C87" s="7" t="s">
        <v>123</v>
      </c>
      <c r="D87" s="70"/>
      <c r="E87" s="70"/>
      <c r="F87" s="70"/>
      <c r="G87" s="70"/>
      <c r="H87" s="70"/>
      <c r="I87" s="70"/>
      <c r="J87" s="70"/>
      <c r="K87" s="70"/>
      <c r="L87" s="70"/>
      <c r="M87" s="70"/>
      <c r="N87" s="70"/>
      <c r="O87" s="70">
        <f t="shared" si="14"/>
        <v>1764.4099999999999</v>
      </c>
      <c r="P87" s="70">
        <f t="shared" si="14"/>
        <v>1897.3799999999999</v>
      </c>
      <c r="Q87" s="70">
        <f t="shared" si="14"/>
        <v>2029.9299999999998</v>
      </c>
      <c r="R87" s="70">
        <f t="shared" si="14"/>
        <v>3302.0899999999997</v>
      </c>
      <c r="S87" s="70">
        <f t="shared" si="14"/>
        <v>2573.61</v>
      </c>
      <c r="T87" s="70">
        <f t="shared" si="14"/>
        <v>1991.5099999999998</v>
      </c>
      <c r="U87" s="70">
        <f t="shared" si="14"/>
        <v>1880.9900000000002</v>
      </c>
      <c r="V87" s="70">
        <f t="shared" si="14"/>
        <v>1893.49</v>
      </c>
      <c r="W87" s="70">
        <f t="shared" si="14"/>
        <v>1857.54</v>
      </c>
      <c r="X87" s="70">
        <f t="shared" si="14"/>
        <v>1753.88</v>
      </c>
      <c r="Y87" s="70">
        <f t="shared" si="15"/>
        <v>4527.82</v>
      </c>
      <c r="Z87" s="24"/>
      <c r="AA87" s="24"/>
      <c r="AB87" s="24"/>
      <c r="AC87" s="24"/>
      <c r="AD87" s="24"/>
      <c r="AE87" s="24"/>
      <c r="AF87" s="24"/>
      <c r="AG87" s="24"/>
      <c r="AH87" s="24"/>
    </row>
    <row r="88" spans="2:34" x14ac:dyDescent="0.2">
      <c r="B88" s="73" t="s">
        <v>188</v>
      </c>
      <c r="C88" s="7" t="s">
        <v>123</v>
      </c>
      <c r="D88" s="70"/>
      <c r="E88" s="70"/>
      <c r="F88" s="70"/>
      <c r="G88" s="70"/>
      <c r="H88" s="70"/>
      <c r="I88" s="70"/>
      <c r="J88" s="70"/>
      <c r="K88" s="70"/>
      <c r="L88" s="70"/>
      <c r="M88" s="70"/>
      <c r="N88" s="70"/>
      <c r="O88" s="70">
        <f t="shared" si="14"/>
        <v>948.36</v>
      </c>
      <c r="P88" s="70">
        <f t="shared" si="14"/>
        <v>884.58</v>
      </c>
      <c r="Q88" s="70">
        <f t="shared" si="14"/>
        <v>255.71</v>
      </c>
      <c r="R88" s="70">
        <f t="shared" si="14"/>
        <v>373.74000000000007</v>
      </c>
      <c r="S88" s="70">
        <f t="shared" si="14"/>
        <v>420.17</v>
      </c>
      <c r="T88" s="70">
        <f t="shared" si="14"/>
        <v>389.14</v>
      </c>
      <c r="U88" s="70">
        <f t="shared" si="14"/>
        <v>387.69</v>
      </c>
      <c r="V88" s="70">
        <f t="shared" si="14"/>
        <v>373.82</v>
      </c>
      <c r="W88" s="70">
        <f t="shared" si="14"/>
        <v>304.45999999999998</v>
      </c>
      <c r="X88" s="70">
        <f t="shared" si="14"/>
        <v>222.48</v>
      </c>
      <c r="Y88" s="70">
        <f t="shared" si="15"/>
        <v>221.09000000000003</v>
      </c>
      <c r="Z88" s="24"/>
      <c r="AA88" s="24"/>
      <c r="AB88" s="24"/>
      <c r="AC88" s="24"/>
      <c r="AD88" s="24"/>
      <c r="AE88" s="24"/>
      <c r="AF88" s="24"/>
      <c r="AG88" s="24"/>
      <c r="AH88" s="24"/>
    </row>
    <row r="89" spans="2:34" x14ac:dyDescent="0.2">
      <c r="B89" s="73" t="s">
        <v>189</v>
      </c>
      <c r="C89" s="7" t="s">
        <v>123</v>
      </c>
      <c r="D89" s="70"/>
      <c r="E89" s="70"/>
      <c r="F89" s="70"/>
      <c r="G89" s="70"/>
      <c r="H89" s="70"/>
      <c r="I89" s="70"/>
      <c r="J89" s="70"/>
      <c r="K89" s="70"/>
      <c r="L89" s="70"/>
      <c r="M89" s="70"/>
      <c r="N89" s="70"/>
      <c r="O89" s="70">
        <f t="shared" si="14"/>
        <v>221.92</v>
      </c>
      <c r="P89" s="70">
        <f t="shared" si="14"/>
        <v>166.56</v>
      </c>
      <c r="Q89" s="70">
        <f t="shared" si="14"/>
        <v>162.1</v>
      </c>
      <c r="R89" s="70">
        <f t="shared" si="14"/>
        <v>177.91000000000003</v>
      </c>
      <c r="S89" s="70">
        <f t="shared" si="14"/>
        <v>207.71</v>
      </c>
      <c r="T89" s="70">
        <f t="shared" si="14"/>
        <v>153.86000000000001</v>
      </c>
      <c r="U89" s="70">
        <f t="shared" si="14"/>
        <v>169.29</v>
      </c>
      <c r="V89" s="70">
        <f t="shared" si="14"/>
        <v>168.65</v>
      </c>
      <c r="W89" s="70">
        <f t="shared" si="14"/>
        <v>167.28</v>
      </c>
      <c r="X89" s="70">
        <f t="shared" si="14"/>
        <v>149.17000000000002</v>
      </c>
      <c r="Y89" s="70">
        <f t="shared" si="15"/>
        <v>172.35</v>
      </c>
      <c r="Z89" s="24"/>
      <c r="AA89" s="24"/>
      <c r="AB89" s="24"/>
      <c r="AC89" s="24"/>
      <c r="AD89" s="24"/>
      <c r="AE89" s="24"/>
      <c r="AF89" s="24"/>
      <c r="AG89" s="24"/>
      <c r="AH89" s="24"/>
    </row>
    <row r="90" spans="2:34" x14ac:dyDescent="0.2">
      <c r="B90" s="73" t="s">
        <v>190</v>
      </c>
      <c r="C90" s="7" t="s">
        <v>123</v>
      </c>
      <c r="D90" s="70"/>
      <c r="E90" s="70"/>
      <c r="F90" s="70"/>
      <c r="G90" s="70"/>
      <c r="H90" s="70"/>
      <c r="I90" s="70"/>
      <c r="J90" s="70"/>
      <c r="K90" s="70"/>
      <c r="L90" s="70"/>
      <c r="M90" s="70"/>
      <c r="N90" s="70"/>
      <c r="O90" s="70">
        <f t="shared" si="14"/>
        <v>4253.66</v>
      </c>
      <c r="P90" s="70">
        <f t="shared" si="14"/>
        <v>4322.1499999999996</v>
      </c>
      <c r="Q90" s="70">
        <f t="shared" si="14"/>
        <v>5140.09</v>
      </c>
      <c r="R90" s="70">
        <f t="shared" si="14"/>
        <v>733.56</v>
      </c>
      <c r="S90" s="70">
        <f t="shared" si="14"/>
        <v>1985.83</v>
      </c>
      <c r="T90" s="70">
        <f t="shared" si="14"/>
        <v>5328.3899999999994</v>
      </c>
      <c r="U90" s="70">
        <f t="shared" si="14"/>
        <v>7852.7999999999993</v>
      </c>
      <c r="V90" s="70">
        <f t="shared" si="14"/>
        <v>9148.0499999999993</v>
      </c>
      <c r="W90" s="70">
        <f t="shared" si="14"/>
        <v>10523.92</v>
      </c>
      <c r="X90" s="70">
        <f t="shared" si="14"/>
        <v>18076.870000000003</v>
      </c>
      <c r="Y90" s="70">
        <f t="shared" si="15"/>
        <v>25612.83</v>
      </c>
      <c r="Z90" s="24"/>
      <c r="AA90" s="24"/>
      <c r="AB90" s="24"/>
      <c r="AC90" s="24"/>
      <c r="AD90" s="24"/>
      <c r="AE90" s="24"/>
      <c r="AF90" s="24"/>
      <c r="AG90" s="24"/>
      <c r="AH90" s="24"/>
    </row>
    <row r="91" spans="2:34" x14ac:dyDescent="0.2">
      <c r="B91" s="72" t="s">
        <v>192</v>
      </c>
      <c r="C91" s="79" t="s">
        <v>123</v>
      </c>
      <c r="D91" s="71"/>
      <c r="E91" s="71"/>
      <c r="F91" s="71"/>
      <c r="G91" s="71"/>
      <c r="H91" s="71"/>
      <c r="I91" s="71"/>
      <c r="J91" s="71"/>
      <c r="K91" s="71"/>
      <c r="L91" s="71"/>
      <c r="M91" s="71"/>
      <c r="N91" s="71"/>
      <c r="O91" s="71">
        <f t="shared" si="14"/>
        <v>20167.940000000002</v>
      </c>
      <c r="P91" s="71">
        <f t="shared" si="14"/>
        <v>20427.690000000002</v>
      </c>
      <c r="Q91" s="71">
        <f t="shared" si="14"/>
        <v>20515.830000000002</v>
      </c>
      <c r="R91" s="71">
        <f t="shared" si="14"/>
        <v>22003.38</v>
      </c>
      <c r="S91" s="71">
        <f t="shared" si="14"/>
        <v>22567.67</v>
      </c>
      <c r="T91" s="71">
        <f t="shared" si="14"/>
        <v>20640.98</v>
      </c>
      <c r="U91" s="71">
        <f t="shared" si="14"/>
        <v>22931.040000000001</v>
      </c>
      <c r="V91" s="71">
        <f t="shared" si="14"/>
        <v>24464.170000000002</v>
      </c>
      <c r="W91" s="71">
        <f t="shared" si="14"/>
        <v>25549.079999999998</v>
      </c>
      <c r="X91" s="71">
        <f t="shared" si="14"/>
        <v>31533.179999999997</v>
      </c>
      <c r="Y91" s="71">
        <f t="shared" si="15"/>
        <v>43302.080000000002</v>
      </c>
      <c r="Z91" s="69"/>
      <c r="AA91" s="69"/>
      <c r="AB91" s="69"/>
      <c r="AC91" s="69"/>
      <c r="AD91" s="69"/>
      <c r="AE91" s="69"/>
      <c r="AF91" s="69"/>
      <c r="AG91" s="69"/>
      <c r="AH91" s="69"/>
    </row>
    <row r="92" spans="2:34" x14ac:dyDescent="0.2">
      <c r="B92" s="73"/>
    </row>
    <row r="93" spans="2:34" x14ac:dyDescent="0.2">
      <c r="B93" s="21" t="s">
        <v>207</v>
      </c>
    </row>
    <row r="94" spans="2:34" x14ac:dyDescent="0.2">
      <c r="B94" s="73" t="s">
        <v>183</v>
      </c>
      <c r="C94" s="7" t="s">
        <v>123</v>
      </c>
      <c r="E94" s="24"/>
      <c r="F94" s="24"/>
      <c r="G94" s="24"/>
      <c r="H94" s="24"/>
      <c r="I94" s="24"/>
      <c r="J94" s="24"/>
      <c r="K94" s="24"/>
      <c r="L94" s="24"/>
      <c r="M94" s="24"/>
      <c r="N94" s="24"/>
      <c r="O94" s="24">
        <v>867.67</v>
      </c>
      <c r="P94" s="24">
        <v>841.26</v>
      </c>
      <c r="Q94" s="24">
        <v>868.43</v>
      </c>
      <c r="R94" s="24">
        <v>818.15</v>
      </c>
      <c r="S94" s="24">
        <v>1339.06</v>
      </c>
      <c r="T94" s="24">
        <v>1414.44</v>
      </c>
      <c r="U94" s="24">
        <v>1283.3</v>
      </c>
      <c r="V94" s="24">
        <v>1041.31</v>
      </c>
      <c r="W94" s="24">
        <v>1078.27</v>
      </c>
      <c r="X94" s="24">
        <v>839.27</v>
      </c>
      <c r="Y94" s="24">
        <v>1271.6199999999999</v>
      </c>
      <c r="Z94" s="24"/>
      <c r="AA94" s="24"/>
      <c r="AB94" s="24"/>
      <c r="AC94" s="24"/>
      <c r="AD94" s="24"/>
      <c r="AE94" s="24"/>
      <c r="AF94" s="24"/>
      <c r="AG94" s="24"/>
      <c r="AH94" s="24"/>
    </row>
    <row r="95" spans="2:34" x14ac:dyDescent="0.2">
      <c r="B95" s="73" t="s">
        <v>184</v>
      </c>
      <c r="C95" s="7" t="s">
        <v>123</v>
      </c>
      <c r="E95" s="24"/>
      <c r="F95" s="24"/>
      <c r="G95" s="24"/>
      <c r="H95" s="24"/>
      <c r="I95" s="24"/>
      <c r="J95" s="24"/>
      <c r="K95" s="24"/>
      <c r="L95" s="24"/>
      <c r="M95" s="24"/>
      <c r="N95" s="24"/>
      <c r="O95" s="24">
        <v>525.69000000000005</v>
      </c>
      <c r="P95" s="24">
        <v>510.18</v>
      </c>
      <c r="Q95" s="24">
        <v>466.92</v>
      </c>
      <c r="R95" s="24">
        <v>566.52</v>
      </c>
      <c r="S95" s="24">
        <v>720.86</v>
      </c>
      <c r="T95" s="24">
        <v>755.74</v>
      </c>
      <c r="U95" s="24">
        <v>767.64</v>
      </c>
      <c r="V95" s="24">
        <v>639.53</v>
      </c>
      <c r="W95" s="24">
        <v>730.19</v>
      </c>
      <c r="X95" s="24">
        <v>602.13</v>
      </c>
      <c r="Y95" s="24">
        <v>752.92</v>
      </c>
      <c r="Z95" s="24"/>
      <c r="AA95" s="24"/>
      <c r="AB95" s="24"/>
      <c r="AC95" s="24"/>
      <c r="AD95" s="24"/>
      <c r="AE95" s="24"/>
      <c r="AF95" s="24"/>
      <c r="AG95" s="24"/>
      <c r="AH95" s="24"/>
    </row>
    <row r="96" spans="2:34" x14ac:dyDescent="0.2">
      <c r="B96" s="73" t="s">
        <v>185</v>
      </c>
      <c r="C96" s="7" t="s">
        <v>123</v>
      </c>
      <c r="E96" s="24"/>
      <c r="F96" s="24"/>
      <c r="G96" s="24"/>
      <c r="H96" s="24"/>
      <c r="I96" s="24"/>
      <c r="J96" s="24"/>
      <c r="K96" s="24"/>
      <c r="L96" s="24"/>
      <c r="M96" s="24"/>
      <c r="N96" s="24"/>
      <c r="O96" s="24">
        <v>147.22</v>
      </c>
      <c r="P96" s="24">
        <v>155.94999999999999</v>
      </c>
      <c r="Q96" s="24">
        <v>148.76</v>
      </c>
      <c r="R96" s="24">
        <v>158.82</v>
      </c>
      <c r="S96" s="24">
        <v>153.86000000000001</v>
      </c>
      <c r="T96" s="24">
        <v>184.22</v>
      </c>
      <c r="U96" s="24">
        <v>164.91</v>
      </c>
      <c r="V96" s="24">
        <v>192.23</v>
      </c>
      <c r="W96" s="24">
        <v>173.55</v>
      </c>
      <c r="X96" s="24">
        <v>138.94999999999999</v>
      </c>
      <c r="Y96" s="24">
        <v>193.29</v>
      </c>
      <c r="Z96" s="24"/>
      <c r="AA96" s="24"/>
      <c r="AB96" s="24"/>
      <c r="AC96" s="24"/>
      <c r="AD96" s="24"/>
      <c r="AE96" s="24"/>
      <c r="AF96" s="24"/>
      <c r="AG96" s="24"/>
      <c r="AH96" s="24"/>
    </row>
    <row r="97" spans="2:34" x14ac:dyDescent="0.2">
      <c r="B97" s="73" t="s">
        <v>186</v>
      </c>
      <c r="C97" s="7" t="s">
        <v>123</v>
      </c>
      <c r="E97" s="24"/>
      <c r="F97" s="24"/>
      <c r="G97" s="24"/>
      <c r="H97" s="24"/>
      <c r="I97" s="24"/>
      <c r="J97" s="24"/>
      <c r="K97" s="24"/>
      <c r="L97" s="24"/>
      <c r="M97" s="24"/>
      <c r="N97" s="24"/>
      <c r="O97" s="24">
        <v>57.24</v>
      </c>
      <c r="P97" s="24">
        <v>60.27</v>
      </c>
      <c r="Q97" s="24">
        <v>60.84</v>
      </c>
      <c r="R97" s="24">
        <v>63.74</v>
      </c>
      <c r="S97" s="24">
        <v>66.37</v>
      </c>
      <c r="T97" s="24">
        <v>69.63</v>
      </c>
      <c r="U97" s="24">
        <v>68.400000000000006</v>
      </c>
      <c r="V97" s="24">
        <v>71.599999999999994</v>
      </c>
      <c r="W97" s="24">
        <v>72.02</v>
      </c>
      <c r="X97" s="24">
        <v>54.42</v>
      </c>
      <c r="Y97" s="24">
        <v>94.71</v>
      </c>
      <c r="Z97" s="24"/>
      <c r="AA97" s="24"/>
      <c r="AB97" s="24"/>
      <c r="AC97" s="24"/>
      <c r="AD97" s="24"/>
      <c r="AE97" s="24"/>
      <c r="AF97" s="24"/>
      <c r="AG97" s="24"/>
      <c r="AH97" s="24"/>
    </row>
    <row r="98" spans="2:34" x14ac:dyDescent="0.2">
      <c r="B98" s="73" t="s">
        <v>187</v>
      </c>
      <c r="C98" s="7" t="s">
        <v>123</v>
      </c>
      <c r="E98" s="24"/>
      <c r="F98" s="24"/>
      <c r="G98" s="24"/>
      <c r="H98" s="24"/>
      <c r="I98" s="24"/>
      <c r="J98" s="24"/>
      <c r="K98" s="24"/>
      <c r="L98" s="24"/>
      <c r="M98" s="24"/>
      <c r="N98" s="24"/>
      <c r="O98" s="24">
        <v>160.76</v>
      </c>
      <c r="P98" s="24">
        <v>121.31</v>
      </c>
      <c r="Q98" s="24">
        <v>131.68</v>
      </c>
      <c r="R98" s="24">
        <v>153.24</v>
      </c>
      <c r="S98" s="24">
        <v>170.18</v>
      </c>
      <c r="T98" s="24">
        <v>186.28</v>
      </c>
      <c r="U98" s="24">
        <v>166.11</v>
      </c>
      <c r="V98" s="24">
        <v>160.51</v>
      </c>
      <c r="W98" s="24">
        <v>167.3</v>
      </c>
      <c r="X98" s="24">
        <v>128.66</v>
      </c>
      <c r="Y98" s="24">
        <v>215.44</v>
      </c>
      <c r="Z98" s="24"/>
      <c r="AA98" s="24"/>
      <c r="AB98" s="24"/>
      <c r="AC98" s="24"/>
      <c r="AD98" s="24"/>
      <c r="AE98" s="24"/>
      <c r="AF98" s="24"/>
      <c r="AG98" s="24"/>
      <c r="AH98" s="24"/>
    </row>
    <row r="99" spans="2:34" x14ac:dyDescent="0.2">
      <c r="B99" s="73" t="s">
        <v>188</v>
      </c>
      <c r="C99" s="7" t="s">
        <v>123</v>
      </c>
      <c r="E99" s="24"/>
      <c r="F99" s="24"/>
      <c r="G99" s="24"/>
      <c r="H99" s="24"/>
      <c r="I99" s="24"/>
      <c r="J99" s="24"/>
      <c r="K99" s="24"/>
      <c r="L99" s="24"/>
      <c r="M99" s="24"/>
      <c r="N99" s="24"/>
      <c r="O99" s="24">
        <v>16.489999999999998</v>
      </c>
      <c r="P99" s="24">
        <v>13.65</v>
      </c>
      <c r="Q99" s="24">
        <v>19.46</v>
      </c>
      <c r="R99" s="24">
        <v>41.96</v>
      </c>
      <c r="S99" s="24">
        <v>46.18</v>
      </c>
      <c r="T99" s="24">
        <v>59.9</v>
      </c>
      <c r="U99" s="24">
        <v>58.76</v>
      </c>
      <c r="V99" s="24">
        <v>75.010000000000005</v>
      </c>
      <c r="W99" s="24">
        <v>54.49</v>
      </c>
      <c r="X99" s="24">
        <v>22.42</v>
      </c>
      <c r="Y99" s="24">
        <v>41.16</v>
      </c>
      <c r="Z99" s="24"/>
      <c r="AA99" s="24"/>
      <c r="AB99" s="24"/>
      <c r="AC99" s="24"/>
      <c r="AD99" s="24"/>
      <c r="AE99" s="24"/>
      <c r="AF99" s="24"/>
      <c r="AG99" s="24"/>
      <c r="AH99" s="24"/>
    </row>
    <row r="100" spans="2:34" x14ac:dyDescent="0.2">
      <c r="B100" s="73" t="s">
        <v>189</v>
      </c>
      <c r="C100" s="7" t="s">
        <v>123</v>
      </c>
      <c r="E100" s="24"/>
      <c r="F100" s="24"/>
      <c r="G100" s="24"/>
      <c r="H100" s="24"/>
      <c r="I100" s="24"/>
      <c r="J100" s="24"/>
      <c r="K100" s="24"/>
      <c r="L100" s="24"/>
      <c r="M100" s="24"/>
      <c r="N100" s="24"/>
      <c r="O100" s="24">
        <v>75.78</v>
      </c>
      <c r="P100" s="24">
        <v>30.17</v>
      </c>
      <c r="Q100" s="24">
        <v>23.32</v>
      </c>
      <c r="R100" s="24">
        <v>18.561</v>
      </c>
      <c r="S100" s="24">
        <v>29.29</v>
      </c>
      <c r="T100" s="24">
        <v>13.05</v>
      </c>
      <c r="U100" s="24">
        <v>23.59</v>
      </c>
      <c r="V100" s="24">
        <v>25.69</v>
      </c>
      <c r="W100" s="24">
        <v>31.23</v>
      </c>
      <c r="X100" s="24">
        <v>22.54</v>
      </c>
      <c r="Y100" s="24">
        <v>36.99</v>
      </c>
      <c r="Z100" s="24"/>
      <c r="AA100" s="24"/>
      <c r="AB100" s="24"/>
      <c r="AC100" s="24"/>
      <c r="AD100" s="24"/>
      <c r="AE100" s="24"/>
      <c r="AF100" s="24"/>
      <c r="AG100" s="24"/>
      <c r="AH100" s="24"/>
    </row>
    <row r="101" spans="2:34" x14ac:dyDescent="0.2">
      <c r="B101" s="73" t="s">
        <v>190</v>
      </c>
      <c r="C101" s="7" t="s">
        <v>123</v>
      </c>
      <c r="E101" s="24"/>
      <c r="F101" s="24"/>
      <c r="G101" s="24"/>
      <c r="H101" s="24"/>
      <c r="I101" s="24"/>
      <c r="J101" s="24"/>
      <c r="K101" s="24"/>
      <c r="L101" s="24"/>
      <c r="M101" s="24"/>
      <c r="N101" s="24"/>
      <c r="O101" s="24">
        <v>1482.56</v>
      </c>
      <c r="P101" s="24">
        <v>1488.42</v>
      </c>
      <c r="Q101" s="24">
        <v>2272.0300000000002</v>
      </c>
      <c r="R101" s="24">
        <v>2757.38</v>
      </c>
      <c r="S101" s="24">
        <v>3365.73</v>
      </c>
      <c r="T101" s="24">
        <v>5560.15</v>
      </c>
      <c r="U101" s="24">
        <v>7134.1</v>
      </c>
      <c r="V101" s="24">
        <v>9024.61</v>
      </c>
      <c r="W101" s="24">
        <v>10051.98</v>
      </c>
      <c r="X101" s="24">
        <v>8352</v>
      </c>
      <c r="Y101" s="24">
        <v>13996.86</v>
      </c>
      <c r="Z101" s="24"/>
      <c r="AA101" s="24"/>
      <c r="AB101" s="24"/>
      <c r="AC101" s="24"/>
      <c r="AD101" s="24"/>
      <c r="AE101" s="24"/>
      <c r="AF101" s="24"/>
      <c r="AG101" s="24"/>
      <c r="AH101" s="24"/>
    </row>
    <row r="102" spans="2:34" x14ac:dyDescent="0.2">
      <c r="B102" s="72" t="s">
        <v>192</v>
      </c>
      <c r="C102" s="79" t="s">
        <v>123</v>
      </c>
      <c r="D102" s="67"/>
      <c r="E102" s="71">
        <f>E25</f>
        <v>880</v>
      </c>
      <c r="F102" s="71">
        <f t="shared" ref="F102:N102" si="16">F25</f>
        <v>1320</v>
      </c>
      <c r="G102" s="71">
        <f t="shared" si="16"/>
        <v>1584.79</v>
      </c>
      <c r="H102" s="71">
        <f t="shared" si="16"/>
        <v>1426.33</v>
      </c>
      <c r="I102" s="71">
        <f t="shared" si="16"/>
        <v>1657.18</v>
      </c>
      <c r="J102" s="71">
        <f t="shared" si="16"/>
        <v>1790</v>
      </c>
      <c r="K102" s="71">
        <f t="shared" si="16"/>
        <v>1849</v>
      </c>
      <c r="L102" s="71">
        <f t="shared" si="16"/>
        <v>2398</v>
      </c>
      <c r="M102" s="71">
        <f t="shared" si="16"/>
        <v>2573.31</v>
      </c>
      <c r="N102" s="71">
        <f t="shared" si="16"/>
        <v>2945</v>
      </c>
      <c r="O102" s="69">
        <v>3333.41</v>
      </c>
      <c r="P102" s="69">
        <v>3221.21</v>
      </c>
      <c r="Q102" s="69">
        <v>3991.44</v>
      </c>
      <c r="R102" s="69">
        <v>4455.25</v>
      </c>
      <c r="S102" s="69">
        <v>5891.53</v>
      </c>
      <c r="T102" s="69">
        <v>8243.41</v>
      </c>
      <c r="U102" s="69">
        <v>9666.81</v>
      </c>
      <c r="V102" s="69">
        <v>11230.49</v>
      </c>
      <c r="W102" s="69">
        <v>12359.03</v>
      </c>
      <c r="X102" s="69">
        <v>10160.39</v>
      </c>
      <c r="Y102" s="69">
        <v>16602.990000000002</v>
      </c>
      <c r="Z102" s="69"/>
      <c r="AA102" s="69"/>
      <c r="AB102" s="69"/>
      <c r="AC102" s="69"/>
      <c r="AD102" s="69"/>
      <c r="AE102" s="69"/>
      <c r="AF102" s="69"/>
      <c r="AG102" s="69"/>
      <c r="AH102" s="69"/>
    </row>
    <row r="103" spans="2:34" x14ac:dyDescent="0.2">
      <c r="B103" s="73"/>
    </row>
    <row r="104" spans="2:34" x14ac:dyDescent="0.2">
      <c r="B104" s="21" t="s">
        <v>211</v>
      </c>
    </row>
    <row r="105" spans="2:34" x14ac:dyDescent="0.2">
      <c r="B105" s="73" t="s">
        <v>183</v>
      </c>
      <c r="C105" s="7" t="s">
        <v>123</v>
      </c>
      <c r="E105" s="24"/>
      <c r="F105" s="24"/>
      <c r="G105" s="24"/>
      <c r="H105" s="24"/>
      <c r="I105" s="24"/>
      <c r="J105" s="24"/>
      <c r="K105" s="24"/>
      <c r="L105" s="24"/>
      <c r="M105" s="24"/>
      <c r="N105" s="24"/>
      <c r="O105" s="70">
        <f>O83+O94</f>
        <v>6224.25</v>
      </c>
      <c r="P105" s="70">
        <f>P83+P94</f>
        <v>6316.62</v>
      </c>
      <c r="Q105" s="70">
        <f>Q83+Q94</f>
        <v>6313.1500000000005</v>
      </c>
      <c r="R105" s="70">
        <f>R83+R94</f>
        <v>7670.9699999999993</v>
      </c>
      <c r="S105" s="24">
        <v>8311.91</v>
      </c>
      <c r="T105" s="24">
        <v>7098.77</v>
      </c>
      <c r="U105" s="24">
        <v>6959.57</v>
      </c>
      <c r="V105" s="24">
        <v>6918.69</v>
      </c>
      <c r="W105" s="24">
        <v>6934.54</v>
      </c>
      <c r="X105" s="24">
        <v>6124.79</v>
      </c>
      <c r="Y105" s="24">
        <v>7515.48</v>
      </c>
      <c r="Z105" s="24"/>
      <c r="AA105" s="164"/>
      <c r="AB105" s="164"/>
      <c r="AC105" s="164"/>
      <c r="AD105" s="24"/>
      <c r="AE105" s="24"/>
      <c r="AF105" s="24"/>
      <c r="AG105" s="24"/>
      <c r="AH105" s="24"/>
    </row>
    <row r="106" spans="2:34" x14ac:dyDescent="0.2">
      <c r="B106" s="73" t="s">
        <v>184</v>
      </c>
      <c r="C106" s="7" t="s">
        <v>123</v>
      </c>
      <c r="E106" s="24"/>
      <c r="F106" s="24"/>
      <c r="G106" s="24"/>
      <c r="H106" s="24"/>
      <c r="I106" s="24"/>
      <c r="J106" s="24"/>
      <c r="K106" s="24"/>
      <c r="L106" s="24"/>
      <c r="M106" s="24"/>
      <c r="N106" s="24"/>
      <c r="O106" s="70">
        <f t="shared" ref="O106:O113" si="17">O84+O95</f>
        <v>4893.4500000000007</v>
      </c>
      <c r="P106" s="70">
        <f t="shared" ref="P106:R113" si="18">P84+P95</f>
        <v>5067.6600000000008</v>
      </c>
      <c r="Q106" s="70">
        <f t="shared" si="18"/>
        <v>4967.83</v>
      </c>
      <c r="R106" s="70">
        <f t="shared" si="18"/>
        <v>7011.83</v>
      </c>
      <c r="S106" s="24">
        <v>6992.13</v>
      </c>
      <c r="T106" s="24">
        <v>4923.2700000000004</v>
      </c>
      <c r="U106" s="24">
        <v>5005.8999999999996</v>
      </c>
      <c r="V106" s="24">
        <v>4968.2700000000004</v>
      </c>
      <c r="W106" s="24">
        <v>5104.84</v>
      </c>
      <c r="X106" s="24">
        <v>4613.0200000000004</v>
      </c>
      <c r="Y106" s="24">
        <v>5022.82</v>
      </c>
      <c r="Z106" s="55"/>
      <c r="AA106" s="24"/>
      <c r="AB106" s="24"/>
      <c r="AC106" s="24"/>
      <c r="AD106" s="24"/>
      <c r="AE106" s="24"/>
      <c r="AF106" s="24"/>
      <c r="AG106" s="24"/>
      <c r="AH106" s="24"/>
    </row>
    <row r="107" spans="2:34" x14ac:dyDescent="0.2">
      <c r="B107" s="73" t="s">
        <v>185</v>
      </c>
      <c r="C107" s="7" t="s">
        <v>123</v>
      </c>
      <c r="E107" s="24"/>
      <c r="F107" s="24"/>
      <c r="G107" s="24"/>
      <c r="H107" s="24"/>
      <c r="I107" s="24"/>
      <c r="J107" s="24"/>
      <c r="K107" s="24"/>
      <c r="L107" s="24"/>
      <c r="M107" s="24"/>
      <c r="N107" s="24"/>
      <c r="O107" s="70">
        <f t="shared" si="17"/>
        <v>2534.3999999999996</v>
      </c>
      <c r="P107" s="70">
        <f t="shared" si="18"/>
        <v>2483.5099999999998</v>
      </c>
      <c r="Q107" s="70">
        <f t="shared" si="18"/>
        <v>2437.1800000000003</v>
      </c>
      <c r="R107" s="70">
        <f t="shared" si="18"/>
        <v>3269.03</v>
      </c>
      <c r="S107" s="24">
        <v>3188.6</v>
      </c>
      <c r="T107" s="24">
        <v>2395.6999999999998</v>
      </c>
      <c r="U107" s="24">
        <v>2226.2800000000002</v>
      </c>
      <c r="V107" s="24">
        <v>2214.0300000000002</v>
      </c>
      <c r="W107" s="24">
        <v>2041.78</v>
      </c>
      <c r="X107" s="24">
        <v>1689.22</v>
      </c>
      <c r="Y107" s="24">
        <v>1859.36</v>
      </c>
      <c r="Z107" s="24"/>
      <c r="AA107" s="24"/>
      <c r="AB107" s="24"/>
      <c r="AC107" s="24"/>
      <c r="AD107" s="24"/>
      <c r="AE107" s="24"/>
      <c r="AF107" s="24"/>
      <c r="AG107" s="24"/>
      <c r="AH107" s="24"/>
    </row>
    <row r="108" spans="2:34" x14ac:dyDescent="0.2">
      <c r="B108" s="73" t="s">
        <v>186</v>
      </c>
      <c r="C108" s="7" t="s">
        <v>123</v>
      </c>
      <c r="E108" s="24"/>
      <c r="F108" s="24"/>
      <c r="G108" s="24"/>
      <c r="H108" s="24"/>
      <c r="I108" s="24"/>
      <c r="J108" s="24"/>
      <c r="K108" s="24"/>
      <c r="L108" s="24"/>
      <c r="M108" s="24"/>
      <c r="N108" s="24"/>
      <c r="O108" s="70">
        <f t="shared" si="17"/>
        <v>925.31</v>
      </c>
      <c r="P108" s="70">
        <f t="shared" si="18"/>
        <v>856.89</v>
      </c>
      <c r="Q108" s="70">
        <f t="shared" si="18"/>
        <v>754.79000000000008</v>
      </c>
      <c r="R108" s="70">
        <f t="shared" si="18"/>
        <v>1101</v>
      </c>
      <c r="S108" s="24">
        <v>1167.8599999999999</v>
      </c>
      <c r="T108" s="24">
        <v>784.37</v>
      </c>
      <c r="U108" s="24">
        <v>732.77</v>
      </c>
      <c r="V108" s="24">
        <v>723.84</v>
      </c>
      <c r="W108" s="24">
        <v>668.75</v>
      </c>
      <c r="X108" s="24">
        <v>538.54</v>
      </c>
      <c r="Y108" s="24">
        <v>682.87</v>
      </c>
      <c r="Z108" s="24"/>
      <c r="AA108" s="24"/>
      <c r="AB108" s="24"/>
      <c r="AC108" s="24"/>
      <c r="AD108" s="24"/>
      <c r="AE108" s="24"/>
      <c r="AF108" s="24"/>
      <c r="AG108" s="24"/>
      <c r="AH108" s="24"/>
    </row>
    <row r="109" spans="2:34" x14ac:dyDescent="0.2">
      <c r="B109" s="73" t="s">
        <v>187</v>
      </c>
      <c r="C109" s="7" t="s">
        <v>123</v>
      </c>
      <c r="E109" s="24"/>
      <c r="F109" s="24"/>
      <c r="G109" s="24"/>
      <c r="H109" s="24"/>
      <c r="I109" s="24"/>
      <c r="J109" s="24"/>
      <c r="K109" s="24"/>
      <c r="L109" s="24"/>
      <c r="M109" s="24"/>
      <c r="N109" s="24"/>
      <c r="O109" s="70">
        <f t="shared" si="17"/>
        <v>1925.1699999999998</v>
      </c>
      <c r="P109" s="70">
        <f t="shared" si="18"/>
        <v>2018.6899999999998</v>
      </c>
      <c r="Q109" s="70">
        <f t="shared" si="18"/>
        <v>2161.6099999999997</v>
      </c>
      <c r="R109" s="70">
        <f t="shared" si="18"/>
        <v>3455.33</v>
      </c>
      <c r="S109" s="24">
        <v>2743.79</v>
      </c>
      <c r="T109" s="24">
        <v>2177.79</v>
      </c>
      <c r="U109" s="24">
        <v>2047.1</v>
      </c>
      <c r="V109" s="24">
        <v>2054.0100000000002</v>
      </c>
      <c r="W109" s="24">
        <v>2024.84</v>
      </c>
      <c r="X109" s="24">
        <v>1882.54</v>
      </c>
      <c r="Y109" s="24">
        <v>4743.26</v>
      </c>
      <c r="Z109" s="24"/>
      <c r="AA109" s="24"/>
      <c r="AB109" s="24"/>
      <c r="AC109" s="24"/>
      <c r="AD109" s="24"/>
      <c r="AE109" s="24"/>
      <c r="AF109" s="24"/>
      <c r="AG109" s="24"/>
      <c r="AH109" s="24"/>
    </row>
    <row r="110" spans="2:34" x14ac:dyDescent="0.2">
      <c r="B110" s="73" t="s">
        <v>188</v>
      </c>
      <c r="C110" s="7" t="s">
        <v>123</v>
      </c>
      <c r="E110" s="24"/>
      <c r="F110" s="24"/>
      <c r="G110" s="24"/>
      <c r="H110" s="24"/>
      <c r="I110" s="24"/>
      <c r="J110" s="24"/>
      <c r="K110" s="24"/>
      <c r="L110" s="24"/>
      <c r="M110" s="24"/>
      <c r="N110" s="24"/>
      <c r="O110" s="70">
        <f t="shared" si="17"/>
        <v>964.85</v>
      </c>
      <c r="P110" s="70">
        <f t="shared" si="18"/>
        <v>898.23</v>
      </c>
      <c r="Q110" s="70">
        <f t="shared" si="18"/>
        <v>275.17</v>
      </c>
      <c r="R110" s="70">
        <f t="shared" si="18"/>
        <v>415.70000000000005</v>
      </c>
      <c r="S110" s="24">
        <v>466.35</v>
      </c>
      <c r="T110" s="24">
        <v>449.04</v>
      </c>
      <c r="U110" s="24">
        <v>446.45</v>
      </c>
      <c r="V110" s="24">
        <v>448.83</v>
      </c>
      <c r="W110" s="24">
        <v>358.95</v>
      </c>
      <c r="X110" s="24">
        <v>244.9</v>
      </c>
      <c r="Y110" s="24">
        <v>262.25</v>
      </c>
      <c r="Z110" s="24"/>
      <c r="AA110" s="24"/>
      <c r="AB110" s="24"/>
      <c r="AC110" s="24"/>
      <c r="AD110" s="24"/>
      <c r="AE110" s="24"/>
      <c r="AF110" s="24"/>
      <c r="AG110" s="24"/>
      <c r="AH110" s="24"/>
    </row>
    <row r="111" spans="2:34" x14ac:dyDescent="0.2">
      <c r="B111" s="73" t="s">
        <v>189</v>
      </c>
      <c r="C111" s="7" t="s">
        <v>123</v>
      </c>
      <c r="E111" s="24"/>
      <c r="F111" s="24"/>
      <c r="G111" s="24"/>
      <c r="H111" s="24"/>
      <c r="I111" s="24"/>
      <c r="J111" s="24"/>
      <c r="K111" s="24"/>
      <c r="L111" s="24"/>
      <c r="M111" s="24"/>
      <c r="N111" s="24"/>
      <c r="O111" s="70">
        <f t="shared" si="17"/>
        <v>297.7</v>
      </c>
      <c r="P111" s="70">
        <f t="shared" si="18"/>
        <v>196.73000000000002</v>
      </c>
      <c r="Q111" s="70">
        <f t="shared" si="18"/>
        <v>185.42</v>
      </c>
      <c r="R111" s="70">
        <f t="shared" si="18"/>
        <v>196.47100000000003</v>
      </c>
      <c r="S111" s="24">
        <v>237</v>
      </c>
      <c r="T111" s="24">
        <v>166.91</v>
      </c>
      <c r="U111" s="24">
        <v>192.88</v>
      </c>
      <c r="V111" s="24">
        <v>194.34</v>
      </c>
      <c r="W111" s="24">
        <v>198.51</v>
      </c>
      <c r="X111" s="24">
        <v>171.7</v>
      </c>
      <c r="Y111" s="24">
        <v>209.34</v>
      </c>
      <c r="Z111" s="24"/>
      <c r="AA111" s="24"/>
      <c r="AB111" s="24"/>
      <c r="AC111" s="24"/>
      <c r="AD111" s="24"/>
      <c r="AE111" s="24"/>
      <c r="AF111" s="24"/>
      <c r="AG111" s="24"/>
      <c r="AH111" s="24"/>
    </row>
    <row r="112" spans="2:34" x14ac:dyDescent="0.2">
      <c r="B112" s="73" t="s">
        <v>190</v>
      </c>
      <c r="C112" s="7" t="s">
        <v>123</v>
      </c>
      <c r="E112" s="24"/>
      <c r="F112" s="24"/>
      <c r="G112" s="24"/>
      <c r="H112" s="24"/>
      <c r="I112" s="24"/>
      <c r="J112" s="24"/>
      <c r="K112" s="24"/>
      <c r="L112" s="24"/>
      <c r="M112" s="24"/>
      <c r="N112" s="24"/>
      <c r="O112" s="70">
        <f t="shared" si="17"/>
        <v>5736.2199999999993</v>
      </c>
      <c r="P112" s="70">
        <f t="shared" si="18"/>
        <v>5810.57</v>
      </c>
      <c r="Q112" s="70">
        <f t="shared" si="18"/>
        <v>7412.1200000000008</v>
      </c>
      <c r="R112" s="70">
        <f t="shared" si="18"/>
        <v>3490.94</v>
      </c>
      <c r="S112" s="24">
        <v>5351.56</v>
      </c>
      <c r="T112" s="24">
        <v>10888.54</v>
      </c>
      <c r="U112" s="24">
        <v>14986.9</v>
      </c>
      <c r="V112" s="24">
        <v>18172.66</v>
      </c>
      <c r="W112" s="24">
        <v>20575.900000000001</v>
      </c>
      <c r="X112" s="24">
        <v>26428.86</v>
      </c>
      <c r="Y112" s="24">
        <v>39609.69</v>
      </c>
      <c r="Z112" s="24"/>
      <c r="AA112" s="24"/>
      <c r="AB112" s="24"/>
      <c r="AC112" s="24"/>
      <c r="AD112" s="24"/>
      <c r="AE112" s="24"/>
      <c r="AF112" s="24"/>
      <c r="AG112" s="24"/>
      <c r="AH112" s="24"/>
    </row>
    <row r="113" spans="2:34" x14ac:dyDescent="0.2">
      <c r="B113" s="72" t="s">
        <v>192</v>
      </c>
      <c r="C113" s="79" t="s">
        <v>123</v>
      </c>
      <c r="D113" s="67"/>
      <c r="E113" s="71">
        <f>E26</f>
        <v>12814</v>
      </c>
      <c r="F113" s="71">
        <f t="shared" ref="F113:N113" si="19">F26</f>
        <v>14171.4</v>
      </c>
      <c r="G113" s="71">
        <f t="shared" si="19"/>
        <v>15510.1</v>
      </c>
      <c r="H113" s="71">
        <f t="shared" si="19"/>
        <v>16442.169999999998</v>
      </c>
      <c r="I113" s="71">
        <f t="shared" si="19"/>
        <v>17612.47</v>
      </c>
      <c r="J113" s="71">
        <f t="shared" si="19"/>
        <v>17891</v>
      </c>
      <c r="K113" s="71">
        <f t="shared" si="19"/>
        <v>19443.28</v>
      </c>
      <c r="L113" s="71">
        <f t="shared" si="19"/>
        <v>17857</v>
      </c>
      <c r="M113" s="71">
        <f t="shared" si="19"/>
        <v>21942.78</v>
      </c>
      <c r="N113" s="71">
        <f t="shared" si="19"/>
        <v>22617.52</v>
      </c>
      <c r="O113" s="71">
        <f t="shared" si="17"/>
        <v>23501.350000000002</v>
      </c>
      <c r="P113" s="71">
        <f t="shared" si="18"/>
        <v>23648.9</v>
      </c>
      <c r="Q113" s="71">
        <f t="shared" si="18"/>
        <v>24507.27</v>
      </c>
      <c r="R113" s="71">
        <f t="shared" si="18"/>
        <v>26458.63</v>
      </c>
      <c r="S113" s="69">
        <v>28459.19</v>
      </c>
      <c r="T113" s="69">
        <v>28884.39</v>
      </c>
      <c r="U113" s="69">
        <v>32597.85</v>
      </c>
      <c r="V113" s="69">
        <v>35694.67</v>
      </c>
      <c r="W113" s="69">
        <v>37908.11</v>
      </c>
      <c r="X113" s="69">
        <v>41693.57</v>
      </c>
      <c r="Y113" s="69">
        <v>59905.07</v>
      </c>
      <c r="Z113" s="69"/>
      <c r="AA113" s="69"/>
      <c r="AB113" s="69"/>
      <c r="AC113" s="69"/>
      <c r="AD113" s="69"/>
      <c r="AE113" s="69"/>
      <c r="AF113" s="69"/>
      <c r="AG113" s="69"/>
      <c r="AH113" s="69"/>
    </row>
    <row r="114" spans="2:34" x14ac:dyDescent="0.2">
      <c r="E114" s="65"/>
      <c r="F114" s="65"/>
      <c r="G114" s="65"/>
      <c r="H114" s="65"/>
      <c r="I114" s="65"/>
      <c r="J114" s="65"/>
      <c r="K114" s="65"/>
      <c r="L114" s="65"/>
      <c r="M114" s="65"/>
    </row>
    <row r="115" spans="2:34" x14ac:dyDescent="0.2">
      <c r="B115" s="82" t="s">
        <v>141</v>
      </c>
      <c r="D115" s="83">
        <f t="shared" ref="D115:X115" si="20">D113-(D91+D102)</f>
        <v>0</v>
      </c>
      <c r="E115" s="83">
        <f t="shared" si="20"/>
        <v>11934</v>
      </c>
      <c r="F115" s="83">
        <f t="shared" si="20"/>
        <v>12851.4</v>
      </c>
      <c r="G115" s="83">
        <f t="shared" si="20"/>
        <v>13925.310000000001</v>
      </c>
      <c r="H115" s="83">
        <f t="shared" si="20"/>
        <v>15015.839999999998</v>
      </c>
      <c r="I115" s="83">
        <f t="shared" si="20"/>
        <v>15955.29</v>
      </c>
      <c r="J115" s="83">
        <f t="shared" si="20"/>
        <v>16101</v>
      </c>
      <c r="K115" s="83">
        <f t="shared" si="20"/>
        <v>17594.28</v>
      </c>
      <c r="L115" s="83">
        <f t="shared" si="20"/>
        <v>15459</v>
      </c>
      <c r="M115" s="83">
        <f t="shared" si="20"/>
        <v>19369.469999999998</v>
      </c>
      <c r="N115" s="83">
        <f t="shared" si="20"/>
        <v>19672.52</v>
      </c>
      <c r="O115" s="83">
        <f t="shared" si="20"/>
        <v>0</v>
      </c>
      <c r="P115" s="83">
        <f t="shared" si="20"/>
        <v>0</v>
      </c>
      <c r="Q115" s="83">
        <f t="shared" si="20"/>
        <v>0</v>
      </c>
      <c r="R115" s="83">
        <f t="shared" si="20"/>
        <v>0</v>
      </c>
      <c r="S115" s="83">
        <f t="shared" si="20"/>
        <v>-9.9999999983992893E-3</v>
      </c>
      <c r="T115" s="83">
        <f t="shared" si="20"/>
        <v>0</v>
      </c>
      <c r="U115" s="83">
        <f t="shared" si="20"/>
        <v>0</v>
      </c>
      <c r="V115" s="83">
        <f t="shared" si="20"/>
        <v>9.9999999947613105E-3</v>
      </c>
      <c r="W115" s="83">
        <f t="shared" si="20"/>
        <v>0</v>
      </c>
      <c r="X115" s="83">
        <f t="shared" si="20"/>
        <v>0</v>
      </c>
      <c r="Y115" s="83">
        <f>Y113-(Y91+Y102)</f>
        <v>0</v>
      </c>
    </row>
    <row r="116" spans="2:34" x14ac:dyDescent="0.2">
      <c r="B116" s="82" t="s">
        <v>141</v>
      </c>
      <c r="D116" s="83">
        <f t="shared" ref="D116:X116" si="21">D26-D113</f>
        <v>0</v>
      </c>
      <c r="E116" s="83">
        <f t="shared" si="21"/>
        <v>0</v>
      </c>
      <c r="F116" s="83">
        <f t="shared" si="21"/>
        <v>0</v>
      </c>
      <c r="G116" s="83">
        <f t="shared" si="21"/>
        <v>0</v>
      </c>
      <c r="H116" s="83">
        <f t="shared" si="21"/>
        <v>0</v>
      </c>
      <c r="I116" s="83">
        <f t="shared" si="21"/>
        <v>0</v>
      </c>
      <c r="J116" s="83">
        <f t="shared" si="21"/>
        <v>0</v>
      </c>
      <c r="K116" s="83">
        <f t="shared" si="21"/>
        <v>0</v>
      </c>
      <c r="L116" s="83">
        <f t="shared" si="21"/>
        <v>0</v>
      </c>
      <c r="M116" s="83">
        <f t="shared" si="21"/>
        <v>0</v>
      </c>
      <c r="N116" s="83">
        <f t="shared" si="21"/>
        <v>0</v>
      </c>
      <c r="O116" s="83">
        <f t="shared" si="21"/>
        <v>0</v>
      </c>
      <c r="P116" s="83">
        <f t="shared" si="21"/>
        <v>0</v>
      </c>
      <c r="Q116" s="83">
        <f t="shared" si="21"/>
        <v>0</v>
      </c>
      <c r="R116" s="83">
        <f t="shared" si="21"/>
        <v>-1090.5200000000004</v>
      </c>
      <c r="S116" s="83">
        <f t="shared" si="21"/>
        <v>0</v>
      </c>
      <c r="T116" s="83">
        <f t="shared" si="21"/>
        <v>0</v>
      </c>
      <c r="U116" s="83">
        <f t="shared" si="21"/>
        <v>1.0000000002037268E-2</v>
      </c>
      <c r="V116" s="83">
        <f t="shared" si="21"/>
        <v>3624.2400000000052</v>
      </c>
      <c r="W116" s="83">
        <f t="shared" si="21"/>
        <v>4374.2200000000012</v>
      </c>
      <c r="X116" s="83">
        <f t="shared" si="21"/>
        <v>0</v>
      </c>
      <c r="Y116" s="83">
        <f>Y26-Y113</f>
        <v>0</v>
      </c>
    </row>
    <row r="117" spans="2:34" x14ac:dyDescent="0.2">
      <c r="E117" s="65"/>
      <c r="F117" s="65"/>
      <c r="G117" s="65"/>
      <c r="H117" s="65"/>
      <c r="I117" s="65"/>
      <c r="J117" s="65"/>
      <c r="K117" s="65"/>
      <c r="L117" s="65"/>
      <c r="M117" s="65"/>
    </row>
    <row r="118" spans="2:34" x14ac:dyDescent="0.2">
      <c r="B118" s="74" t="s">
        <v>212</v>
      </c>
    </row>
    <row r="119" spans="2:34" x14ac:dyDescent="0.2">
      <c r="B119" s="73" t="s">
        <v>183</v>
      </c>
      <c r="C119" s="7" t="s">
        <v>118</v>
      </c>
      <c r="D119" s="75" t="e">
        <f t="shared" ref="D119:D127" si="22">D83/D$91</f>
        <v>#DIV/0!</v>
      </c>
      <c r="E119" s="75" t="e">
        <f t="shared" ref="E119:Y127" si="23">E83/E$91</f>
        <v>#DIV/0!</v>
      </c>
      <c r="F119" s="75" t="e">
        <f t="shared" si="23"/>
        <v>#DIV/0!</v>
      </c>
      <c r="G119" s="75" t="e">
        <f t="shared" si="23"/>
        <v>#DIV/0!</v>
      </c>
      <c r="H119" s="75" t="e">
        <f t="shared" si="23"/>
        <v>#DIV/0!</v>
      </c>
      <c r="I119" s="75" t="e">
        <f t="shared" si="23"/>
        <v>#DIV/0!</v>
      </c>
      <c r="J119" s="75" t="e">
        <f t="shared" si="23"/>
        <v>#DIV/0!</v>
      </c>
      <c r="K119" s="75" t="e">
        <f t="shared" si="23"/>
        <v>#DIV/0!</v>
      </c>
      <c r="L119" s="75" t="e">
        <f t="shared" si="23"/>
        <v>#DIV/0!</v>
      </c>
      <c r="M119" s="75" t="e">
        <f t="shared" si="23"/>
        <v>#DIV/0!</v>
      </c>
      <c r="N119" s="75" t="e">
        <f t="shared" si="23"/>
        <v>#DIV/0!</v>
      </c>
      <c r="O119" s="75">
        <f t="shared" si="23"/>
        <v>0.26559876715222275</v>
      </c>
      <c r="P119" s="75">
        <f t="shared" si="23"/>
        <v>0.2680361803023249</v>
      </c>
      <c r="Q119" s="75">
        <f t="shared" si="23"/>
        <v>0.26539116379888117</v>
      </c>
      <c r="R119" s="75">
        <f t="shared" si="23"/>
        <v>0.31144396906293487</v>
      </c>
      <c r="S119" s="75">
        <f t="shared" si="23"/>
        <v>0.3089751844120372</v>
      </c>
      <c r="T119" s="75">
        <f t="shared" si="23"/>
        <v>0.27539050955913913</v>
      </c>
      <c r="U119" s="75">
        <f t="shared" si="23"/>
        <v>0.24753652690850478</v>
      </c>
      <c r="V119" s="75">
        <f t="shared" si="23"/>
        <v>0.24024440641149888</v>
      </c>
      <c r="W119" s="75">
        <f t="shared" si="23"/>
        <v>0.22921647276535989</v>
      </c>
      <c r="X119" s="75">
        <f t="shared" si="23"/>
        <v>0.1676174112474543</v>
      </c>
      <c r="Y119" s="75">
        <f t="shared" si="23"/>
        <v>0.14419307340432608</v>
      </c>
      <c r="Z119" s="24"/>
      <c r="AA119" s="24"/>
      <c r="AB119" s="24"/>
      <c r="AC119" s="24"/>
      <c r="AD119" s="24"/>
      <c r="AE119" s="24"/>
      <c r="AF119" s="24"/>
      <c r="AG119" s="24"/>
      <c r="AH119" s="24"/>
    </row>
    <row r="120" spans="2:34" x14ac:dyDescent="0.2">
      <c r="B120" s="73" t="s">
        <v>184</v>
      </c>
      <c r="C120" s="7" t="s">
        <v>118</v>
      </c>
      <c r="D120" s="75" t="e">
        <f t="shared" si="22"/>
        <v>#DIV/0!</v>
      </c>
      <c r="E120" s="75" t="e">
        <f t="shared" ref="E120:S120" si="24">E84/E$91</f>
        <v>#DIV/0!</v>
      </c>
      <c r="F120" s="75" t="e">
        <f t="shared" si="24"/>
        <v>#DIV/0!</v>
      </c>
      <c r="G120" s="75" t="e">
        <f t="shared" si="24"/>
        <v>#DIV/0!</v>
      </c>
      <c r="H120" s="75" t="e">
        <f t="shared" si="24"/>
        <v>#DIV/0!</v>
      </c>
      <c r="I120" s="75" t="e">
        <f t="shared" si="24"/>
        <v>#DIV/0!</v>
      </c>
      <c r="J120" s="75" t="e">
        <f t="shared" si="24"/>
        <v>#DIV/0!</v>
      </c>
      <c r="K120" s="75" t="e">
        <f t="shared" si="24"/>
        <v>#DIV/0!</v>
      </c>
      <c r="L120" s="75" t="e">
        <f t="shared" si="24"/>
        <v>#DIV/0!</v>
      </c>
      <c r="M120" s="75" t="e">
        <f t="shared" si="24"/>
        <v>#DIV/0!</v>
      </c>
      <c r="N120" s="75" t="e">
        <f t="shared" si="24"/>
        <v>#DIV/0!</v>
      </c>
      <c r="O120" s="75">
        <f t="shared" si="24"/>
        <v>0.21656946619238254</v>
      </c>
      <c r="P120" s="75">
        <f t="shared" si="24"/>
        <v>0.22310305276808098</v>
      </c>
      <c r="Q120" s="75">
        <f t="shared" si="24"/>
        <v>0.2193871756589911</v>
      </c>
      <c r="R120" s="75">
        <f t="shared" si="24"/>
        <v>0.29292363264189414</v>
      </c>
      <c r="S120" s="75">
        <f t="shared" si="24"/>
        <v>0.27788734946939581</v>
      </c>
      <c r="T120" s="75">
        <f t="shared" si="23"/>
        <v>0.20190562657393205</v>
      </c>
      <c r="U120" s="75">
        <f t="shared" si="23"/>
        <v>0.18482633147035635</v>
      </c>
      <c r="V120" s="75">
        <f t="shared" si="23"/>
        <v>0.17694203400319736</v>
      </c>
      <c r="W120" s="75">
        <f t="shared" si="23"/>
        <v>0.17122534353487484</v>
      </c>
      <c r="X120" s="75">
        <f t="shared" si="23"/>
        <v>0.12719586162892549</v>
      </c>
      <c r="Y120" s="75">
        <f t="shared" si="23"/>
        <v>9.8607272445111166E-2</v>
      </c>
      <c r="Z120" s="24"/>
      <c r="AA120" s="24"/>
      <c r="AB120" s="24"/>
      <c r="AC120" s="24"/>
      <c r="AD120" s="24"/>
      <c r="AE120" s="24"/>
      <c r="AF120" s="24"/>
      <c r="AG120" s="24"/>
      <c r="AH120" s="24"/>
    </row>
    <row r="121" spans="2:34" x14ac:dyDescent="0.2">
      <c r="B121" s="73" t="s">
        <v>185</v>
      </c>
      <c r="C121" s="7" t="s">
        <v>118</v>
      </c>
      <c r="D121" s="75" t="e">
        <f t="shared" si="22"/>
        <v>#DIV/0!</v>
      </c>
      <c r="E121" s="75" t="e">
        <f t="shared" si="23"/>
        <v>#DIV/0!</v>
      </c>
      <c r="F121" s="75" t="e">
        <f t="shared" si="23"/>
        <v>#DIV/0!</v>
      </c>
      <c r="G121" s="75" t="e">
        <f t="shared" si="23"/>
        <v>#DIV/0!</v>
      </c>
      <c r="H121" s="75" t="e">
        <f t="shared" si="23"/>
        <v>#DIV/0!</v>
      </c>
      <c r="I121" s="75" t="e">
        <f t="shared" si="23"/>
        <v>#DIV/0!</v>
      </c>
      <c r="J121" s="75" t="e">
        <f t="shared" si="23"/>
        <v>#DIV/0!</v>
      </c>
      <c r="K121" s="75" t="e">
        <f t="shared" si="23"/>
        <v>#DIV/0!</v>
      </c>
      <c r="L121" s="75" t="e">
        <f t="shared" si="23"/>
        <v>#DIV/0!</v>
      </c>
      <c r="M121" s="75" t="e">
        <f t="shared" si="23"/>
        <v>#DIV/0!</v>
      </c>
      <c r="N121" s="75" t="e">
        <f t="shared" si="23"/>
        <v>#DIV/0!</v>
      </c>
      <c r="O121" s="75">
        <f t="shared" si="23"/>
        <v>0.118365088353099</v>
      </c>
      <c r="P121" s="75">
        <f t="shared" si="23"/>
        <v>0.11394141971020706</v>
      </c>
      <c r="Q121" s="75">
        <f t="shared" si="23"/>
        <v>0.11154411008474918</v>
      </c>
      <c r="R121" s="75">
        <f t="shared" si="23"/>
        <v>0.14135146509309024</v>
      </c>
      <c r="S121" s="75">
        <f t="shared" si="23"/>
        <v>0.13447289862001707</v>
      </c>
      <c r="T121" s="75">
        <f t="shared" si="23"/>
        <v>0.10714026175113779</v>
      </c>
      <c r="U121" s="75">
        <f t="shared" si="23"/>
        <v>8.9894309198361694E-2</v>
      </c>
      <c r="V121" s="75">
        <f t="shared" si="23"/>
        <v>8.2643310604855996E-2</v>
      </c>
      <c r="W121" s="75">
        <f t="shared" si="23"/>
        <v>7.3123180952112565E-2</v>
      </c>
      <c r="X121" s="75">
        <f t="shared" si="23"/>
        <v>4.9163135465563571E-2</v>
      </c>
      <c r="Y121" s="75">
        <f t="shared" si="23"/>
        <v>3.8475518958904512E-2</v>
      </c>
      <c r="Z121" s="24"/>
      <c r="AA121" s="24"/>
      <c r="AB121" s="24"/>
      <c r="AC121" s="24"/>
      <c r="AD121" s="24"/>
      <c r="AE121" s="24"/>
      <c r="AF121" s="24"/>
      <c r="AG121" s="24"/>
      <c r="AH121" s="24"/>
    </row>
    <row r="122" spans="2:34" x14ac:dyDescent="0.2">
      <c r="B122" s="73" t="s">
        <v>186</v>
      </c>
      <c r="C122" s="7" t="s">
        <v>118</v>
      </c>
      <c r="D122" s="75" t="e">
        <f t="shared" si="22"/>
        <v>#DIV/0!</v>
      </c>
      <c r="E122" s="75" t="e">
        <f t="shared" si="23"/>
        <v>#DIV/0!</v>
      </c>
      <c r="F122" s="75" t="e">
        <f t="shared" si="23"/>
        <v>#DIV/0!</v>
      </c>
      <c r="G122" s="75" t="e">
        <f t="shared" si="23"/>
        <v>#DIV/0!</v>
      </c>
      <c r="H122" s="75" t="e">
        <f t="shared" si="23"/>
        <v>#DIV/0!</v>
      </c>
      <c r="I122" s="75" t="e">
        <f t="shared" si="23"/>
        <v>#DIV/0!</v>
      </c>
      <c r="J122" s="75" t="e">
        <f t="shared" si="23"/>
        <v>#DIV/0!</v>
      </c>
      <c r="K122" s="75" t="e">
        <f t="shared" si="23"/>
        <v>#DIV/0!</v>
      </c>
      <c r="L122" s="75" t="e">
        <f t="shared" si="23"/>
        <v>#DIV/0!</v>
      </c>
      <c r="M122" s="75" t="e">
        <f t="shared" si="23"/>
        <v>#DIV/0!</v>
      </c>
      <c r="N122" s="75" t="e">
        <f t="shared" si="23"/>
        <v>#DIV/0!</v>
      </c>
      <c r="O122" s="75">
        <f t="shared" si="23"/>
        <v>4.3042075690427471E-2</v>
      </c>
      <c r="P122" s="75">
        <f t="shared" si="23"/>
        <v>3.899706721611694E-2</v>
      </c>
      <c r="Q122" s="75">
        <f t="shared" si="23"/>
        <v>3.3825099935025783E-2</v>
      </c>
      <c r="R122" s="75">
        <f t="shared" si="23"/>
        <v>4.7140939255696165E-2</v>
      </c>
      <c r="S122" s="75">
        <f t="shared" si="23"/>
        <v>4.8808317385002534E-2</v>
      </c>
      <c r="T122" s="75">
        <f t="shared" si="23"/>
        <v>3.4627231846549922E-2</v>
      </c>
      <c r="U122" s="75">
        <f t="shared" si="23"/>
        <v>2.8972519344957752E-2</v>
      </c>
      <c r="V122" s="75">
        <f t="shared" si="23"/>
        <v>2.6661031214220633E-2</v>
      </c>
      <c r="W122" s="75">
        <f t="shared" si="23"/>
        <v>2.3356222611538264E-2</v>
      </c>
      <c r="X122" s="75">
        <f t="shared" si="23"/>
        <v>1.5352400233658643E-2</v>
      </c>
      <c r="Y122" s="75">
        <f t="shared" si="23"/>
        <v>1.35827193520496E-2</v>
      </c>
      <c r="Z122" s="24"/>
      <c r="AA122" s="24"/>
      <c r="AB122" s="24"/>
      <c r="AC122" s="24"/>
      <c r="AD122" s="24"/>
      <c r="AE122" s="24"/>
      <c r="AF122" s="24"/>
      <c r="AG122" s="24"/>
      <c r="AH122" s="24"/>
    </row>
    <row r="123" spans="2:34" x14ac:dyDescent="0.2">
      <c r="B123" s="73" t="s">
        <v>187</v>
      </c>
      <c r="C123" s="7" t="s">
        <v>118</v>
      </c>
      <c r="D123" s="75" t="e">
        <f t="shared" si="22"/>
        <v>#DIV/0!</v>
      </c>
      <c r="E123" s="75" t="e">
        <f t="shared" si="23"/>
        <v>#DIV/0!</v>
      </c>
      <c r="F123" s="75" t="e">
        <f t="shared" si="23"/>
        <v>#DIV/0!</v>
      </c>
      <c r="G123" s="75" t="e">
        <f t="shared" si="23"/>
        <v>#DIV/0!</v>
      </c>
      <c r="H123" s="75" t="e">
        <f t="shared" si="23"/>
        <v>#DIV/0!</v>
      </c>
      <c r="I123" s="75" t="e">
        <f t="shared" si="23"/>
        <v>#DIV/0!</v>
      </c>
      <c r="J123" s="75" t="e">
        <f t="shared" si="23"/>
        <v>#DIV/0!</v>
      </c>
      <c r="K123" s="75" t="e">
        <f t="shared" si="23"/>
        <v>#DIV/0!</v>
      </c>
      <c r="L123" s="75" t="e">
        <f t="shared" si="23"/>
        <v>#DIV/0!</v>
      </c>
      <c r="M123" s="75" t="e">
        <f t="shared" si="23"/>
        <v>#DIV/0!</v>
      </c>
      <c r="N123" s="75" t="e">
        <f t="shared" si="23"/>
        <v>#DIV/0!</v>
      </c>
      <c r="O123" s="75">
        <f t="shared" si="23"/>
        <v>8.7485881056766315E-2</v>
      </c>
      <c r="P123" s="75">
        <f t="shared" si="23"/>
        <v>9.2882748857066058E-2</v>
      </c>
      <c r="Q123" s="75">
        <f t="shared" si="23"/>
        <v>9.8944571094613271E-2</v>
      </c>
      <c r="R123" s="75">
        <f t="shared" si="23"/>
        <v>0.15007194349231798</v>
      </c>
      <c r="S123" s="75">
        <f t="shared" si="23"/>
        <v>0.11403968597555708</v>
      </c>
      <c r="T123" s="75">
        <f t="shared" si="23"/>
        <v>9.6483306509671532E-2</v>
      </c>
      <c r="U123" s="75">
        <f t="shared" si="23"/>
        <v>8.2028115602257909E-2</v>
      </c>
      <c r="V123" s="75">
        <f t="shared" si="23"/>
        <v>7.7398497476104847E-2</v>
      </c>
      <c r="W123" s="75">
        <f t="shared" si="23"/>
        <v>7.2704770582737235E-2</v>
      </c>
      <c r="X123" s="75">
        <f t="shared" si="23"/>
        <v>5.5620143607463639E-2</v>
      </c>
      <c r="Y123" s="75">
        <f t="shared" si="23"/>
        <v>0.10456356830895883</v>
      </c>
      <c r="Z123" s="24"/>
      <c r="AA123" s="24"/>
      <c r="AB123" s="24"/>
      <c r="AC123" s="24"/>
      <c r="AD123" s="24"/>
      <c r="AE123" s="24"/>
      <c r="AF123" s="24"/>
      <c r="AG123" s="24"/>
      <c r="AH123" s="24"/>
    </row>
    <row r="124" spans="2:34" x14ac:dyDescent="0.2">
      <c r="B124" s="73" t="s">
        <v>188</v>
      </c>
      <c r="C124" s="7" t="s">
        <v>118</v>
      </c>
      <c r="D124" s="75" t="e">
        <f t="shared" si="22"/>
        <v>#DIV/0!</v>
      </c>
      <c r="E124" s="75" t="e">
        <f t="shared" si="23"/>
        <v>#DIV/0!</v>
      </c>
      <c r="F124" s="75" t="e">
        <f t="shared" si="23"/>
        <v>#DIV/0!</v>
      </c>
      <c r="G124" s="75" t="e">
        <f t="shared" si="23"/>
        <v>#DIV/0!</v>
      </c>
      <c r="H124" s="75" t="e">
        <f t="shared" si="23"/>
        <v>#DIV/0!</v>
      </c>
      <c r="I124" s="75" t="e">
        <f t="shared" si="23"/>
        <v>#DIV/0!</v>
      </c>
      <c r="J124" s="75" t="e">
        <f t="shared" si="23"/>
        <v>#DIV/0!</v>
      </c>
      <c r="K124" s="75" t="e">
        <f t="shared" si="23"/>
        <v>#DIV/0!</v>
      </c>
      <c r="L124" s="75" t="e">
        <f t="shared" si="23"/>
        <v>#DIV/0!</v>
      </c>
      <c r="M124" s="75" t="e">
        <f t="shared" si="23"/>
        <v>#DIV/0!</v>
      </c>
      <c r="N124" s="75" t="e">
        <f t="shared" si="23"/>
        <v>#DIV/0!</v>
      </c>
      <c r="O124" s="75">
        <f t="shared" si="23"/>
        <v>4.7023146637683366E-2</v>
      </c>
      <c r="P124" s="75">
        <f t="shared" si="23"/>
        <v>4.3302987268751383E-2</v>
      </c>
      <c r="Q124" s="75">
        <f t="shared" si="23"/>
        <v>1.2464033870430784E-2</v>
      </c>
      <c r="R124" s="75">
        <f t="shared" si="23"/>
        <v>1.6985572216632175E-2</v>
      </c>
      <c r="S124" s="75">
        <f t="shared" si="23"/>
        <v>1.8618226870563068E-2</v>
      </c>
      <c r="T124" s="75">
        <f t="shared" si="23"/>
        <v>1.8852787028522871E-2</v>
      </c>
      <c r="U124" s="75">
        <f t="shared" si="23"/>
        <v>1.6906777887091034E-2</v>
      </c>
      <c r="V124" s="75">
        <f t="shared" si="23"/>
        <v>1.528030585137366E-2</v>
      </c>
      <c r="W124" s="75">
        <f t="shared" si="23"/>
        <v>1.1916671754912506E-2</v>
      </c>
      <c r="X124" s="75">
        <f t="shared" si="23"/>
        <v>7.0554254280729067E-3</v>
      </c>
      <c r="Y124" s="75">
        <f t="shared" si="23"/>
        <v>5.1057593538231883E-3</v>
      </c>
      <c r="Z124" s="24"/>
      <c r="AA124" s="24"/>
      <c r="AB124" s="24"/>
      <c r="AC124" s="24"/>
      <c r="AD124" s="24"/>
      <c r="AE124" s="24"/>
      <c r="AF124" s="24"/>
      <c r="AG124" s="24"/>
      <c r="AH124" s="24"/>
    </row>
    <row r="125" spans="2:34" x14ac:dyDescent="0.2">
      <c r="B125" s="73" t="s">
        <v>189</v>
      </c>
      <c r="C125" s="7" t="s">
        <v>118</v>
      </c>
      <c r="D125" s="75" t="e">
        <f t="shared" si="22"/>
        <v>#DIV/0!</v>
      </c>
      <c r="E125" s="75" t="e">
        <f t="shared" si="23"/>
        <v>#DIV/0!</v>
      </c>
      <c r="F125" s="75" t="e">
        <f t="shared" si="23"/>
        <v>#DIV/0!</v>
      </c>
      <c r="G125" s="75" t="e">
        <f t="shared" si="23"/>
        <v>#DIV/0!</v>
      </c>
      <c r="H125" s="75" t="e">
        <f t="shared" si="23"/>
        <v>#DIV/0!</v>
      </c>
      <c r="I125" s="75" t="e">
        <f t="shared" si="23"/>
        <v>#DIV/0!</v>
      </c>
      <c r="J125" s="75" t="e">
        <f t="shared" si="23"/>
        <v>#DIV/0!</v>
      </c>
      <c r="K125" s="75" t="e">
        <f t="shared" si="23"/>
        <v>#DIV/0!</v>
      </c>
      <c r="L125" s="75" t="e">
        <f t="shared" si="23"/>
        <v>#DIV/0!</v>
      </c>
      <c r="M125" s="75" t="e">
        <f t="shared" si="23"/>
        <v>#DIV/0!</v>
      </c>
      <c r="N125" s="75" t="e">
        <f t="shared" si="23"/>
        <v>#DIV/0!</v>
      </c>
      <c r="O125" s="75">
        <f t="shared" si="23"/>
        <v>1.1003602747727331E-2</v>
      </c>
      <c r="P125" s="75">
        <f t="shared" si="23"/>
        <v>8.1536385171304231E-3</v>
      </c>
      <c r="Q125" s="75">
        <f t="shared" si="23"/>
        <v>7.9012157928779869E-3</v>
      </c>
      <c r="R125" s="75">
        <f t="shared" si="23"/>
        <v>8.0855759433323439E-3</v>
      </c>
      <c r="S125" s="75">
        <f t="shared" si="23"/>
        <v>9.2038743919952756E-3</v>
      </c>
      <c r="T125" s="75">
        <f t="shared" si="23"/>
        <v>7.4541034388871082E-3</v>
      </c>
      <c r="U125" s="75">
        <f t="shared" si="23"/>
        <v>7.3825696523140676E-3</v>
      </c>
      <c r="V125" s="75">
        <f t="shared" si="23"/>
        <v>6.8937552346962925E-3</v>
      </c>
      <c r="W125" s="75">
        <f t="shared" si="23"/>
        <v>6.5473981842007626E-3</v>
      </c>
      <c r="X125" s="75">
        <f t="shared" si="23"/>
        <v>4.7305726856599947E-3</v>
      </c>
      <c r="Y125" s="75">
        <f t="shared" si="23"/>
        <v>3.9801783193786529E-3</v>
      </c>
      <c r="Z125" s="24"/>
      <c r="AA125" s="24"/>
      <c r="AB125" s="24"/>
      <c r="AC125" s="24"/>
      <c r="AD125" s="24"/>
      <c r="AE125" s="24"/>
      <c r="AF125" s="24"/>
      <c r="AG125" s="24"/>
      <c r="AH125" s="24"/>
    </row>
    <row r="126" spans="2:34" x14ac:dyDescent="0.2">
      <c r="B126" s="73" t="s">
        <v>190</v>
      </c>
      <c r="C126" s="7" t="s">
        <v>118</v>
      </c>
      <c r="D126" s="75" t="e">
        <f t="shared" si="22"/>
        <v>#DIV/0!</v>
      </c>
      <c r="E126" s="75" t="e">
        <f t="shared" si="23"/>
        <v>#DIV/0!</v>
      </c>
      <c r="F126" s="75" t="e">
        <f t="shared" si="23"/>
        <v>#DIV/0!</v>
      </c>
      <c r="G126" s="75" t="e">
        <f t="shared" si="23"/>
        <v>#DIV/0!</v>
      </c>
      <c r="H126" s="75" t="e">
        <f t="shared" si="23"/>
        <v>#DIV/0!</v>
      </c>
      <c r="I126" s="75" t="e">
        <f t="shared" si="23"/>
        <v>#DIV/0!</v>
      </c>
      <c r="J126" s="75" t="e">
        <f t="shared" si="23"/>
        <v>#DIV/0!</v>
      </c>
      <c r="K126" s="75" t="e">
        <f t="shared" si="23"/>
        <v>#DIV/0!</v>
      </c>
      <c r="L126" s="75" t="e">
        <f t="shared" si="23"/>
        <v>#DIV/0!</v>
      </c>
      <c r="M126" s="75" t="e">
        <f t="shared" si="23"/>
        <v>#DIV/0!</v>
      </c>
      <c r="N126" s="75" t="e">
        <f t="shared" si="23"/>
        <v>#DIV/0!</v>
      </c>
      <c r="O126" s="75">
        <f t="shared" si="23"/>
        <v>0.21091197216969107</v>
      </c>
      <c r="P126" s="75">
        <f t="shared" si="23"/>
        <v>0.21158290536032215</v>
      </c>
      <c r="Q126" s="75">
        <f t="shared" si="23"/>
        <v>0.25054262976443065</v>
      </c>
      <c r="R126" s="75">
        <f t="shared" si="23"/>
        <v>3.3338514355521737E-2</v>
      </c>
      <c r="S126" s="75">
        <f t="shared" si="23"/>
        <v>8.7994462875431986E-2</v>
      </c>
      <c r="T126" s="75">
        <f t="shared" si="23"/>
        <v>0.25814617329215955</v>
      </c>
      <c r="U126" s="75">
        <f t="shared" si="23"/>
        <v>0.34245284993615638</v>
      </c>
      <c r="V126" s="75">
        <f t="shared" si="23"/>
        <v>0.37393665920405222</v>
      </c>
      <c r="W126" s="75">
        <f t="shared" si="23"/>
        <v>0.41190993961426403</v>
      </c>
      <c r="X126" s="75">
        <f t="shared" si="23"/>
        <v>0.57326504970320169</v>
      </c>
      <c r="Y126" s="75">
        <f t="shared" si="23"/>
        <v>0.59149190985744793</v>
      </c>
      <c r="Z126" s="24"/>
      <c r="AA126" s="24"/>
      <c r="AB126" s="24"/>
      <c r="AC126" s="24"/>
      <c r="AD126" s="24"/>
      <c r="AE126" s="24"/>
      <c r="AF126" s="24"/>
      <c r="AG126" s="24"/>
      <c r="AH126" s="24"/>
    </row>
    <row r="127" spans="2:34" x14ac:dyDescent="0.2">
      <c r="B127" s="72" t="s">
        <v>192</v>
      </c>
      <c r="C127" s="79" t="s">
        <v>118</v>
      </c>
      <c r="D127" s="76" t="e">
        <f t="shared" si="22"/>
        <v>#DIV/0!</v>
      </c>
      <c r="E127" s="76" t="e">
        <f t="shared" si="23"/>
        <v>#DIV/0!</v>
      </c>
      <c r="F127" s="76" t="e">
        <f t="shared" si="23"/>
        <v>#DIV/0!</v>
      </c>
      <c r="G127" s="76" t="e">
        <f t="shared" si="23"/>
        <v>#DIV/0!</v>
      </c>
      <c r="H127" s="76" t="e">
        <f t="shared" si="23"/>
        <v>#DIV/0!</v>
      </c>
      <c r="I127" s="76" t="e">
        <f t="shared" si="23"/>
        <v>#DIV/0!</v>
      </c>
      <c r="J127" s="76" t="e">
        <f t="shared" si="23"/>
        <v>#DIV/0!</v>
      </c>
      <c r="K127" s="76" t="e">
        <f t="shared" si="23"/>
        <v>#DIV/0!</v>
      </c>
      <c r="L127" s="76" t="e">
        <f t="shared" si="23"/>
        <v>#DIV/0!</v>
      </c>
      <c r="M127" s="76" t="e">
        <f t="shared" si="23"/>
        <v>#DIV/0!</v>
      </c>
      <c r="N127" s="76" t="e">
        <f t="shared" si="23"/>
        <v>#DIV/0!</v>
      </c>
      <c r="O127" s="76">
        <f t="shared" si="23"/>
        <v>1</v>
      </c>
      <c r="P127" s="76">
        <f t="shared" si="23"/>
        <v>1</v>
      </c>
      <c r="Q127" s="76">
        <f t="shared" si="23"/>
        <v>1</v>
      </c>
      <c r="R127" s="76">
        <f t="shared" si="23"/>
        <v>1</v>
      </c>
      <c r="S127" s="76">
        <f t="shared" si="23"/>
        <v>1</v>
      </c>
      <c r="T127" s="76">
        <f t="shared" si="23"/>
        <v>1</v>
      </c>
      <c r="U127" s="76">
        <f t="shared" si="23"/>
        <v>1</v>
      </c>
      <c r="V127" s="76">
        <f t="shared" si="23"/>
        <v>1</v>
      </c>
      <c r="W127" s="76">
        <f t="shared" si="23"/>
        <v>1</v>
      </c>
      <c r="X127" s="76">
        <f t="shared" si="23"/>
        <v>1</v>
      </c>
      <c r="Y127" s="76">
        <f t="shared" si="23"/>
        <v>1</v>
      </c>
      <c r="Z127" s="69"/>
      <c r="AA127" s="69"/>
      <c r="AB127" s="69"/>
      <c r="AC127" s="69"/>
      <c r="AD127" s="69"/>
      <c r="AE127" s="69"/>
      <c r="AF127" s="69"/>
      <c r="AG127" s="69"/>
      <c r="AH127" s="69"/>
    </row>
    <row r="128" spans="2:34" x14ac:dyDescent="0.2">
      <c r="B128" s="73"/>
    </row>
    <row r="129" spans="2:34" x14ac:dyDescent="0.2">
      <c r="B129" s="74" t="s">
        <v>213</v>
      </c>
    </row>
    <row r="130" spans="2:34" x14ac:dyDescent="0.2">
      <c r="B130" s="73" t="s">
        <v>183</v>
      </c>
      <c r="C130" s="7" t="s">
        <v>118</v>
      </c>
      <c r="D130" s="75" t="e">
        <f>D94/D$102</f>
        <v>#DIV/0!</v>
      </c>
      <c r="E130" s="75">
        <f t="shared" ref="E130:Y130" si="25">E94/E$102</f>
        <v>0</v>
      </c>
      <c r="F130" s="75">
        <f t="shared" si="25"/>
        <v>0</v>
      </c>
      <c r="G130" s="75">
        <f t="shared" si="25"/>
        <v>0</v>
      </c>
      <c r="H130" s="75">
        <f t="shared" si="25"/>
        <v>0</v>
      </c>
      <c r="I130" s="75">
        <f t="shared" si="25"/>
        <v>0</v>
      </c>
      <c r="J130" s="75">
        <f t="shared" si="25"/>
        <v>0</v>
      </c>
      <c r="K130" s="75">
        <f t="shared" si="25"/>
        <v>0</v>
      </c>
      <c r="L130" s="75">
        <f t="shared" si="25"/>
        <v>0</v>
      </c>
      <c r="M130" s="75">
        <f t="shared" si="25"/>
        <v>0</v>
      </c>
      <c r="N130" s="75">
        <f t="shared" si="25"/>
        <v>0</v>
      </c>
      <c r="O130" s="75">
        <f t="shared" si="25"/>
        <v>0.26029501321469606</v>
      </c>
      <c r="P130" s="75">
        <f t="shared" si="25"/>
        <v>0.2611627307750814</v>
      </c>
      <c r="Q130" s="75">
        <f t="shared" si="25"/>
        <v>0.21757310644779826</v>
      </c>
      <c r="R130" s="75">
        <f t="shared" si="25"/>
        <v>0.18363728185848155</v>
      </c>
      <c r="S130" s="75">
        <f t="shared" si="25"/>
        <v>0.22728561171716005</v>
      </c>
      <c r="T130" s="75">
        <f t="shared" si="25"/>
        <v>0.17158433221203362</v>
      </c>
      <c r="U130" s="75">
        <f t="shared" si="25"/>
        <v>0.1327532040042165</v>
      </c>
      <c r="V130" s="75">
        <f t="shared" si="25"/>
        <v>9.2721688902265176E-2</v>
      </c>
      <c r="W130" s="75">
        <f t="shared" si="25"/>
        <v>8.7245520077222888E-2</v>
      </c>
      <c r="X130" s="75">
        <f t="shared" si="25"/>
        <v>8.260214420903135E-2</v>
      </c>
      <c r="Y130" s="75">
        <f t="shared" si="25"/>
        <v>7.6589819062710979E-2</v>
      </c>
      <c r="Z130" s="24"/>
      <c r="AA130" s="24"/>
      <c r="AB130" s="24"/>
      <c r="AC130" s="24"/>
      <c r="AD130" s="24"/>
      <c r="AE130" s="24"/>
      <c r="AF130" s="24"/>
      <c r="AG130" s="24"/>
      <c r="AH130" s="24"/>
    </row>
    <row r="131" spans="2:34" x14ac:dyDescent="0.2">
      <c r="B131" s="73" t="s">
        <v>184</v>
      </c>
      <c r="C131" s="7" t="s">
        <v>118</v>
      </c>
      <c r="D131" s="75" t="e">
        <f t="shared" ref="D131:Y131" si="26">D95/D$102</f>
        <v>#DIV/0!</v>
      </c>
      <c r="E131" s="75">
        <f t="shared" si="26"/>
        <v>0</v>
      </c>
      <c r="F131" s="75">
        <f t="shared" si="26"/>
        <v>0</v>
      </c>
      <c r="G131" s="75">
        <f t="shared" si="26"/>
        <v>0</v>
      </c>
      <c r="H131" s="75">
        <f t="shared" si="26"/>
        <v>0</v>
      </c>
      <c r="I131" s="75">
        <f t="shared" si="26"/>
        <v>0</v>
      </c>
      <c r="J131" s="75">
        <f t="shared" si="26"/>
        <v>0</v>
      </c>
      <c r="K131" s="75">
        <f t="shared" si="26"/>
        <v>0</v>
      </c>
      <c r="L131" s="75">
        <f t="shared" si="26"/>
        <v>0</v>
      </c>
      <c r="M131" s="75">
        <f t="shared" si="26"/>
        <v>0</v>
      </c>
      <c r="N131" s="75">
        <f t="shared" si="26"/>
        <v>0</v>
      </c>
      <c r="O131" s="75">
        <f t="shared" si="26"/>
        <v>0.15770337282242511</v>
      </c>
      <c r="P131" s="75">
        <f t="shared" si="26"/>
        <v>0.15838147776767114</v>
      </c>
      <c r="Q131" s="75">
        <f t="shared" si="26"/>
        <v>0.11698033792315556</v>
      </c>
      <c r="R131" s="75">
        <f t="shared" si="26"/>
        <v>0.12715784748330622</v>
      </c>
      <c r="S131" s="75">
        <f t="shared" si="26"/>
        <v>0.12235531347544697</v>
      </c>
      <c r="T131" s="75">
        <f t="shared" si="26"/>
        <v>9.1678079823762262E-2</v>
      </c>
      <c r="U131" s="75">
        <f t="shared" si="26"/>
        <v>7.9409857026257885E-2</v>
      </c>
      <c r="V131" s="75">
        <f t="shared" si="26"/>
        <v>5.6945867900688216E-2</v>
      </c>
      <c r="W131" s="75">
        <f t="shared" si="26"/>
        <v>5.9081497496162726E-2</v>
      </c>
      <c r="X131" s="75">
        <f t="shared" si="26"/>
        <v>5.9262488939893061E-2</v>
      </c>
      <c r="Y131" s="75">
        <f t="shared" si="26"/>
        <v>4.5348458319856837E-2</v>
      </c>
      <c r="Z131" s="24"/>
      <c r="AA131" s="24"/>
      <c r="AB131" s="24"/>
      <c r="AC131" s="24"/>
      <c r="AD131" s="24"/>
      <c r="AE131" s="24"/>
      <c r="AF131" s="24"/>
      <c r="AG131" s="24"/>
      <c r="AH131" s="24"/>
    </row>
    <row r="132" spans="2:34" x14ac:dyDescent="0.2">
      <c r="B132" s="73" t="s">
        <v>185</v>
      </c>
      <c r="C132" s="7" t="s">
        <v>118</v>
      </c>
      <c r="D132" s="75" t="e">
        <f t="shared" ref="D132:Y132" si="27">D96/D$102</f>
        <v>#DIV/0!</v>
      </c>
      <c r="E132" s="75">
        <f t="shared" si="27"/>
        <v>0</v>
      </c>
      <c r="F132" s="75">
        <f t="shared" si="27"/>
        <v>0</v>
      </c>
      <c r="G132" s="75">
        <f t="shared" si="27"/>
        <v>0</v>
      </c>
      <c r="H132" s="75">
        <f t="shared" si="27"/>
        <v>0</v>
      </c>
      <c r="I132" s="75">
        <f t="shared" si="27"/>
        <v>0</v>
      </c>
      <c r="J132" s="75">
        <f t="shared" si="27"/>
        <v>0</v>
      </c>
      <c r="K132" s="75">
        <f t="shared" si="27"/>
        <v>0</v>
      </c>
      <c r="L132" s="75">
        <f t="shared" si="27"/>
        <v>0</v>
      </c>
      <c r="M132" s="75">
        <f t="shared" si="27"/>
        <v>0</v>
      </c>
      <c r="N132" s="75">
        <f t="shared" si="27"/>
        <v>0</v>
      </c>
      <c r="O132" s="75">
        <f t="shared" si="27"/>
        <v>4.4164984205363279E-2</v>
      </c>
      <c r="P132" s="75">
        <f t="shared" si="27"/>
        <v>4.8413484373884347E-2</v>
      </c>
      <c r="Q132" s="75">
        <f t="shared" si="27"/>
        <v>3.7269757280580441E-2</v>
      </c>
      <c r="R132" s="75">
        <f t="shared" si="27"/>
        <v>3.5647831210369789E-2</v>
      </c>
      <c r="S132" s="75">
        <f t="shared" si="27"/>
        <v>2.611545727510511E-2</v>
      </c>
      <c r="T132" s="75">
        <f t="shared" si="27"/>
        <v>2.2347547920096175E-2</v>
      </c>
      <c r="U132" s="75">
        <f t="shared" si="27"/>
        <v>1.70594022226567E-2</v>
      </c>
      <c r="V132" s="75">
        <f t="shared" si="27"/>
        <v>1.7116795438133152E-2</v>
      </c>
      <c r="W132" s="75">
        <f t="shared" si="27"/>
        <v>1.4042364166119833E-2</v>
      </c>
      <c r="X132" s="75">
        <f t="shared" si="27"/>
        <v>1.3675656150994203E-2</v>
      </c>
      <c r="Y132" s="75">
        <f t="shared" si="27"/>
        <v>1.1641878962765138E-2</v>
      </c>
      <c r="Z132" s="24"/>
      <c r="AA132" s="24"/>
      <c r="AB132" s="24"/>
      <c r="AC132" s="24"/>
      <c r="AD132" s="24"/>
      <c r="AE132" s="24"/>
      <c r="AF132" s="24"/>
      <c r="AG132" s="24"/>
      <c r="AH132" s="24"/>
    </row>
    <row r="133" spans="2:34" x14ac:dyDescent="0.2">
      <c r="B133" s="73" t="s">
        <v>186</v>
      </c>
      <c r="C133" s="7" t="s">
        <v>118</v>
      </c>
      <c r="D133" s="75" t="e">
        <f t="shared" ref="D133:Y133" si="28">D97/D$102</f>
        <v>#DIV/0!</v>
      </c>
      <c r="E133" s="75">
        <f t="shared" si="28"/>
        <v>0</v>
      </c>
      <c r="F133" s="75">
        <f t="shared" si="28"/>
        <v>0</v>
      </c>
      <c r="G133" s="75">
        <f t="shared" si="28"/>
        <v>0</v>
      </c>
      <c r="H133" s="75">
        <f t="shared" si="28"/>
        <v>0</v>
      </c>
      <c r="I133" s="75">
        <f t="shared" si="28"/>
        <v>0</v>
      </c>
      <c r="J133" s="75">
        <f t="shared" si="28"/>
        <v>0</v>
      </c>
      <c r="K133" s="75">
        <f t="shared" si="28"/>
        <v>0</v>
      </c>
      <c r="L133" s="75">
        <f t="shared" si="28"/>
        <v>0</v>
      </c>
      <c r="M133" s="75">
        <f t="shared" si="28"/>
        <v>0</v>
      </c>
      <c r="N133" s="75">
        <f t="shared" si="28"/>
        <v>0</v>
      </c>
      <c r="O133" s="75">
        <f t="shared" si="28"/>
        <v>1.717160505308378E-2</v>
      </c>
      <c r="P133" s="75">
        <f t="shared" si="28"/>
        <v>1.8710360392523308E-2</v>
      </c>
      <c r="Q133" s="75">
        <f t="shared" si="28"/>
        <v>1.5242619205098912E-2</v>
      </c>
      <c r="R133" s="75">
        <f t="shared" si="28"/>
        <v>1.4306716794792661E-2</v>
      </c>
      <c r="S133" s="75">
        <f t="shared" si="28"/>
        <v>1.1265324966519734E-2</v>
      </c>
      <c r="T133" s="75">
        <f t="shared" si="28"/>
        <v>8.4467471592459906E-3</v>
      </c>
      <c r="U133" s="75">
        <f t="shared" si="28"/>
        <v>7.0757571525663591E-3</v>
      </c>
      <c r="V133" s="75">
        <f t="shared" si="28"/>
        <v>6.375500979921624E-3</v>
      </c>
      <c r="W133" s="75">
        <f t="shared" si="28"/>
        <v>5.8273181633186413E-3</v>
      </c>
      <c r="X133" s="75">
        <f t="shared" si="28"/>
        <v>5.3560936145167657E-3</v>
      </c>
      <c r="Y133" s="75">
        <f t="shared" si="28"/>
        <v>5.7043942085130443E-3</v>
      </c>
      <c r="Z133" s="24"/>
      <c r="AA133" s="24"/>
      <c r="AB133" s="24"/>
      <c r="AC133" s="24"/>
      <c r="AD133" s="24"/>
      <c r="AE133" s="24"/>
      <c r="AF133" s="24"/>
      <c r="AG133" s="24"/>
      <c r="AH133" s="24"/>
    </row>
    <row r="134" spans="2:34" x14ac:dyDescent="0.2">
      <c r="B134" s="73" t="s">
        <v>187</v>
      </c>
      <c r="C134" s="7" t="s">
        <v>118</v>
      </c>
      <c r="D134" s="75" t="e">
        <f t="shared" ref="D134:Y134" si="29">D98/D$102</f>
        <v>#DIV/0!</v>
      </c>
      <c r="E134" s="75">
        <f t="shared" si="29"/>
        <v>0</v>
      </c>
      <c r="F134" s="75">
        <f t="shared" si="29"/>
        <v>0</v>
      </c>
      <c r="G134" s="75">
        <f t="shared" si="29"/>
        <v>0</v>
      </c>
      <c r="H134" s="75">
        <f t="shared" si="29"/>
        <v>0</v>
      </c>
      <c r="I134" s="75">
        <f t="shared" si="29"/>
        <v>0</v>
      </c>
      <c r="J134" s="75">
        <f t="shared" si="29"/>
        <v>0</v>
      </c>
      <c r="K134" s="75">
        <f t="shared" si="29"/>
        <v>0</v>
      </c>
      <c r="L134" s="75">
        <f t="shared" si="29"/>
        <v>0</v>
      </c>
      <c r="M134" s="75">
        <f t="shared" si="29"/>
        <v>0</v>
      </c>
      <c r="N134" s="75">
        <f t="shared" si="29"/>
        <v>0</v>
      </c>
      <c r="O134" s="75">
        <f t="shared" si="29"/>
        <v>4.8226890781512023E-2</v>
      </c>
      <c r="P134" s="75">
        <f t="shared" si="29"/>
        <v>3.7659761394010324E-2</v>
      </c>
      <c r="Q134" s="75">
        <f t="shared" si="29"/>
        <v>3.2990599883751227E-2</v>
      </c>
      <c r="R134" s="75">
        <f t="shared" si="29"/>
        <v>3.4395376241512822E-2</v>
      </c>
      <c r="S134" s="75">
        <f t="shared" si="29"/>
        <v>2.88855356757922E-2</v>
      </c>
      <c r="T134" s="75">
        <f t="shared" si="29"/>
        <v>2.2597444504155441E-2</v>
      </c>
      <c r="U134" s="75">
        <f t="shared" si="29"/>
        <v>1.7183538313052603E-2</v>
      </c>
      <c r="V134" s="75">
        <f t="shared" si="29"/>
        <v>1.4292341652056144E-2</v>
      </c>
      <c r="W134" s="75">
        <f t="shared" si="29"/>
        <v>1.3536661048642167E-2</v>
      </c>
      <c r="X134" s="75">
        <f t="shared" si="29"/>
        <v>1.2662899750895389E-2</v>
      </c>
      <c r="Y134" s="75">
        <f t="shared" si="29"/>
        <v>1.297597601395893E-2</v>
      </c>
      <c r="Z134" s="24"/>
      <c r="AA134" s="24"/>
      <c r="AB134" s="24"/>
      <c r="AC134" s="24"/>
      <c r="AD134" s="24"/>
      <c r="AE134" s="24"/>
      <c r="AF134" s="24"/>
      <c r="AG134" s="24"/>
      <c r="AH134" s="24"/>
    </row>
    <row r="135" spans="2:34" x14ac:dyDescent="0.2">
      <c r="B135" s="73" t="s">
        <v>188</v>
      </c>
      <c r="C135" s="7" t="s">
        <v>118</v>
      </c>
      <c r="D135" s="75" t="e">
        <f t="shared" ref="D135:Y135" si="30">D99/D$102</f>
        <v>#DIV/0!</v>
      </c>
      <c r="E135" s="75">
        <f t="shared" si="30"/>
        <v>0</v>
      </c>
      <c r="F135" s="75">
        <f t="shared" si="30"/>
        <v>0</v>
      </c>
      <c r="G135" s="75">
        <f t="shared" si="30"/>
        <v>0</v>
      </c>
      <c r="H135" s="75">
        <f t="shared" si="30"/>
        <v>0</v>
      </c>
      <c r="I135" s="75">
        <f t="shared" si="30"/>
        <v>0</v>
      </c>
      <c r="J135" s="75">
        <f t="shared" si="30"/>
        <v>0</v>
      </c>
      <c r="K135" s="75">
        <f t="shared" si="30"/>
        <v>0</v>
      </c>
      <c r="L135" s="75">
        <f t="shared" si="30"/>
        <v>0</v>
      </c>
      <c r="M135" s="75">
        <f t="shared" si="30"/>
        <v>0</v>
      </c>
      <c r="N135" s="75">
        <f t="shared" si="30"/>
        <v>0</v>
      </c>
      <c r="O135" s="75">
        <f t="shared" si="30"/>
        <v>4.9468862216169029E-3</v>
      </c>
      <c r="P135" s="75">
        <f t="shared" si="30"/>
        <v>4.2375380679930833E-3</v>
      </c>
      <c r="Q135" s="75">
        <f t="shared" si="30"/>
        <v>4.8754334275349252E-3</v>
      </c>
      <c r="R135" s="75">
        <f t="shared" si="30"/>
        <v>9.4181022389315978E-3</v>
      </c>
      <c r="S135" s="75">
        <f t="shared" si="30"/>
        <v>7.8383713568461848E-3</v>
      </c>
      <c r="T135" s="75">
        <f t="shared" si="30"/>
        <v>7.2664103811408143E-3</v>
      </c>
      <c r="U135" s="75">
        <f t="shared" si="30"/>
        <v>6.0785305597192869E-3</v>
      </c>
      <c r="V135" s="75">
        <f t="shared" si="30"/>
        <v>6.6791386662558806E-3</v>
      </c>
      <c r="W135" s="75">
        <f t="shared" si="30"/>
        <v>4.4089220594172845E-3</v>
      </c>
      <c r="X135" s="75">
        <f t="shared" si="30"/>
        <v>2.2066082109052903E-3</v>
      </c>
      <c r="Y135" s="75">
        <f t="shared" si="30"/>
        <v>2.4790715407285069E-3</v>
      </c>
      <c r="Z135" s="24"/>
      <c r="AA135" s="24"/>
      <c r="AB135" s="24"/>
      <c r="AC135" s="24"/>
      <c r="AD135" s="24"/>
      <c r="AE135" s="24"/>
      <c r="AF135" s="24"/>
      <c r="AG135" s="24"/>
      <c r="AH135" s="24"/>
    </row>
    <row r="136" spans="2:34" x14ac:dyDescent="0.2">
      <c r="B136" s="73" t="s">
        <v>189</v>
      </c>
      <c r="C136" s="7" t="s">
        <v>118</v>
      </c>
      <c r="D136" s="75" t="e">
        <f t="shared" ref="D136:Y136" si="31">D100/D$102</f>
        <v>#DIV/0!</v>
      </c>
      <c r="E136" s="75">
        <f t="shared" si="31"/>
        <v>0</v>
      </c>
      <c r="F136" s="75">
        <f t="shared" si="31"/>
        <v>0</v>
      </c>
      <c r="G136" s="75">
        <f t="shared" si="31"/>
        <v>0</v>
      </c>
      <c r="H136" s="75">
        <f t="shared" si="31"/>
        <v>0</v>
      </c>
      <c r="I136" s="75">
        <f t="shared" si="31"/>
        <v>0</v>
      </c>
      <c r="J136" s="75">
        <f t="shared" si="31"/>
        <v>0</v>
      </c>
      <c r="K136" s="75">
        <f t="shared" si="31"/>
        <v>0</v>
      </c>
      <c r="L136" s="75">
        <f t="shared" si="31"/>
        <v>0</v>
      </c>
      <c r="M136" s="75">
        <f t="shared" si="31"/>
        <v>0</v>
      </c>
      <c r="N136" s="75">
        <f t="shared" si="31"/>
        <v>0</v>
      </c>
      <c r="O136" s="75">
        <f t="shared" si="31"/>
        <v>2.2733477130026009E-2</v>
      </c>
      <c r="P136" s="75">
        <f t="shared" si="31"/>
        <v>9.3660456784872767E-3</v>
      </c>
      <c r="Q136" s="75">
        <f t="shared" si="31"/>
        <v>5.8425029563265391E-3</v>
      </c>
      <c r="R136" s="75">
        <f t="shared" si="31"/>
        <v>4.166096178665619E-3</v>
      </c>
      <c r="S136" s="75">
        <f t="shared" si="31"/>
        <v>4.971543894370393E-3</v>
      </c>
      <c r="T136" s="75">
        <f t="shared" si="31"/>
        <v>1.5830827291133161E-3</v>
      </c>
      <c r="U136" s="75">
        <f t="shared" si="31"/>
        <v>2.440308643699421E-3</v>
      </c>
      <c r="V136" s="75">
        <f t="shared" si="31"/>
        <v>2.2875226281310968E-3</v>
      </c>
      <c r="W136" s="75">
        <f t="shared" si="31"/>
        <v>2.526897337412402E-3</v>
      </c>
      <c r="X136" s="75">
        <f t="shared" si="31"/>
        <v>2.218418781168833E-3</v>
      </c>
      <c r="Y136" s="75">
        <f t="shared" si="31"/>
        <v>2.2279119604360418E-3</v>
      </c>
      <c r="Z136" s="24"/>
      <c r="AA136" s="24"/>
      <c r="AB136" s="24"/>
      <c r="AC136" s="24"/>
      <c r="AD136" s="24"/>
      <c r="AE136" s="24"/>
      <c r="AF136" s="24"/>
      <c r="AG136" s="24"/>
      <c r="AH136" s="24"/>
    </row>
    <row r="137" spans="2:34" x14ac:dyDescent="0.2">
      <c r="B137" s="73" t="s">
        <v>190</v>
      </c>
      <c r="C137" s="7" t="s">
        <v>118</v>
      </c>
      <c r="D137" s="75" t="e">
        <f t="shared" ref="D137:Y137" si="32">D101/D$102</f>
        <v>#DIV/0!</v>
      </c>
      <c r="E137" s="75">
        <f t="shared" si="32"/>
        <v>0</v>
      </c>
      <c r="F137" s="75">
        <f t="shared" si="32"/>
        <v>0</v>
      </c>
      <c r="G137" s="75">
        <f t="shared" si="32"/>
        <v>0</v>
      </c>
      <c r="H137" s="75">
        <f t="shared" si="32"/>
        <v>0</v>
      </c>
      <c r="I137" s="75">
        <f t="shared" si="32"/>
        <v>0</v>
      </c>
      <c r="J137" s="75">
        <f t="shared" si="32"/>
        <v>0</v>
      </c>
      <c r="K137" s="75">
        <f t="shared" si="32"/>
        <v>0</v>
      </c>
      <c r="L137" s="75">
        <f t="shared" si="32"/>
        <v>0</v>
      </c>
      <c r="M137" s="75">
        <f t="shared" si="32"/>
        <v>0</v>
      </c>
      <c r="N137" s="75">
        <f t="shared" si="32"/>
        <v>0</v>
      </c>
      <c r="O137" s="75">
        <f t="shared" si="32"/>
        <v>0.44475777057127686</v>
      </c>
      <c r="P137" s="75">
        <f t="shared" si="32"/>
        <v>0.46206860155034912</v>
      </c>
      <c r="Q137" s="75">
        <f t="shared" si="32"/>
        <v>0.56922564287575417</v>
      </c>
      <c r="R137" s="75">
        <f t="shared" si="32"/>
        <v>0.61890578530946638</v>
      </c>
      <c r="S137" s="75">
        <f t="shared" si="32"/>
        <v>0.57128284163875942</v>
      </c>
      <c r="T137" s="75">
        <f t="shared" si="32"/>
        <v>0.67449635527045237</v>
      </c>
      <c r="U137" s="75">
        <f t="shared" si="32"/>
        <v>0.73799940207783132</v>
      </c>
      <c r="V137" s="75">
        <f t="shared" si="32"/>
        <v>0.80358114383254875</v>
      </c>
      <c r="W137" s="75">
        <f t="shared" si="32"/>
        <v>0.81333081965170395</v>
      </c>
      <c r="X137" s="75">
        <f t="shared" si="32"/>
        <v>0.82201569034259514</v>
      </c>
      <c r="Y137" s="75">
        <f t="shared" si="32"/>
        <v>0.84303248993103042</v>
      </c>
      <c r="Z137" s="24"/>
      <c r="AA137" s="24"/>
      <c r="AB137" s="24"/>
      <c r="AC137" s="24"/>
      <c r="AD137" s="24"/>
      <c r="AE137" s="24"/>
      <c r="AF137" s="24"/>
      <c r="AG137" s="24"/>
      <c r="AH137" s="24"/>
    </row>
    <row r="138" spans="2:34" x14ac:dyDescent="0.2">
      <c r="B138" s="72" t="s">
        <v>192</v>
      </c>
      <c r="C138" s="79" t="s">
        <v>118</v>
      </c>
      <c r="D138" s="76" t="e">
        <f t="shared" ref="D138:Y138" si="33">D102/D$102</f>
        <v>#DIV/0!</v>
      </c>
      <c r="E138" s="76">
        <f t="shared" si="33"/>
        <v>1</v>
      </c>
      <c r="F138" s="76">
        <f t="shared" si="33"/>
        <v>1</v>
      </c>
      <c r="G138" s="76">
        <f t="shared" si="33"/>
        <v>1</v>
      </c>
      <c r="H138" s="76">
        <f t="shared" si="33"/>
        <v>1</v>
      </c>
      <c r="I138" s="76">
        <f t="shared" si="33"/>
        <v>1</v>
      </c>
      <c r="J138" s="76">
        <f t="shared" si="33"/>
        <v>1</v>
      </c>
      <c r="K138" s="76">
        <f t="shared" si="33"/>
        <v>1</v>
      </c>
      <c r="L138" s="76">
        <f t="shared" si="33"/>
        <v>1</v>
      </c>
      <c r="M138" s="76">
        <f t="shared" si="33"/>
        <v>1</v>
      </c>
      <c r="N138" s="76">
        <f t="shared" si="33"/>
        <v>1</v>
      </c>
      <c r="O138" s="76">
        <f t="shared" si="33"/>
        <v>1</v>
      </c>
      <c r="P138" s="76">
        <f t="shared" si="33"/>
        <v>1</v>
      </c>
      <c r="Q138" s="76">
        <f t="shared" si="33"/>
        <v>1</v>
      </c>
      <c r="R138" s="76">
        <f t="shared" si="33"/>
        <v>1</v>
      </c>
      <c r="S138" s="76">
        <f t="shared" si="33"/>
        <v>1</v>
      </c>
      <c r="T138" s="76">
        <f t="shared" si="33"/>
        <v>1</v>
      </c>
      <c r="U138" s="76">
        <f t="shared" si="33"/>
        <v>1</v>
      </c>
      <c r="V138" s="76">
        <f t="shared" si="33"/>
        <v>1</v>
      </c>
      <c r="W138" s="76">
        <f t="shared" si="33"/>
        <v>1</v>
      </c>
      <c r="X138" s="76">
        <f t="shared" si="33"/>
        <v>1</v>
      </c>
      <c r="Y138" s="76">
        <f t="shared" si="33"/>
        <v>1</v>
      </c>
      <c r="Z138" s="69"/>
      <c r="AA138" s="69"/>
      <c r="AB138" s="69"/>
      <c r="AC138" s="69"/>
      <c r="AD138" s="69"/>
      <c r="AE138" s="69"/>
      <c r="AF138" s="69"/>
      <c r="AG138" s="69"/>
      <c r="AH138" s="69"/>
    </row>
    <row r="139" spans="2:34" x14ac:dyDescent="0.2">
      <c r="B139" s="73"/>
    </row>
    <row r="140" spans="2:34" x14ac:dyDescent="0.2">
      <c r="B140" s="74" t="s">
        <v>214</v>
      </c>
    </row>
    <row r="141" spans="2:34" x14ac:dyDescent="0.2">
      <c r="B141" s="73" t="s">
        <v>183</v>
      </c>
      <c r="C141" s="7" t="s">
        <v>118</v>
      </c>
      <c r="D141" s="75" t="e">
        <f>D105/D$113</f>
        <v>#DIV/0!</v>
      </c>
      <c r="E141" s="75">
        <f t="shared" ref="E141:Y141" si="34">E105/E$113</f>
        <v>0</v>
      </c>
      <c r="F141" s="75">
        <f t="shared" si="34"/>
        <v>0</v>
      </c>
      <c r="G141" s="75">
        <f t="shared" si="34"/>
        <v>0</v>
      </c>
      <c r="H141" s="75">
        <f t="shared" si="34"/>
        <v>0</v>
      </c>
      <c r="I141" s="75">
        <f t="shared" si="34"/>
        <v>0</v>
      </c>
      <c r="J141" s="75">
        <f t="shared" si="34"/>
        <v>0</v>
      </c>
      <c r="K141" s="75">
        <f t="shared" si="34"/>
        <v>0</v>
      </c>
      <c r="L141" s="75">
        <f t="shared" si="34"/>
        <v>0</v>
      </c>
      <c r="M141" s="75">
        <f t="shared" si="34"/>
        <v>0</v>
      </c>
      <c r="N141" s="75">
        <f t="shared" si="34"/>
        <v>0</v>
      </c>
      <c r="O141" s="75">
        <f t="shared" si="34"/>
        <v>0.26484648754220502</v>
      </c>
      <c r="P141" s="75">
        <f t="shared" si="34"/>
        <v>0.2670999496805348</v>
      </c>
      <c r="Q141" s="75">
        <f t="shared" si="34"/>
        <v>0.25760315204427098</v>
      </c>
      <c r="R141" s="75">
        <f t="shared" si="34"/>
        <v>0.2899231744047216</v>
      </c>
      <c r="S141" s="75">
        <f t="shared" si="34"/>
        <v>0.29206418032277098</v>
      </c>
      <c r="T141" s="75">
        <f t="shared" si="34"/>
        <v>0.24576492700728667</v>
      </c>
      <c r="U141" s="75">
        <f t="shared" si="34"/>
        <v>0.2134978227091664</v>
      </c>
      <c r="V141" s="75">
        <f t="shared" si="34"/>
        <v>0.19382977906785523</v>
      </c>
      <c r="W141" s="75">
        <f t="shared" si="34"/>
        <v>0.18293024896255708</v>
      </c>
      <c r="X141" s="75">
        <f t="shared" si="34"/>
        <v>0.14690010953727398</v>
      </c>
      <c r="Y141" s="75">
        <f t="shared" si="34"/>
        <v>0.12545649308147039</v>
      </c>
      <c r="Z141" s="24"/>
      <c r="AA141" s="24"/>
      <c r="AB141" s="24"/>
      <c r="AC141" s="24"/>
      <c r="AD141" s="24"/>
      <c r="AE141" s="24"/>
      <c r="AF141" s="24"/>
      <c r="AG141" s="24"/>
      <c r="AH141" s="24"/>
    </row>
    <row r="142" spans="2:34" x14ac:dyDescent="0.2">
      <c r="B142" s="73" t="s">
        <v>184</v>
      </c>
      <c r="C142" s="7" t="s">
        <v>118</v>
      </c>
      <c r="D142" s="75" t="e">
        <f t="shared" ref="D142:Y142" si="35">D106/D$113</f>
        <v>#DIV/0!</v>
      </c>
      <c r="E142" s="75">
        <f t="shared" si="35"/>
        <v>0</v>
      </c>
      <c r="F142" s="75">
        <f t="shared" si="35"/>
        <v>0</v>
      </c>
      <c r="G142" s="75">
        <f t="shared" si="35"/>
        <v>0</v>
      </c>
      <c r="H142" s="75">
        <f t="shared" si="35"/>
        <v>0</v>
      </c>
      <c r="I142" s="75">
        <f t="shared" si="35"/>
        <v>0</v>
      </c>
      <c r="J142" s="75">
        <f t="shared" si="35"/>
        <v>0</v>
      </c>
      <c r="K142" s="75">
        <f t="shared" si="35"/>
        <v>0</v>
      </c>
      <c r="L142" s="75">
        <f t="shared" si="35"/>
        <v>0</v>
      </c>
      <c r="M142" s="75">
        <f t="shared" si="35"/>
        <v>0</v>
      </c>
      <c r="N142" s="75">
        <f t="shared" si="35"/>
        <v>0</v>
      </c>
      <c r="O142" s="75">
        <f t="shared" si="35"/>
        <v>0.20821995332183046</v>
      </c>
      <c r="P142" s="75">
        <f t="shared" si="35"/>
        <v>0.21428734528878723</v>
      </c>
      <c r="Q142" s="75">
        <f t="shared" si="35"/>
        <v>0.20270842080737675</v>
      </c>
      <c r="R142" s="75">
        <f t="shared" si="35"/>
        <v>0.26501107578132349</v>
      </c>
      <c r="S142" s="75">
        <f t="shared" si="35"/>
        <v>0.24568970515323874</v>
      </c>
      <c r="T142" s="75">
        <f t="shared" si="35"/>
        <v>0.17044742852454217</v>
      </c>
      <c r="U142" s="75">
        <f t="shared" si="35"/>
        <v>0.15356534249958204</v>
      </c>
      <c r="V142" s="75">
        <f t="shared" si="35"/>
        <v>0.13918800762130595</v>
      </c>
      <c r="W142" s="75">
        <f t="shared" si="35"/>
        <v>0.13466353242089885</v>
      </c>
      <c r="X142" s="75">
        <f t="shared" si="35"/>
        <v>0.1106410412924583</v>
      </c>
      <c r="Y142" s="75">
        <f t="shared" si="35"/>
        <v>8.3846325528039611E-2</v>
      </c>
      <c r="Z142" s="24"/>
      <c r="AA142" s="24"/>
      <c r="AB142" s="24"/>
      <c r="AC142" s="24"/>
      <c r="AD142" s="24"/>
      <c r="AE142" s="24"/>
      <c r="AF142" s="24"/>
      <c r="AG142" s="24"/>
      <c r="AH142" s="24"/>
    </row>
    <row r="143" spans="2:34" x14ac:dyDescent="0.2">
      <c r="B143" s="73" t="s">
        <v>185</v>
      </c>
      <c r="C143" s="7" t="s">
        <v>118</v>
      </c>
      <c r="D143" s="75" t="e">
        <f t="shared" ref="D143:Y143" si="36">D107/D$113</f>
        <v>#DIV/0!</v>
      </c>
      <c r="E143" s="75">
        <f t="shared" si="36"/>
        <v>0</v>
      </c>
      <c r="F143" s="75">
        <f t="shared" si="36"/>
        <v>0</v>
      </c>
      <c r="G143" s="75">
        <f t="shared" si="36"/>
        <v>0</v>
      </c>
      <c r="H143" s="75">
        <f t="shared" si="36"/>
        <v>0</v>
      </c>
      <c r="I143" s="75">
        <f t="shared" si="36"/>
        <v>0</v>
      </c>
      <c r="J143" s="75">
        <f t="shared" si="36"/>
        <v>0</v>
      </c>
      <c r="K143" s="75">
        <f t="shared" si="36"/>
        <v>0</v>
      </c>
      <c r="L143" s="75">
        <f t="shared" si="36"/>
        <v>0</v>
      </c>
      <c r="M143" s="75">
        <f t="shared" si="36"/>
        <v>0</v>
      </c>
      <c r="N143" s="75">
        <f t="shared" si="36"/>
        <v>0</v>
      </c>
      <c r="O143" s="75">
        <f t="shared" si="36"/>
        <v>0.10784061341156995</v>
      </c>
      <c r="P143" s="75">
        <f t="shared" si="36"/>
        <v>0.10501587811695257</v>
      </c>
      <c r="Q143" s="75">
        <f t="shared" si="36"/>
        <v>9.9447225251935459E-2</v>
      </c>
      <c r="R143" s="75">
        <f t="shared" si="36"/>
        <v>0.12355250441916305</v>
      </c>
      <c r="S143" s="75">
        <f t="shared" si="36"/>
        <v>0.1120411367997473</v>
      </c>
      <c r="T143" s="75">
        <f t="shared" si="36"/>
        <v>8.2940993387777967E-2</v>
      </c>
      <c r="U143" s="75">
        <f t="shared" si="36"/>
        <v>6.8295301684006771E-2</v>
      </c>
      <c r="V143" s="75">
        <f t="shared" si="36"/>
        <v>6.2026907658762509E-2</v>
      </c>
      <c r="W143" s="75">
        <f t="shared" si="36"/>
        <v>5.3861297753963464E-2</v>
      </c>
      <c r="X143" s="75">
        <f t="shared" si="36"/>
        <v>4.0515120197191078E-2</v>
      </c>
      <c r="Y143" s="75">
        <f t="shared" si="36"/>
        <v>3.1038441320576038E-2</v>
      </c>
      <c r="Z143" s="24"/>
      <c r="AA143" s="24"/>
      <c r="AB143" s="24"/>
      <c r="AC143" s="24"/>
      <c r="AD143" s="24"/>
      <c r="AE143" s="24"/>
      <c r="AF143" s="24"/>
      <c r="AG143" s="24"/>
      <c r="AH143" s="24"/>
    </row>
    <row r="144" spans="2:34" x14ac:dyDescent="0.2">
      <c r="B144" s="73" t="s">
        <v>186</v>
      </c>
      <c r="C144" s="7" t="s">
        <v>118</v>
      </c>
      <c r="D144" s="75" t="e">
        <f t="shared" ref="D144:Y144" si="37">D108/D$113</f>
        <v>#DIV/0!</v>
      </c>
      <c r="E144" s="75">
        <f t="shared" si="37"/>
        <v>0</v>
      </c>
      <c r="F144" s="75">
        <f t="shared" si="37"/>
        <v>0</v>
      </c>
      <c r="G144" s="75">
        <f t="shared" si="37"/>
        <v>0</v>
      </c>
      <c r="H144" s="75">
        <f t="shared" si="37"/>
        <v>0</v>
      </c>
      <c r="I144" s="75">
        <f t="shared" si="37"/>
        <v>0</v>
      </c>
      <c r="J144" s="75">
        <f t="shared" si="37"/>
        <v>0</v>
      </c>
      <c r="K144" s="75">
        <f t="shared" si="37"/>
        <v>0</v>
      </c>
      <c r="L144" s="75">
        <f t="shared" si="37"/>
        <v>0</v>
      </c>
      <c r="M144" s="75">
        <f t="shared" si="37"/>
        <v>0</v>
      </c>
      <c r="N144" s="75">
        <f t="shared" si="37"/>
        <v>0</v>
      </c>
      <c r="O144" s="75">
        <f t="shared" si="37"/>
        <v>3.9372631784982556E-2</v>
      </c>
      <c r="P144" s="75">
        <f t="shared" si="37"/>
        <v>3.623382060053533E-2</v>
      </c>
      <c r="Q144" s="75">
        <f t="shared" si="37"/>
        <v>3.0798616084125242E-2</v>
      </c>
      <c r="R144" s="75">
        <f t="shared" si="37"/>
        <v>4.1612131845072856E-2</v>
      </c>
      <c r="S144" s="75">
        <f t="shared" si="37"/>
        <v>4.103630496862349E-2</v>
      </c>
      <c r="T144" s="75">
        <f t="shared" si="37"/>
        <v>2.7155498177389242E-2</v>
      </c>
      <c r="U144" s="75">
        <f t="shared" si="37"/>
        <v>2.2479089878626964E-2</v>
      </c>
      <c r="V144" s="75">
        <f t="shared" si="37"/>
        <v>2.0278657850037556E-2</v>
      </c>
      <c r="W144" s="75">
        <f t="shared" si="37"/>
        <v>1.7641343765225963E-2</v>
      </c>
      <c r="X144" s="75">
        <f t="shared" si="37"/>
        <v>1.2916619996800466E-2</v>
      </c>
      <c r="Y144" s="75">
        <f t="shared" si="37"/>
        <v>1.1399202104262627E-2</v>
      </c>
      <c r="Z144" s="24"/>
      <c r="AA144" s="24"/>
      <c r="AB144" s="24"/>
      <c r="AC144" s="24"/>
      <c r="AD144" s="24"/>
      <c r="AE144" s="24"/>
      <c r="AF144" s="24"/>
      <c r="AG144" s="24"/>
      <c r="AH144" s="24"/>
    </row>
    <row r="145" spans="2:34" x14ac:dyDescent="0.2">
      <c r="B145" s="73" t="s">
        <v>187</v>
      </c>
      <c r="C145" s="7" t="s">
        <v>118</v>
      </c>
      <c r="D145" s="75" t="e">
        <f t="shared" ref="D145:Y145" si="38">D109/D$113</f>
        <v>#DIV/0!</v>
      </c>
      <c r="E145" s="75">
        <f t="shared" si="38"/>
        <v>0</v>
      </c>
      <c r="F145" s="75">
        <f t="shared" si="38"/>
        <v>0</v>
      </c>
      <c r="G145" s="75">
        <f t="shared" si="38"/>
        <v>0</v>
      </c>
      <c r="H145" s="75">
        <f t="shared" si="38"/>
        <v>0</v>
      </c>
      <c r="I145" s="75">
        <f t="shared" si="38"/>
        <v>0</v>
      </c>
      <c r="J145" s="75">
        <f t="shared" si="38"/>
        <v>0</v>
      </c>
      <c r="K145" s="75">
        <f t="shared" si="38"/>
        <v>0</v>
      </c>
      <c r="L145" s="75">
        <f t="shared" si="38"/>
        <v>0</v>
      </c>
      <c r="M145" s="75">
        <f t="shared" si="38"/>
        <v>0</v>
      </c>
      <c r="N145" s="75">
        <f t="shared" si="38"/>
        <v>0</v>
      </c>
      <c r="O145" s="75">
        <f t="shared" si="38"/>
        <v>8.1917421765132628E-2</v>
      </c>
      <c r="P145" s="75">
        <f t="shared" si="38"/>
        <v>8.5360841307629512E-2</v>
      </c>
      <c r="Q145" s="75">
        <f t="shared" si="38"/>
        <v>8.8202806758973962E-2</v>
      </c>
      <c r="R145" s="75">
        <f t="shared" si="38"/>
        <v>0.13059368531174895</v>
      </c>
      <c r="S145" s="75">
        <f t="shared" si="38"/>
        <v>9.6411387674772198E-2</v>
      </c>
      <c r="T145" s="75">
        <f t="shared" si="38"/>
        <v>7.5396780060094745E-2</v>
      </c>
      <c r="U145" s="75">
        <f t="shared" si="38"/>
        <v>6.2798620154396689E-2</v>
      </c>
      <c r="V145" s="75">
        <f t="shared" si="38"/>
        <v>5.7543885403619092E-2</v>
      </c>
      <c r="W145" s="75">
        <f t="shared" si="38"/>
        <v>5.3414427677876838E-2</v>
      </c>
      <c r="X145" s="75">
        <f t="shared" si="38"/>
        <v>4.5151806381655495E-2</v>
      </c>
      <c r="Y145" s="75">
        <f t="shared" si="38"/>
        <v>7.9179608670852067E-2</v>
      </c>
      <c r="Z145" s="24"/>
      <c r="AA145" s="24"/>
      <c r="AB145" s="24"/>
      <c r="AC145" s="24"/>
      <c r="AD145" s="24"/>
      <c r="AE145" s="24"/>
      <c r="AF145" s="24"/>
      <c r="AG145" s="24"/>
      <c r="AH145" s="24"/>
    </row>
    <row r="146" spans="2:34" x14ac:dyDescent="0.2">
      <c r="B146" s="73" t="s">
        <v>188</v>
      </c>
      <c r="C146" s="7" t="s">
        <v>118</v>
      </c>
      <c r="D146" s="75" t="e">
        <f t="shared" ref="D146:Y146" si="39">D110/D$113</f>
        <v>#DIV/0!</v>
      </c>
      <c r="E146" s="75">
        <f t="shared" si="39"/>
        <v>0</v>
      </c>
      <c r="F146" s="75">
        <f t="shared" si="39"/>
        <v>0</v>
      </c>
      <c r="G146" s="75">
        <f t="shared" si="39"/>
        <v>0</v>
      </c>
      <c r="H146" s="75">
        <f t="shared" si="39"/>
        <v>0</v>
      </c>
      <c r="I146" s="75">
        <f t="shared" si="39"/>
        <v>0</v>
      </c>
      <c r="J146" s="75">
        <f t="shared" si="39"/>
        <v>0</v>
      </c>
      <c r="K146" s="75">
        <f t="shared" si="39"/>
        <v>0</v>
      </c>
      <c r="L146" s="75">
        <f t="shared" si="39"/>
        <v>0</v>
      </c>
      <c r="M146" s="75">
        <f t="shared" si="39"/>
        <v>0</v>
      </c>
      <c r="N146" s="75">
        <f t="shared" si="39"/>
        <v>0</v>
      </c>
      <c r="O146" s="75">
        <f t="shared" si="39"/>
        <v>4.105508832471326E-2</v>
      </c>
      <c r="P146" s="75">
        <f t="shared" si="39"/>
        <v>3.7981893449589618E-2</v>
      </c>
      <c r="Q146" s="75">
        <f t="shared" si="39"/>
        <v>1.1228096805560146E-2</v>
      </c>
      <c r="R146" s="75">
        <f t="shared" si="39"/>
        <v>1.5711319898271379E-2</v>
      </c>
      <c r="S146" s="75">
        <f t="shared" si="39"/>
        <v>1.6386622388058131E-2</v>
      </c>
      <c r="T146" s="75">
        <f t="shared" si="39"/>
        <v>1.554611331587754E-2</v>
      </c>
      <c r="U146" s="75">
        <f t="shared" si="39"/>
        <v>1.3695688519334864E-2</v>
      </c>
      <c r="V146" s="75">
        <f t="shared" si="39"/>
        <v>1.2574146224072109E-2</v>
      </c>
      <c r="W146" s="75">
        <f t="shared" si="39"/>
        <v>9.4689500478921263E-3</v>
      </c>
      <c r="X146" s="75">
        <f t="shared" si="39"/>
        <v>5.8738074000379437E-3</v>
      </c>
      <c r="Y146" s="75">
        <f t="shared" si="39"/>
        <v>4.3777596787717638E-3</v>
      </c>
      <c r="Z146" s="24"/>
      <c r="AA146" s="24"/>
      <c r="AB146" s="24"/>
      <c r="AC146" s="24"/>
      <c r="AD146" s="24"/>
      <c r="AE146" s="24"/>
      <c r="AF146" s="24"/>
      <c r="AG146" s="24"/>
      <c r="AH146" s="24"/>
    </row>
    <row r="147" spans="2:34" x14ac:dyDescent="0.2">
      <c r="B147" s="73" t="s">
        <v>189</v>
      </c>
      <c r="C147" s="7" t="s">
        <v>118</v>
      </c>
      <c r="D147" s="75" t="e">
        <f t="shared" ref="D147:Y147" si="40">D111/D$113</f>
        <v>#DIV/0!</v>
      </c>
      <c r="E147" s="75">
        <f t="shared" si="40"/>
        <v>0</v>
      </c>
      <c r="F147" s="75">
        <f t="shared" si="40"/>
        <v>0</v>
      </c>
      <c r="G147" s="75">
        <f t="shared" si="40"/>
        <v>0</v>
      </c>
      <c r="H147" s="75">
        <f t="shared" si="40"/>
        <v>0</v>
      </c>
      <c r="I147" s="75">
        <f t="shared" si="40"/>
        <v>0</v>
      </c>
      <c r="J147" s="75">
        <f t="shared" si="40"/>
        <v>0</v>
      </c>
      <c r="K147" s="75">
        <f t="shared" si="40"/>
        <v>0</v>
      </c>
      <c r="L147" s="75">
        <f t="shared" si="40"/>
        <v>0</v>
      </c>
      <c r="M147" s="75">
        <f t="shared" si="40"/>
        <v>0</v>
      </c>
      <c r="N147" s="75">
        <f t="shared" si="40"/>
        <v>0</v>
      </c>
      <c r="O147" s="75">
        <f t="shared" si="40"/>
        <v>1.2667357407127674E-2</v>
      </c>
      <c r="P147" s="75">
        <f t="shared" si="40"/>
        <v>8.3187801546794997E-3</v>
      </c>
      <c r="Q147" s="75">
        <f t="shared" si="40"/>
        <v>7.5659181948866594E-3</v>
      </c>
      <c r="R147" s="75">
        <f t="shared" si="40"/>
        <v>7.4255923303663124E-3</v>
      </c>
      <c r="S147" s="75">
        <f t="shared" si="40"/>
        <v>8.3277141759832245E-3</v>
      </c>
      <c r="T147" s="75">
        <f t="shared" si="40"/>
        <v>5.778553744773561E-3</v>
      </c>
      <c r="U147" s="75">
        <f t="shared" si="40"/>
        <v>5.9169546457818537E-3</v>
      </c>
      <c r="V147" s="75">
        <f t="shared" si="40"/>
        <v>5.4445103428607134E-3</v>
      </c>
      <c r="W147" s="75">
        <f t="shared" si="40"/>
        <v>5.2366103190056162E-3</v>
      </c>
      <c r="X147" s="75">
        <f t="shared" si="40"/>
        <v>4.1181409987199463E-3</v>
      </c>
      <c r="Y147" s="75">
        <f t="shared" si="40"/>
        <v>3.4945289271842935E-3</v>
      </c>
      <c r="Z147" s="24"/>
      <c r="AA147" s="24"/>
      <c r="AB147" s="24"/>
      <c r="AC147" s="24"/>
      <c r="AD147" s="24"/>
      <c r="AE147" s="24"/>
      <c r="AF147" s="24"/>
      <c r="AG147" s="24"/>
      <c r="AH147" s="24"/>
    </row>
    <row r="148" spans="2:34" x14ac:dyDescent="0.2">
      <c r="B148" s="73" t="s">
        <v>190</v>
      </c>
      <c r="C148" s="7" t="s">
        <v>118</v>
      </c>
      <c r="D148" s="75" t="e">
        <f t="shared" ref="D148:Y148" si="41">D112/D$113</f>
        <v>#DIV/0!</v>
      </c>
      <c r="E148" s="75">
        <f t="shared" si="41"/>
        <v>0</v>
      </c>
      <c r="F148" s="75">
        <f t="shared" si="41"/>
        <v>0</v>
      </c>
      <c r="G148" s="75">
        <f t="shared" si="41"/>
        <v>0</v>
      </c>
      <c r="H148" s="75">
        <f t="shared" si="41"/>
        <v>0</v>
      </c>
      <c r="I148" s="75">
        <f t="shared" si="41"/>
        <v>0</v>
      </c>
      <c r="J148" s="75">
        <f t="shared" si="41"/>
        <v>0</v>
      </c>
      <c r="K148" s="75">
        <f t="shared" si="41"/>
        <v>0</v>
      </c>
      <c r="L148" s="75">
        <f t="shared" si="41"/>
        <v>0</v>
      </c>
      <c r="M148" s="75">
        <f t="shared" si="41"/>
        <v>0</v>
      </c>
      <c r="N148" s="75">
        <f t="shared" si="41"/>
        <v>0</v>
      </c>
      <c r="O148" s="75">
        <f t="shared" si="41"/>
        <v>0.24408044644243837</v>
      </c>
      <c r="P148" s="75">
        <f t="shared" si="41"/>
        <v>0.24570149140129136</v>
      </c>
      <c r="Q148" s="75">
        <f t="shared" si="41"/>
        <v>0.30244576405287088</v>
      </c>
      <c r="R148" s="75">
        <f t="shared" si="41"/>
        <v>0.13193955998477622</v>
      </c>
      <c r="S148" s="75">
        <f t="shared" si="41"/>
        <v>0.18804329989715099</v>
      </c>
      <c r="T148" s="75">
        <f t="shared" si="41"/>
        <v>0.37696970578225819</v>
      </c>
      <c r="U148" s="75">
        <f t="shared" si="41"/>
        <v>0.45975117990910447</v>
      </c>
      <c r="V148" s="75">
        <f t="shared" si="41"/>
        <v>0.50911410583148686</v>
      </c>
      <c r="W148" s="75">
        <f t="shared" si="41"/>
        <v>0.54278358905258006</v>
      </c>
      <c r="X148" s="75">
        <f t="shared" si="41"/>
        <v>0.63388335419586284</v>
      </c>
      <c r="Y148" s="75">
        <f t="shared" si="41"/>
        <v>0.66120764068884319</v>
      </c>
      <c r="Z148" s="24"/>
      <c r="AA148" s="24"/>
      <c r="AB148" s="24"/>
      <c r="AC148" s="24"/>
      <c r="AD148" s="24"/>
      <c r="AE148" s="24"/>
      <c r="AF148" s="24"/>
      <c r="AG148" s="24"/>
      <c r="AH148" s="24"/>
    </row>
    <row r="149" spans="2:34" x14ac:dyDescent="0.2">
      <c r="B149" s="72" t="s">
        <v>192</v>
      </c>
      <c r="C149" s="79" t="s">
        <v>118</v>
      </c>
      <c r="D149" s="76" t="e">
        <f t="shared" ref="D149:Y149" si="42">D113/D$113</f>
        <v>#DIV/0!</v>
      </c>
      <c r="E149" s="76">
        <f t="shared" si="42"/>
        <v>1</v>
      </c>
      <c r="F149" s="76">
        <f t="shared" si="42"/>
        <v>1</v>
      </c>
      <c r="G149" s="76">
        <f t="shared" si="42"/>
        <v>1</v>
      </c>
      <c r="H149" s="76">
        <f t="shared" si="42"/>
        <v>1</v>
      </c>
      <c r="I149" s="76">
        <f t="shared" si="42"/>
        <v>1</v>
      </c>
      <c r="J149" s="76">
        <f t="shared" si="42"/>
        <v>1</v>
      </c>
      <c r="K149" s="76">
        <f t="shared" si="42"/>
        <v>1</v>
      </c>
      <c r="L149" s="76">
        <f t="shared" si="42"/>
        <v>1</v>
      </c>
      <c r="M149" s="76">
        <f t="shared" si="42"/>
        <v>1</v>
      </c>
      <c r="N149" s="76">
        <f t="shared" si="42"/>
        <v>1</v>
      </c>
      <c r="O149" s="76">
        <f t="shared" si="42"/>
        <v>1</v>
      </c>
      <c r="P149" s="76">
        <f t="shared" si="42"/>
        <v>1</v>
      </c>
      <c r="Q149" s="76">
        <f t="shared" si="42"/>
        <v>1</v>
      </c>
      <c r="R149" s="76">
        <f t="shared" si="42"/>
        <v>1</v>
      </c>
      <c r="S149" s="76">
        <f t="shared" si="42"/>
        <v>1</v>
      </c>
      <c r="T149" s="76">
        <f t="shared" si="42"/>
        <v>1</v>
      </c>
      <c r="U149" s="76">
        <f t="shared" si="42"/>
        <v>1</v>
      </c>
      <c r="V149" s="76">
        <f t="shared" si="42"/>
        <v>1</v>
      </c>
      <c r="W149" s="76">
        <f t="shared" si="42"/>
        <v>1</v>
      </c>
      <c r="X149" s="76">
        <f t="shared" si="42"/>
        <v>1</v>
      </c>
      <c r="Y149" s="76">
        <f t="shared" si="42"/>
        <v>1</v>
      </c>
      <c r="Z149" s="69"/>
      <c r="AA149" s="69"/>
      <c r="AB149" s="69"/>
      <c r="AC149" s="69"/>
      <c r="AD149" s="69"/>
      <c r="AE149" s="69"/>
      <c r="AF149" s="69"/>
      <c r="AG149" s="69"/>
      <c r="AH149" s="69"/>
    </row>
    <row r="151" spans="2:34" x14ac:dyDescent="0.2">
      <c r="B151" s="77" t="s">
        <v>217</v>
      </c>
    </row>
    <row r="152" spans="2:34" x14ac:dyDescent="0.2">
      <c r="B152" s="73" t="s">
        <v>183</v>
      </c>
      <c r="C152" s="7" t="s">
        <v>118</v>
      </c>
      <c r="D152" s="75"/>
      <c r="E152" s="75"/>
      <c r="F152" s="78" t="e">
        <f>F83/E83-1</f>
        <v>#DIV/0!</v>
      </c>
      <c r="G152" s="78" t="e">
        <f t="shared" ref="G152:Y152" si="43">G83/F83-1</f>
        <v>#DIV/0!</v>
      </c>
      <c r="H152" s="78" t="e">
        <f t="shared" si="43"/>
        <v>#DIV/0!</v>
      </c>
      <c r="I152" s="78" t="e">
        <f t="shared" si="43"/>
        <v>#DIV/0!</v>
      </c>
      <c r="J152" s="78" t="e">
        <f t="shared" si="43"/>
        <v>#DIV/0!</v>
      </c>
      <c r="K152" s="78" t="e">
        <f t="shared" si="43"/>
        <v>#DIV/0!</v>
      </c>
      <c r="L152" s="78" t="e">
        <f t="shared" si="43"/>
        <v>#DIV/0!</v>
      </c>
      <c r="M152" s="78" t="e">
        <f t="shared" si="43"/>
        <v>#DIV/0!</v>
      </c>
      <c r="N152" s="78" t="e">
        <f t="shared" si="43"/>
        <v>#DIV/0!</v>
      </c>
      <c r="O152" s="78" t="e">
        <f t="shared" si="43"/>
        <v>#DIV/0!</v>
      </c>
      <c r="P152" s="78">
        <f t="shared" si="43"/>
        <v>2.2174596477603226E-2</v>
      </c>
      <c r="Q152" s="78">
        <f t="shared" si="43"/>
        <v>-5.5959790771746842E-3</v>
      </c>
      <c r="R152" s="78">
        <f t="shared" si="43"/>
        <v>0.25861752303148733</v>
      </c>
      <c r="S152" s="78">
        <f t="shared" si="43"/>
        <v>1.7515417010807166E-2</v>
      </c>
      <c r="T152" s="78">
        <f t="shared" si="43"/>
        <v>-0.18479101084922234</v>
      </c>
      <c r="U152" s="78">
        <f t="shared" si="43"/>
        <v>-1.4179331601086309E-3</v>
      </c>
      <c r="V152" s="78">
        <f t="shared" si="43"/>
        <v>3.5429956644063676E-2</v>
      </c>
      <c r="W152" s="78">
        <f t="shared" si="43"/>
        <v>-3.5917364539980179E-3</v>
      </c>
      <c r="X152" s="78">
        <f t="shared" si="43"/>
        <v>-9.7461353387053529E-2</v>
      </c>
      <c r="Y152" s="78">
        <f t="shared" si="43"/>
        <v>0.18131646709589044</v>
      </c>
      <c r="Z152" s="78"/>
      <c r="AA152" s="78"/>
      <c r="AB152" s="78"/>
      <c r="AC152" s="78"/>
      <c r="AD152" s="78"/>
      <c r="AE152" s="78"/>
      <c r="AF152" s="78"/>
      <c r="AG152" s="78"/>
      <c r="AH152" s="78"/>
    </row>
    <row r="153" spans="2:34" x14ac:dyDescent="0.2">
      <c r="B153" s="73" t="s">
        <v>184</v>
      </c>
      <c r="C153" s="7" t="s">
        <v>118</v>
      </c>
      <c r="D153" s="75"/>
      <c r="E153" s="75"/>
      <c r="F153" s="80" t="e">
        <f t="shared" ref="F153:Y153" si="44">F84/E84-1</f>
        <v>#DIV/0!</v>
      </c>
      <c r="G153" s="80" t="e">
        <f t="shared" si="44"/>
        <v>#DIV/0!</v>
      </c>
      <c r="H153" s="80" t="e">
        <f t="shared" si="44"/>
        <v>#DIV/0!</v>
      </c>
      <c r="I153" s="80" t="e">
        <f t="shared" si="44"/>
        <v>#DIV/0!</v>
      </c>
      <c r="J153" s="80" t="e">
        <f t="shared" si="44"/>
        <v>#DIV/0!</v>
      </c>
      <c r="K153" s="80" t="e">
        <f t="shared" si="44"/>
        <v>#DIV/0!</v>
      </c>
      <c r="L153" s="80" t="e">
        <f t="shared" si="44"/>
        <v>#DIV/0!</v>
      </c>
      <c r="M153" s="80" t="e">
        <f t="shared" si="44"/>
        <v>#DIV/0!</v>
      </c>
      <c r="N153" s="80" t="e">
        <f t="shared" si="44"/>
        <v>#DIV/0!</v>
      </c>
      <c r="O153" s="80" t="e">
        <f t="shared" si="44"/>
        <v>#DIV/0!</v>
      </c>
      <c r="P153" s="80">
        <f t="shared" si="44"/>
        <v>4.3436452552338078E-2</v>
      </c>
      <c r="Q153" s="80">
        <f t="shared" si="44"/>
        <v>-1.2412561327751481E-2</v>
      </c>
      <c r="R153" s="80">
        <f t="shared" si="44"/>
        <v>0.43200152857977625</v>
      </c>
      <c r="S153" s="80">
        <f t="shared" si="44"/>
        <v>-2.7002580170697899E-2</v>
      </c>
      <c r="T153" s="80">
        <f t="shared" si="44"/>
        <v>-0.3354567735083962</v>
      </c>
      <c r="U153" s="80">
        <f t="shared" si="44"/>
        <v>1.6971683467185805E-2</v>
      </c>
      <c r="V153" s="80">
        <f t="shared" si="44"/>
        <v>2.1348383534752546E-2</v>
      </c>
      <c r="W153" s="80">
        <f t="shared" si="44"/>
        <v>1.0605857593664503E-2</v>
      </c>
      <c r="X153" s="80">
        <f t="shared" si="44"/>
        <v>-8.3151795000742768E-2</v>
      </c>
      <c r="Y153" s="80">
        <f t="shared" si="44"/>
        <v>6.4576689961579392E-2</v>
      </c>
      <c r="Z153" s="80"/>
      <c r="AA153" s="80"/>
      <c r="AB153" s="80"/>
      <c r="AC153" s="80"/>
      <c r="AD153" s="80"/>
      <c r="AE153" s="80"/>
      <c r="AF153" s="80"/>
      <c r="AG153" s="80"/>
      <c r="AH153" s="80"/>
    </row>
    <row r="154" spans="2:34" x14ac:dyDescent="0.2">
      <c r="B154" s="73" t="s">
        <v>185</v>
      </c>
      <c r="C154" s="7" t="s">
        <v>118</v>
      </c>
      <c r="D154" s="75"/>
      <c r="E154" s="75"/>
      <c r="F154" s="80" t="e">
        <f t="shared" ref="F154:Y154" si="45">F85/E85-1</f>
        <v>#DIV/0!</v>
      </c>
      <c r="G154" s="80" t="e">
        <f t="shared" si="45"/>
        <v>#DIV/0!</v>
      </c>
      <c r="H154" s="80" t="e">
        <f t="shared" si="45"/>
        <v>#DIV/0!</v>
      </c>
      <c r="I154" s="80" t="e">
        <f t="shared" si="45"/>
        <v>#DIV/0!</v>
      </c>
      <c r="J154" s="80" t="e">
        <f t="shared" si="45"/>
        <v>#DIV/0!</v>
      </c>
      <c r="K154" s="80" t="e">
        <f t="shared" si="45"/>
        <v>#DIV/0!</v>
      </c>
      <c r="L154" s="80" t="e">
        <f t="shared" si="45"/>
        <v>#DIV/0!</v>
      </c>
      <c r="M154" s="80" t="e">
        <f t="shared" si="45"/>
        <v>#DIV/0!</v>
      </c>
      <c r="N154" s="80" t="e">
        <f t="shared" si="45"/>
        <v>#DIV/0!</v>
      </c>
      <c r="O154" s="80" t="e">
        <f t="shared" si="45"/>
        <v>#DIV/0!</v>
      </c>
      <c r="P154" s="80">
        <f t="shared" si="45"/>
        <v>-2.4975075193324314E-2</v>
      </c>
      <c r="Q154" s="80">
        <f t="shared" si="45"/>
        <v>-1.6815893038203078E-2</v>
      </c>
      <c r="R154" s="80">
        <f t="shared" si="45"/>
        <v>0.35910803086845933</v>
      </c>
      <c r="S154" s="80">
        <f t="shared" si="45"/>
        <v>-2.4265242539892706E-2</v>
      </c>
      <c r="T154" s="80">
        <f t="shared" si="45"/>
        <v>-0.27127859388283682</v>
      </c>
      <c r="U154" s="80">
        <f t="shared" si="45"/>
        <v>-6.7877620417096329E-2</v>
      </c>
      <c r="V154" s="80">
        <f t="shared" si="45"/>
        <v>-1.9195971611112972E-2</v>
      </c>
      <c r="W154" s="80">
        <f t="shared" si="45"/>
        <v>-7.5957067959244173E-2</v>
      </c>
      <c r="X154" s="80">
        <f t="shared" si="45"/>
        <v>-0.17019317749955853</v>
      </c>
      <c r="Y154" s="80">
        <f t="shared" si="45"/>
        <v>7.4696665742096657E-2</v>
      </c>
      <c r="Z154" s="80"/>
      <c r="AA154" s="80"/>
      <c r="AB154" s="80"/>
      <c r="AC154" s="80"/>
      <c r="AD154" s="80"/>
      <c r="AE154" s="80"/>
      <c r="AF154" s="80"/>
      <c r="AG154" s="80"/>
      <c r="AH154" s="80"/>
    </row>
    <row r="155" spans="2:34" x14ac:dyDescent="0.2">
      <c r="B155" s="73" t="s">
        <v>186</v>
      </c>
      <c r="C155" s="7" t="s">
        <v>118</v>
      </c>
      <c r="D155" s="75"/>
      <c r="E155" s="75"/>
      <c r="F155" s="80" t="e">
        <f t="shared" ref="F155:Y155" si="46">F86/E86-1</f>
        <v>#DIV/0!</v>
      </c>
      <c r="G155" s="80" t="e">
        <f t="shared" si="46"/>
        <v>#DIV/0!</v>
      </c>
      <c r="H155" s="80" t="e">
        <f t="shared" si="46"/>
        <v>#DIV/0!</v>
      </c>
      <c r="I155" s="80" t="e">
        <f t="shared" si="46"/>
        <v>#DIV/0!</v>
      </c>
      <c r="J155" s="80" t="e">
        <f t="shared" si="46"/>
        <v>#DIV/0!</v>
      </c>
      <c r="K155" s="80" t="e">
        <f t="shared" si="46"/>
        <v>#DIV/0!</v>
      </c>
      <c r="L155" s="80" t="e">
        <f t="shared" si="46"/>
        <v>#DIV/0!</v>
      </c>
      <c r="M155" s="80" t="e">
        <f t="shared" si="46"/>
        <v>#DIV/0!</v>
      </c>
      <c r="N155" s="80" t="e">
        <f t="shared" si="46"/>
        <v>#DIV/0!</v>
      </c>
      <c r="O155" s="80" t="e">
        <f t="shared" si="46"/>
        <v>#DIV/0!</v>
      </c>
      <c r="P155" s="80">
        <f t="shared" si="46"/>
        <v>-8.2309030377734405E-2</v>
      </c>
      <c r="Q155" s="80">
        <f t="shared" si="46"/>
        <v>-0.12888202656222536</v>
      </c>
      <c r="R155" s="80">
        <f t="shared" si="46"/>
        <v>0.49471863967144603</v>
      </c>
      <c r="S155" s="80">
        <f t="shared" si="46"/>
        <v>6.1922758035593883E-2</v>
      </c>
      <c r="T155" s="80">
        <f t="shared" si="46"/>
        <v>-0.35111530744718522</v>
      </c>
      <c r="U155" s="80">
        <f t="shared" si="46"/>
        <v>-7.0473179058119007E-2</v>
      </c>
      <c r="V155" s="80">
        <f t="shared" si="46"/>
        <v>-1.8257898460195321E-2</v>
      </c>
      <c r="W155" s="80">
        <f t="shared" si="46"/>
        <v>-8.5106709186802409E-2</v>
      </c>
      <c r="X155" s="80">
        <f t="shared" si="46"/>
        <v>-0.18872857071037152</v>
      </c>
      <c r="Y155" s="80">
        <f t="shared" si="46"/>
        <v>0.21493049100411055</v>
      </c>
      <c r="Z155" s="80"/>
      <c r="AA155" s="80"/>
      <c r="AB155" s="80"/>
      <c r="AC155" s="80"/>
      <c r="AD155" s="80"/>
      <c r="AE155" s="80"/>
      <c r="AF155" s="80"/>
      <c r="AG155" s="80"/>
      <c r="AH155" s="80"/>
    </row>
    <row r="156" spans="2:34" x14ac:dyDescent="0.2">
      <c r="B156" s="73" t="s">
        <v>187</v>
      </c>
      <c r="C156" s="7" t="s">
        <v>118</v>
      </c>
      <c r="D156" s="75"/>
      <c r="E156" s="75"/>
      <c r="F156" s="80" t="e">
        <f t="shared" ref="F156:Y156" si="47">F87/E87-1</f>
        <v>#DIV/0!</v>
      </c>
      <c r="G156" s="80" t="e">
        <f t="shared" si="47"/>
        <v>#DIV/0!</v>
      </c>
      <c r="H156" s="80" t="e">
        <f t="shared" si="47"/>
        <v>#DIV/0!</v>
      </c>
      <c r="I156" s="80" t="e">
        <f t="shared" si="47"/>
        <v>#DIV/0!</v>
      </c>
      <c r="J156" s="80" t="e">
        <f t="shared" si="47"/>
        <v>#DIV/0!</v>
      </c>
      <c r="K156" s="80" t="e">
        <f t="shared" si="47"/>
        <v>#DIV/0!</v>
      </c>
      <c r="L156" s="80" t="e">
        <f t="shared" si="47"/>
        <v>#DIV/0!</v>
      </c>
      <c r="M156" s="80" t="e">
        <f t="shared" si="47"/>
        <v>#DIV/0!</v>
      </c>
      <c r="N156" s="80" t="e">
        <f t="shared" si="47"/>
        <v>#DIV/0!</v>
      </c>
      <c r="O156" s="80" t="e">
        <f t="shared" si="47"/>
        <v>#DIV/0!</v>
      </c>
      <c r="P156" s="80">
        <f t="shared" si="47"/>
        <v>7.5362302412704585E-2</v>
      </c>
      <c r="Q156" s="80">
        <f t="shared" si="47"/>
        <v>6.985949045525941E-2</v>
      </c>
      <c r="R156" s="80">
        <f t="shared" si="47"/>
        <v>0.6267014133492288</v>
      </c>
      <c r="S156" s="80">
        <f t="shared" si="47"/>
        <v>-0.2206117943484277</v>
      </c>
      <c r="T156" s="80">
        <f t="shared" si="47"/>
        <v>-0.22618034589545433</v>
      </c>
      <c r="U156" s="80">
        <f t="shared" si="47"/>
        <v>-5.5495578731715955E-2</v>
      </c>
      <c r="V156" s="80">
        <f t="shared" si="47"/>
        <v>6.6454367115187374E-3</v>
      </c>
      <c r="W156" s="80">
        <f t="shared" si="47"/>
        <v>-1.8986105022999911E-2</v>
      </c>
      <c r="X156" s="80">
        <f t="shared" si="47"/>
        <v>-5.5804989394575566E-2</v>
      </c>
      <c r="Y156" s="80">
        <f t="shared" si="47"/>
        <v>1.5816019339977645</v>
      </c>
      <c r="Z156" s="80"/>
      <c r="AA156" s="80"/>
      <c r="AB156" s="80"/>
      <c r="AC156" s="80"/>
      <c r="AD156" s="80"/>
      <c r="AE156" s="80"/>
      <c r="AF156" s="80"/>
      <c r="AG156" s="80"/>
      <c r="AH156" s="80"/>
    </row>
    <row r="157" spans="2:34" x14ac:dyDescent="0.2">
      <c r="B157" s="73" t="s">
        <v>188</v>
      </c>
      <c r="C157" s="7" t="s">
        <v>118</v>
      </c>
      <c r="D157" s="75"/>
      <c r="E157" s="75"/>
      <c r="F157" s="80" t="e">
        <f t="shared" ref="F157:Y157" si="48">F88/E88-1</f>
        <v>#DIV/0!</v>
      </c>
      <c r="G157" s="80" t="e">
        <f t="shared" si="48"/>
        <v>#DIV/0!</v>
      </c>
      <c r="H157" s="80" t="e">
        <f t="shared" si="48"/>
        <v>#DIV/0!</v>
      </c>
      <c r="I157" s="80" t="e">
        <f t="shared" si="48"/>
        <v>#DIV/0!</v>
      </c>
      <c r="J157" s="80" t="e">
        <f t="shared" si="48"/>
        <v>#DIV/0!</v>
      </c>
      <c r="K157" s="80" t="e">
        <f t="shared" si="48"/>
        <v>#DIV/0!</v>
      </c>
      <c r="L157" s="80" t="e">
        <f t="shared" si="48"/>
        <v>#DIV/0!</v>
      </c>
      <c r="M157" s="80" t="e">
        <f t="shared" si="48"/>
        <v>#DIV/0!</v>
      </c>
      <c r="N157" s="80" t="e">
        <f t="shared" si="48"/>
        <v>#DIV/0!</v>
      </c>
      <c r="O157" s="80" t="e">
        <f t="shared" si="48"/>
        <v>#DIV/0!</v>
      </c>
      <c r="P157" s="80">
        <f t="shared" si="48"/>
        <v>-6.7252941920789566E-2</v>
      </c>
      <c r="Q157" s="80">
        <f t="shared" si="48"/>
        <v>-0.71092495873747996</v>
      </c>
      <c r="R157" s="80">
        <f t="shared" si="48"/>
        <v>0.46157756833913433</v>
      </c>
      <c r="S157" s="80">
        <f t="shared" si="48"/>
        <v>0.12423074864879302</v>
      </c>
      <c r="T157" s="80">
        <f t="shared" si="48"/>
        <v>-7.3851060285122783E-2</v>
      </c>
      <c r="U157" s="80">
        <f t="shared" si="48"/>
        <v>-3.7261653903478686E-3</v>
      </c>
      <c r="V157" s="80">
        <f t="shared" si="48"/>
        <v>-3.5776006603213895E-2</v>
      </c>
      <c r="W157" s="80">
        <f t="shared" si="48"/>
        <v>-0.18554384463110596</v>
      </c>
      <c r="X157" s="80">
        <f t="shared" si="48"/>
        <v>-0.26926361426788414</v>
      </c>
      <c r="Y157" s="80">
        <f t="shared" si="48"/>
        <v>-6.2477526069757428E-3</v>
      </c>
      <c r="Z157" s="80"/>
      <c r="AA157" s="80"/>
      <c r="AB157" s="80"/>
      <c r="AC157" s="80"/>
      <c r="AD157" s="80"/>
      <c r="AE157" s="80"/>
      <c r="AF157" s="80"/>
      <c r="AG157" s="80"/>
      <c r="AH157" s="80"/>
    </row>
    <row r="158" spans="2:34" x14ac:dyDescent="0.2">
      <c r="B158" s="73" t="s">
        <v>189</v>
      </c>
      <c r="C158" s="7" t="s">
        <v>118</v>
      </c>
      <c r="D158" s="75"/>
      <c r="E158" s="75"/>
      <c r="F158" s="80" t="e">
        <f t="shared" ref="F158:Y158" si="49">F89/E89-1</f>
        <v>#DIV/0!</v>
      </c>
      <c r="G158" s="80" t="e">
        <f t="shared" si="49"/>
        <v>#DIV/0!</v>
      </c>
      <c r="H158" s="80" t="e">
        <f t="shared" si="49"/>
        <v>#DIV/0!</v>
      </c>
      <c r="I158" s="80" t="e">
        <f t="shared" si="49"/>
        <v>#DIV/0!</v>
      </c>
      <c r="J158" s="80" t="e">
        <f t="shared" si="49"/>
        <v>#DIV/0!</v>
      </c>
      <c r="K158" s="80" t="e">
        <f t="shared" si="49"/>
        <v>#DIV/0!</v>
      </c>
      <c r="L158" s="80" t="e">
        <f t="shared" si="49"/>
        <v>#DIV/0!</v>
      </c>
      <c r="M158" s="80" t="e">
        <f t="shared" si="49"/>
        <v>#DIV/0!</v>
      </c>
      <c r="N158" s="80" t="e">
        <f t="shared" si="49"/>
        <v>#DIV/0!</v>
      </c>
      <c r="O158" s="80" t="e">
        <f t="shared" si="49"/>
        <v>#DIV/0!</v>
      </c>
      <c r="P158" s="80">
        <f t="shared" si="49"/>
        <v>-0.24945926459985579</v>
      </c>
      <c r="Q158" s="80">
        <f t="shared" si="49"/>
        <v>-2.6777137367915538E-2</v>
      </c>
      <c r="R158" s="80">
        <f t="shared" si="49"/>
        <v>9.7532387415176114E-2</v>
      </c>
      <c r="S158" s="80">
        <f t="shared" si="49"/>
        <v>0.1675004215614635</v>
      </c>
      <c r="T158" s="80">
        <f t="shared" si="49"/>
        <v>-0.25925569303355633</v>
      </c>
      <c r="U158" s="80">
        <f t="shared" si="49"/>
        <v>0.10028597426231634</v>
      </c>
      <c r="V158" s="80">
        <f t="shared" si="49"/>
        <v>-3.7804950085651434E-3</v>
      </c>
      <c r="W158" s="80">
        <f t="shared" si="49"/>
        <v>-8.1233323450934369E-3</v>
      </c>
      <c r="X158" s="80">
        <f t="shared" si="49"/>
        <v>-0.10826159732185547</v>
      </c>
      <c r="Y158" s="80">
        <f t="shared" si="49"/>
        <v>0.15539317557149546</v>
      </c>
      <c r="Z158" s="80"/>
      <c r="AA158" s="80"/>
      <c r="AB158" s="80"/>
      <c r="AC158" s="80"/>
      <c r="AD158" s="80"/>
      <c r="AE158" s="80"/>
      <c r="AF158" s="80"/>
      <c r="AG158" s="80"/>
      <c r="AH158" s="80"/>
    </row>
    <row r="159" spans="2:34" x14ac:dyDescent="0.2">
      <c r="B159" s="73" t="s">
        <v>190</v>
      </c>
      <c r="C159" s="7" t="s">
        <v>118</v>
      </c>
      <c r="D159" s="75"/>
      <c r="E159" s="75"/>
      <c r="F159" s="80" t="e">
        <f t="shared" ref="F159:Y159" si="50">F90/E90-1</f>
        <v>#DIV/0!</v>
      </c>
      <c r="G159" s="80" t="e">
        <f t="shared" si="50"/>
        <v>#DIV/0!</v>
      </c>
      <c r="H159" s="80" t="e">
        <f t="shared" si="50"/>
        <v>#DIV/0!</v>
      </c>
      <c r="I159" s="80" t="e">
        <f t="shared" si="50"/>
        <v>#DIV/0!</v>
      </c>
      <c r="J159" s="80" t="e">
        <f t="shared" si="50"/>
        <v>#DIV/0!</v>
      </c>
      <c r="K159" s="80" t="e">
        <f t="shared" si="50"/>
        <v>#DIV/0!</v>
      </c>
      <c r="L159" s="80" t="e">
        <f t="shared" si="50"/>
        <v>#DIV/0!</v>
      </c>
      <c r="M159" s="80" t="e">
        <f t="shared" si="50"/>
        <v>#DIV/0!</v>
      </c>
      <c r="N159" s="80" t="e">
        <f t="shared" si="50"/>
        <v>#DIV/0!</v>
      </c>
      <c r="O159" s="80" t="e">
        <f t="shared" si="50"/>
        <v>#DIV/0!</v>
      </c>
      <c r="P159" s="80">
        <f t="shared" si="50"/>
        <v>1.6101427946756397E-2</v>
      </c>
      <c r="Q159" s="80">
        <f t="shared" si="50"/>
        <v>0.18924377913769774</v>
      </c>
      <c r="R159" s="80">
        <f t="shared" si="50"/>
        <v>-0.85728654556632278</v>
      </c>
      <c r="S159" s="80">
        <f t="shared" si="50"/>
        <v>1.7071132559027209</v>
      </c>
      <c r="T159" s="80">
        <f t="shared" si="50"/>
        <v>1.6832055110457591</v>
      </c>
      <c r="U159" s="80">
        <f t="shared" si="50"/>
        <v>0.47376599685833809</v>
      </c>
      <c r="V159" s="80">
        <f t="shared" si="50"/>
        <v>0.16494116748166254</v>
      </c>
      <c r="W159" s="80">
        <f t="shared" si="50"/>
        <v>0.15040035854635692</v>
      </c>
      <c r="X159" s="80">
        <f t="shared" si="50"/>
        <v>0.71769359706269165</v>
      </c>
      <c r="Y159" s="80">
        <f t="shared" si="50"/>
        <v>0.41688411765974953</v>
      </c>
      <c r="Z159" s="80"/>
      <c r="AA159" s="80"/>
      <c r="AB159" s="80"/>
      <c r="AC159" s="80"/>
      <c r="AD159" s="80"/>
      <c r="AE159" s="80"/>
      <c r="AF159" s="80"/>
      <c r="AG159" s="80"/>
      <c r="AH159" s="80"/>
    </row>
    <row r="160" spans="2:34" x14ac:dyDescent="0.2">
      <c r="B160" s="72" t="s">
        <v>192</v>
      </c>
      <c r="C160" s="79" t="s">
        <v>118</v>
      </c>
      <c r="D160" s="76"/>
      <c r="E160" s="76"/>
      <c r="F160" s="81" t="e">
        <f t="shared" ref="F160:Y160" si="51">F91/E91-1</f>
        <v>#DIV/0!</v>
      </c>
      <c r="G160" s="81" t="e">
        <f t="shared" si="51"/>
        <v>#DIV/0!</v>
      </c>
      <c r="H160" s="81" t="e">
        <f t="shared" si="51"/>
        <v>#DIV/0!</v>
      </c>
      <c r="I160" s="81" t="e">
        <f t="shared" si="51"/>
        <v>#DIV/0!</v>
      </c>
      <c r="J160" s="81" t="e">
        <f t="shared" si="51"/>
        <v>#DIV/0!</v>
      </c>
      <c r="K160" s="81" t="e">
        <f t="shared" si="51"/>
        <v>#DIV/0!</v>
      </c>
      <c r="L160" s="81" t="e">
        <f t="shared" si="51"/>
        <v>#DIV/0!</v>
      </c>
      <c r="M160" s="81" t="e">
        <f t="shared" si="51"/>
        <v>#DIV/0!</v>
      </c>
      <c r="N160" s="81" t="e">
        <f t="shared" si="51"/>
        <v>#DIV/0!</v>
      </c>
      <c r="O160" s="81" t="e">
        <f t="shared" si="51"/>
        <v>#DIV/0!</v>
      </c>
      <c r="P160" s="81">
        <f t="shared" si="51"/>
        <v>1.2879352080579443E-2</v>
      </c>
      <c r="Q160" s="81">
        <f t="shared" si="51"/>
        <v>4.3147316216369802E-3</v>
      </c>
      <c r="R160" s="81">
        <f t="shared" si="51"/>
        <v>7.2507424754445715E-2</v>
      </c>
      <c r="S160" s="81">
        <f t="shared" si="51"/>
        <v>2.5645605356995116E-2</v>
      </c>
      <c r="T160" s="81">
        <f t="shared" si="51"/>
        <v>-8.537389991966382E-2</v>
      </c>
      <c r="U160" s="81">
        <f t="shared" si="51"/>
        <v>0.11094725153553764</v>
      </c>
      <c r="V160" s="81">
        <f t="shared" si="51"/>
        <v>6.6858284665676004E-2</v>
      </c>
      <c r="W160" s="81">
        <f t="shared" si="51"/>
        <v>4.434689588896723E-2</v>
      </c>
      <c r="X160" s="81">
        <f t="shared" si="51"/>
        <v>0.23421978403919042</v>
      </c>
      <c r="Y160" s="81">
        <f t="shared" si="51"/>
        <v>0.37322274505774566</v>
      </c>
      <c r="Z160" s="81"/>
      <c r="AA160" s="81"/>
      <c r="AB160" s="81"/>
      <c r="AC160" s="81"/>
      <c r="AD160" s="81"/>
      <c r="AE160" s="81"/>
      <c r="AF160" s="81"/>
      <c r="AG160" s="81"/>
      <c r="AH160" s="81"/>
    </row>
    <row r="161" spans="2:34" x14ac:dyDescent="0.2">
      <c r="B161" s="73"/>
    </row>
    <row r="162" spans="2:34" x14ac:dyDescent="0.2">
      <c r="B162" s="77" t="s">
        <v>218</v>
      </c>
    </row>
    <row r="163" spans="2:34" x14ac:dyDescent="0.2">
      <c r="B163" s="73" t="s">
        <v>183</v>
      </c>
      <c r="C163" s="7" t="s">
        <v>118</v>
      </c>
      <c r="D163" s="78"/>
      <c r="E163" s="78"/>
      <c r="F163" s="78" t="e">
        <f>F94/E94-1</f>
        <v>#DIV/0!</v>
      </c>
      <c r="G163" s="78" t="e">
        <f t="shared" ref="G163:Y163" si="52">G94/F94-1</f>
        <v>#DIV/0!</v>
      </c>
      <c r="H163" s="78" t="e">
        <f t="shared" si="52"/>
        <v>#DIV/0!</v>
      </c>
      <c r="I163" s="78" t="e">
        <f t="shared" si="52"/>
        <v>#DIV/0!</v>
      </c>
      <c r="J163" s="78" t="e">
        <f t="shared" si="52"/>
        <v>#DIV/0!</v>
      </c>
      <c r="K163" s="78" t="e">
        <f t="shared" si="52"/>
        <v>#DIV/0!</v>
      </c>
      <c r="L163" s="78" t="e">
        <f t="shared" si="52"/>
        <v>#DIV/0!</v>
      </c>
      <c r="M163" s="78" t="e">
        <f t="shared" si="52"/>
        <v>#DIV/0!</v>
      </c>
      <c r="N163" s="78" t="e">
        <f t="shared" si="52"/>
        <v>#DIV/0!</v>
      </c>
      <c r="O163" s="78" t="e">
        <f t="shared" si="52"/>
        <v>#DIV/0!</v>
      </c>
      <c r="P163" s="78">
        <f t="shared" si="52"/>
        <v>-3.0437839270690437E-2</v>
      </c>
      <c r="Q163" s="78">
        <f t="shared" si="52"/>
        <v>3.2296792905879279E-2</v>
      </c>
      <c r="R163" s="78">
        <f t="shared" si="52"/>
        <v>-5.7897585297606025E-2</v>
      </c>
      <c r="S163" s="78">
        <f t="shared" si="52"/>
        <v>0.63669253804314607</v>
      </c>
      <c r="T163" s="78">
        <f t="shared" si="52"/>
        <v>5.6293220617448236E-2</v>
      </c>
      <c r="U163" s="78">
        <f t="shared" si="52"/>
        <v>-9.271513814654575E-2</v>
      </c>
      <c r="V163" s="78">
        <f t="shared" si="52"/>
        <v>-0.18856853424764286</v>
      </c>
      <c r="W163" s="78">
        <f t="shared" si="52"/>
        <v>3.5493753061048183E-2</v>
      </c>
      <c r="X163" s="78">
        <f t="shared" si="52"/>
        <v>-0.22165134892002936</v>
      </c>
      <c r="Y163" s="78">
        <f t="shared" si="52"/>
        <v>0.51515007089494436</v>
      </c>
      <c r="Z163" s="78"/>
      <c r="AA163" s="78"/>
      <c r="AB163" s="78"/>
      <c r="AC163" s="78"/>
      <c r="AD163" s="78"/>
      <c r="AE163" s="78"/>
      <c r="AF163" s="78"/>
      <c r="AG163" s="78"/>
      <c r="AH163" s="78"/>
    </row>
    <row r="164" spans="2:34" x14ac:dyDescent="0.2">
      <c r="B164" s="73" t="s">
        <v>184</v>
      </c>
      <c r="C164" s="7" t="s">
        <v>118</v>
      </c>
      <c r="D164" s="80"/>
      <c r="E164" s="80"/>
      <c r="F164" s="80" t="e">
        <f t="shared" ref="F164:Y164" si="53">F95/E95-1</f>
        <v>#DIV/0!</v>
      </c>
      <c r="G164" s="80" t="e">
        <f t="shared" si="53"/>
        <v>#DIV/0!</v>
      </c>
      <c r="H164" s="80" t="e">
        <f t="shared" si="53"/>
        <v>#DIV/0!</v>
      </c>
      <c r="I164" s="80" t="e">
        <f t="shared" si="53"/>
        <v>#DIV/0!</v>
      </c>
      <c r="J164" s="80" t="e">
        <f t="shared" si="53"/>
        <v>#DIV/0!</v>
      </c>
      <c r="K164" s="80" t="e">
        <f t="shared" si="53"/>
        <v>#DIV/0!</v>
      </c>
      <c r="L164" s="80" t="e">
        <f t="shared" si="53"/>
        <v>#DIV/0!</v>
      </c>
      <c r="M164" s="80" t="e">
        <f t="shared" si="53"/>
        <v>#DIV/0!</v>
      </c>
      <c r="N164" s="80" t="e">
        <f t="shared" si="53"/>
        <v>#DIV/0!</v>
      </c>
      <c r="O164" s="80" t="e">
        <f t="shared" si="53"/>
        <v>#DIV/0!</v>
      </c>
      <c r="P164" s="80">
        <f t="shared" si="53"/>
        <v>-2.9504080351538065E-2</v>
      </c>
      <c r="Q164" s="80">
        <f t="shared" si="53"/>
        <v>-8.4793602258026568E-2</v>
      </c>
      <c r="R164" s="80">
        <f t="shared" si="53"/>
        <v>0.21331277306604979</v>
      </c>
      <c r="S164" s="80">
        <f t="shared" si="53"/>
        <v>0.27243521852714836</v>
      </c>
      <c r="T164" s="80">
        <f t="shared" si="53"/>
        <v>4.8386649280026672E-2</v>
      </c>
      <c r="U164" s="80">
        <f t="shared" si="53"/>
        <v>1.5746156085426177E-2</v>
      </c>
      <c r="V164" s="80">
        <f t="shared" si="53"/>
        <v>-0.16688812464175917</v>
      </c>
      <c r="W164" s="80">
        <f t="shared" si="53"/>
        <v>0.14176035526089481</v>
      </c>
      <c r="X164" s="80">
        <f t="shared" si="53"/>
        <v>-0.17537901094235753</v>
      </c>
      <c r="Y164" s="80">
        <f t="shared" si="53"/>
        <v>0.25042764851444033</v>
      </c>
      <c r="Z164" s="80"/>
      <c r="AA164" s="80"/>
      <c r="AB164" s="80"/>
      <c r="AC164" s="80"/>
      <c r="AD164" s="80"/>
      <c r="AE164" s="80"/>
      <c r="AF164" s="80"/>
      <c r="AG164" s="80"/>
      <c r="AH164" s="80"/>
    </row>
    <row r="165" spans="2:34" x14ac:dyDescent="0.2">
      <c r="B165" s="73" t="s">
        <v>185</v>
      </c>
      <c r="C165" s="7" t="s">
        <v>118</v>
      </c>
      <c r="D165" s="80"/>
      <c r="E165" s="80"/>
      <c r="F165" s="80" t="e">
        <f t="shared" ref="F165:Y165" si="54">F96/E96-1</f>
        <v>#DIV/0!</v>
      </c>
      <c r="G165" s="80" t="e">
        <f t="shared" si="54"/>
        <v>#DIV/0!</v>
      </c>
      <c r="H165" s="80" t="e">
        <f t="shared" si="54"/>
        <v>#DIV/0!</v>
      </c>
      <c r="I165" s="80" t="e">
        <f t="shared" si="54"/>
        <v>#DIV/0!</v>
      </c>
      <c r="J165" s="80" t="e">
        <f t="shared" si="54"/>
        <v>#DIV/0!</v>
      </c>
      <c r="K165" s="80" t="e">
        <f t="shared" si="54"/>
        <v>#DIV/0!</v>
      </c>
      <c r="L165" s="80" t="e">
        <f t="shared" si="54"/>
        <v>#DIV/0!</v>
      </c>
      <c r="M165" s="80" t="e">
        <f t="shared" si="54"/>
        <v>#DIV/0!</v>
      </c>
      <c r="N165" s="80" t="e">
        <f t="shared" si="54"/>
        <v>#DIV/0!</v>
      </c>
      <c r="O165" s="80" t="e">
        <f t="shared" si="54"/>
        <v>#DIV/0!</v>
      </c>
      <c r="P165" s="80">
        <f t="shared" si="54"/>
        <v>5.9299008286917365E-2</v>
      </c>
      <c r="Q165" s="80">
        <f t="shared" si="54"/>
        <v>-4.6104520679705052E-2</v>
      </c>
      <c r="R165" s="80">
        <f t="shared" si="54"/>
        <v>6.7625705834901906E-2</v>
      </c>
      <c r="S165" s="80">
        <f t="shared" si="54"/>
        <v>-3.1230323636821433E-2</v>
      </c>
      <c r="T165" s="80">
        <f t="shared" si="54"/>
        <v>0.19732224099830997</v>
      </c>
      <c r="U165" s="80">
        <f t="shared" si="54"/>
        <v>-0.10482032352621862</v>
      </c>
      <c r="V165" s="80">
        <f t="shared" si="54"/>
        <v>0.16566612091443811</v>
      </c>
      <c r="W165" s="80">
        <f t="shared" si="54"/>
        <v>-9.7175258804556908E-2</v>
      </c>
      <c r="X165" s="80">
        <f t="shared" si="54"/>
        <v>-0.19936617689426694</v>
      </c>
      <c r="Y165" s="80">
        <f t="shared" si="54"/>
        <v>0.39107592659229939</v>
      </c>
      <c r="Z165" s="80"/>
      <c r="AA165" s="80"/>
      <c r="AB165" s="80"/>
      <c r="AC165" s="80"/>
      <c r="AD165" s="80"/>
      <c r="AE165" s="80"/>
      <c r="AF165" s="80"/>
      <c r="AG165" s="80"/>
      <c r="AH165" s="80"/>
    </row>
    <row r="166" spans="2:34" x14ac:dyDescent="0.2">
      <c r="B166" s="73" t="s">
        <v>186</v>
      </c>
      <c r="C166" s="7" t="s">
        <v>118</v>
      </c>
      <c r="D166" s="80"/>
      <c r="E166" s="80"/>
      <c r="F166" s="80" t="e">
        <f t="shared" ref="F166:Y166" si="55">F97/E97-1</f>
        <v>#DIV/0!</v>
      </c>
      <c r="G166" s="80" t="e">
        <f t="shared" si="55"/>
        <v>#DIV/0!</v>
      </c>
      <c r="H166" s="80" t="e">
        <f t="shared" si="55"/>
        <v>#DIV/0!</v>
      </c>
      <c r="I166" s="80" t="e">
        <f t="shared" si="55"/>
        <v>#DIV/0!</v>
      </c>
      <c r="J166" s="80" t="e">
        <f t="shared" si="55"/>
        <v>#DIV/0!</v>
      </c>
      <c r="K166" s="80" t="e">
        <f t="shared" si="55"/>
        <v>#DIV/0!</v>
      </c>
      <c r="L166" s="80" t="e">
        <f t="shared" si="55"/>
        <v>#DIV/0!</v>
      </c>
      <c r="M166" s="80" t="e">
        <f t="shared" si="55"/>
        <v>#DIV/0!</v>
      </c>
      <c r="N166" s="80" t="e">
        <f t="shared" si="55"/>
        <v>#DIV/0!</v>
      </c>
      <c r="O166" s="80" t="e">
        <f t="shared" si="55"/>
        <v>#DIV/0!</v>
      </c>
      <c r="P166" s="80">
        <f t="shared" si="55"/>
        <v>5.2935010482180411E-2</v>
      </c>
      <c r="Q166" s="80">
        <f t="shared" si="55"/>
        <v>9.457441513190723E-3</v>
      </c>
      <c r="R166" s="80">
        <f t="shared" si="55"/>
        <v>4.7666009204470727E-2</v>
      </c>
      <c r="S166" s="80">
        <f t="shared" si="55"/>
        <v>4.1261374333228851E-2</v>
      </c>
      <c r="T166" s="80">
        <f t="shared" si="55"/>
        <v>4.9118577670634211E-2</v>
      </c>
      <c r="U166" s="80">
        <f t="shared" si="55"/>
        <v>-1.7664799655320862E-2</v>
      </c>
      <c r="V166" s="80">
        <f t="shared" si="55"/>
        <v>4.6783625730993927E-2</v>
      </c>
      <c r="W166" s="80">
        <f t="shared" si="55"/>
        <v>5.8659217877095049E-3</v>
      </c>
      <c r="X166" s="80">
        <f t="shared" si="55"/>
        <v>-0.24437656206609271</v>
      </c>
      <c r="Y166" s="80">
        <f t="shared" si="55"/>
        <v>0.74035281146637244</v>
      </c>
      <c r="Z166" s="80"/>
      <c r="AA166" s="80"/>
      <c r="AB166" s="80"/>
      <c r="AC166" s="80"/>
      <c r="AD166" s="80"/>
      <c r="AE166" s="80"/>
      <c r="AF166" s="80"/>
      <c r="AG166" s="80"/>
      <c r="AH166" s="80"/>
    </row>
    <row r="167" spans="2:34" x14ac:dyDescent="0.2">
      <c r="B167" s="73" t="s">
        <v>187</v>
      </c>
      <c r="C167" s="7" t="s">
        <v>118</v>
      </c>
      <c r="D167" s="80"/>
      <c r="E167" s="80"/>
      <c r="F167" s="80" t="e">
        <f t="shared" ref="F167:Y167" si="56">F98/E98-1</f>
        <v>#DIV/0!</v>
      </c>
      <c r="G167" s="80" t="e">
        <f t="shared" si="56"/>
        <v>#DIV/0!</v>
      </c>
      <c r="H167" s="80" t="e">
        <f t="shared" si="56"/>
        <v>#DIV/0!</v>
      </c>
      <c r="I167" s="80" t="e">
        <f t="shared" si="56"/>
        <v>#DIV/0!</v>
      </c>
      <c r="J167" s="80" t="e">
        <f t="shared" si="56"/>
        <v>#DIV/0!</v>
      </c>
      <c r="K167" s="80" t="e">
        <f t="shared" si="56"/>
        <v>#DIV/0!</v>
      </c>
      <c r="L167" s="80" t="e">
        <f t="shared" si="56"/>
        <v>#DIV/0!</v>
      </c>
      <c r="M167" s="80" t="e">
        <f t="shared" si="56"/>
        <v>#DIV/0!</v>
      </c>
      <c r="N167" s="80" t="e">
        <f t="shared" si="56"/>
        <v>#DIV/0!</v>
      </c>
      <c r="O167" s="80" t="e">
        <f t="shared" si="56"/>
        <v>#DIV/0!</v>
      </c>
      <c r="P167" s="80">
        <f t="shared" si="56"/>
        <v>-0.24539686489176404</v>
      </c>
      <c r="Q167" s="80">
        <f t="shared" si="56"/>
        <v>8.5483472096282265E-2</v>
      </c>
      <c r="R167" s="80">
        <f t="shared" si="56"/>
        <v>0.16373025516403406</v>
      </c>
      <c r="S167" s="80">
        <f t="shared" si="56"/>
        <v>0.1105455494648917</v>
      </c>
      <c r="T167" s="80">
        <f t="shared" si="56"/>
        <v>9.4605711599482945E-2</v>
      </c>
      <c r="U167" s="80">
        <f t="shared" si="56"/>
        <v>-0.10827786128408845</v>
      </c>
      <c r="V167" s="80">
        <f t="shared" si="56"/>
        <v>-3.3712600084281674E-2</v>
      </c>
      <c r="W167" s="80">
        <f t="shared" si="56"/>
        <v>4.2302660270388204E-2</v>
      </c>
      <c r="X167" s="80">
        <f t="shared" si="56"/>
        <v>-0.23096234309623442</v>
      </c>
      <c r="Y167" s="80">
        <f t="shared" si="56"/>
        <v>0.67449090626457342</v>
      </c>
      <c r="Z167" s="80"/>
      <c r="AA167" s="80"/>
      <c r="AB167" s="80"/>
      <c r="AC167" s="80"/>
      <c r="AD167" s="80"/>
      <c r="AE167" s="80"/>
      <c r="AF167" s="80"/>
      <c r="AG167" s="80"/>
      <c r="AH167" s="80"/>
    </row>
    <row r="168" spans="2:34" x14ac:dyDescent="0.2">
      <c r="B168" s="73" t="s">
        <v>188</v>
      </c>
      <c r="C168" s="7" t="s">
        <v>118</v>
      </c>
      <c r="D168" s="80"/>
      <c r="E168" s="80"/>
      <c r="F168" s="80" t="e">
        <f t="shared" ref="F168:Y168" si="57">F99/E99-1</f>
        <v>#DIV/0!</v>
      </c>
      <c r="G168" s="80" t="e">
        <f t="shared" si="57"/>
        <v>#DIV/0!</v>
      </c>
      <c r="H168" s="80" t="e">
        <f t="shared" si="57"/>
        <v>#DIV/0!</v>
      </c>
      <c r="I168" s="80" t="e">
        <f t="shared" si="57"/>
        <v>#DIV/0!</v>
      </c>
      <c r="J168" s="80" t="e">
        <f t="shared" si="57"/>
        <v>#DIV/0!</v>
      </c>
      <c r="K168" s="80" t="e">
        <f t="shared" si="57"/>
        <v>#DIV/0!</v>
      </c>
      <c r="L168" s="80" t="e">
        <f t="shared" si="57"/>
        <v>#DIV/0!</v>
      </c>
      <c r="M168" s="80" t="e">
        <f t="shared" si="57"/>
        <v>#DIV/0!</v>
      </c>
      <c r="N168" s="80" t="e">
        <f t="shared" si="57"/>
        <v>#DIV/0!</v>
      </c>
      <c r="O168" s="80" t="e">
        <f t="shared" si="57"/>
        <v>#DIV/0!</v>
      </c>
      <c r="P168" s="80">
        <f t="shared" si="57"/>
        <v>-0.17222559126743475</v>
      </c>
      <c r="Q168" s="80">
        <f t="shared" si="57"/>
        <v>0.42564102564102568</v>
      </c>
      <c r="R168" s="80">
        <f t="shared" si="57"/>
        <v>1.1562178828365877</v>
      </c>
      <c r="S168" s="80">
        <f t="shared" si="57"/>
        <v>0.10057197330791223</v>
      </c>
      <c r="T168" s="80">
        <f t="shared" si="57"/>
        <v>0.29709831095712436</v>
      </c>
      <c r="U168" s="80">
        <f t="shared" si="57"/>
        <v>-1.9031719532554225E-2</v>
      </c>
      <c r="V168" s="80">
        <f t="shared" si="57"/>
        <v>0.27654867256637172</v>
      </c>
      <c r="W168" s="80">
        <f t="shared" si="57"/>
        <v>-0.27356352486335156</v>
      </c>
      <c r="X168" s="80">
        <f t="shared" si="57"/>
        <v>-0.58854835749678847</v>
      </c>
      <c r="Y168" s="80">
        <f t="shared" si="57"/>
        <v>0.83586083853702031</v>
      </c>
      <c r="Z168" s="80"/>
      <c r="AA168" s="80"/>
      <c r="AB168" s="80"/>
      <c r="AC168" s="80"/>
      <c r="AD168" s="80"/>
      <c r="AE168" s="80"/>
      <c r="AF168" s="80"/>
      <c r="AG168" s="80"/>
      <c r="AH168" s="80"/>
    </row>
    <row r="169" spans="2:34" x14ac:dyDescent="0.2">
      <c r="B169" s="73" t="s">
        <v>189</v>
      </c>
      <c r="C169" s="7" t="s">
        <v>118</v>
      </c>
      <c r="D169" s="80"/>
      <c r="E169" s="80"/>
      <c r="F169" s="80" t="e">
        <f t="shared" ref="F169:Y169" si="58">F100/E100-1</f>
        <v>#DIV/0!</v>
      </c>
      <c r="G169" s="80" t="e">
        <f t="shared" si="58"/>
        <v>#DIV/0!</v>
      </c>
      <c r="H169" s="80" t="e">
        <f t="shared" si="58"/>
        <v>#DIV/0!</v>
      </c>
      <c r="I169" s="80" t="e">
        <f t="shared" si="58"/>
        <v>#DIV/0!</v>
      </c>
      <c r="J169" s="80" t="e">
        <f t="shared" si="58"/>
        <v>#DIV/0!</v>
      </c>
      <c r="K169" s="80" t="e">
        <f t="shared" si="58"/>
        <v>#DIV/0!</v>
      </c>
      <c r="L169" s="80" t="e">
        <f t="shared" si="58"/>
        <v>#DIV/0!</v>
      </c>
      <c r="M169" s="80" t="e">
        <f t="shared" si="58"/>
        <v>#DIV/0!</v>
      </c>
      <c r="N169" s="80" t="e">
        <f t="shared" si="58"/>
        <v>#DIV/0!</v>
      </c>
      <c r="O169" s="80" t="e">
        <f t="shared" si="58"/>
        <v>#DIV/0!</v>
      </c>
      <c r="P169" s="80">
        <f t="shared" si="58"/>
        <v>-0.60187384534177879</v>
      </c>
      <c r="Q169" s="80">
        <f t="shared" si="58"/>
        <v>-0.22704673516738483</v>
      </c>
      <c r="R169" s="80">
        <f t="shared" si="58"/>
        <v>-0.20407375643224701</v>
      </c>
      <c r="S169" s="80">
        <f t="shared" si="58"/>
        <v>0.57803997629438064</v>
      </c>
      <c r="T169" s="80">
        <f t="shared" si="58"/>
        <v>-0.55445544554455439</v>
      </c>
      <c r="U169" s="80">
        <f t="shared" si="58"/>
        <v>0.80766283524904203</v>
      </c>
      <c r="V169" s="80">
        <f t="shared" si="58"/>
        <v>8.9020771513353081E-2</v>
      </c>
      <c r="W169" s="80">
        <f t="shared" si="58"/>
        <v>0.21564811210587775</v>
      </c>
      <c r="X169" s="80">
        <f t="shared" si="58"/>
        <v>-0.27825808517451167</v>
      </c>
      <c r="Y169" s="80">
        <f t="shared" si="58"/>
        <v>0.6410825199645076</v>
      </c>
      <c r="Z169" s="80"/>
      <c r="AA169" s="80"/>
      <c r="AB169" s="80"/>
      <c r="AC169" s="80"/>
      <c r="AD169" s="80"/>
      <c r="AE169" s="80"/>
      <c r="AF169" s="80"/>
      <c r="AG169" s="80"/>
      <c r="AH169" s="80"/>
    </row>
    <row r="170" spans="2:34" x14ac:dyDescent="0.2">
      <c r="B170" s="73" t="s">
        <v>190</v>
      </c>
      <c r="C170" s="7" t="s">
        <v>118</v>
      </c>
      <c r="D170" s="80"/>
      <c r="E170" s="80"/>
      <c r="F170" s="80" t="e">
        <f t="shared" ref="F170:Y170" si="59">F101/E101-1</f>
        <v>#DIV/0!</v>
      </c>
      <c r="G170" s="80" t="e">
        <f t="shared" si="59"/>
        <v>#DIV/0!</v>
      </c>
      <c r="H170" s="80" t="e">
        <f t="shared" si="59"/>
        <v>#DIV/0!</v>
      </c>
      <c r="I170" s="80" t="e">
        <f t="shared" si="59"/>
        <v>#DIV/0!</v>
      </c>
      <c r="J170" s="80" t="e">
        <f t="shared" si="59"/>
        <v>#DIV/0!</v>
      </c>
      <c r="K170" s="80" t="e">
        <f t="shared" si="59"/>
        <v>#DIV/0!</v>
      </c>
      <c r="L170" s="80" t="e">
        <f t="shared" si="59"/>
        <v>#DIV/0!</v>
      </c>
      <c r="M170" s="80" t="e">
        <f t="shared" si="59"/>
        <v>#DIV/0!</v>
      </c>
      <c r="N170" s="80" t="e">
        <f t="shared" si="59"/>
        <v>#DIV/0!</v>
      </c>
      <c r="O170" s="80" t="e">
        <f t="shared" si="59"/>
        <v>#DIV/0!</v>
      </c>
      <c r="P170" s="80">
        <f t="shared" si="59"/>
        <v>3.9526224908268404E-3</v>
      </c>
      <c r="Q170" s="80">
        <f t="shared" si="59"/>
        <v>0.52647102296394843</v>
      </c>
      <c r="R170" s="80">
        <f t="shared" si="59"/>
        <v>0.21361953847440396</v>
      </c>
      <c r="S170" s="80">
        <f t="shared" si="59"/>
        <v>0.22062610158918972</v>
      </c>
      <c r="T170" s="80">
        <f t="shared" si="59"/>
        <v>0.65198931583935726</v>
      </c>
      <c r="U170" s="80">
        <f t="shared" si="59"/>
        <v>0.28307689540749825</v>
      </c>
      <c r="V170" s="80">
        <f t="shared" si="59"/>
        <v>0.26499628544595666</v>
      </c>
      <c r="W170" s="80">
        <f t="shared" si="59"/>
        <v>0.11384093052220523</v>
      </c>
      <c r="X170" s="80">
        <f t="shared" si="59"/>
        <v>-0.16911891985459582</v>
      </c>
      <c r="Y170" s="80">
        <f t="shared" si="59"/>
        <v>0.67586925287356325</v>
      </c>
      <c r="Z170" s="80"/>
      <c r="AA170" s="80"/>
      <c r="AB170" s="80"/>
      <c r="AC170" s="80"/>
      <c r="AD170" s="80"/>
      <c r="AE170" s="80"/>
      <c r="AF170" s="80"/>
      <c r="AG170" s="80"/>
      <c r="AH170" s="80"/>
    </row>
    <row r="171" spans="2:34" x14ac:dyDescent="0.2">
      <c r="B171" s="72" t="s">
        <v>192</v>
      </c>
      <c r="C171" s="79" t="s">
        <v>118</v>
      </c>
      <c r="D171" s="81"/>
      <c r="E171" s="81"/>
      <c r="F171" s="81">
        <f t="shared" ref="F171:Y171" si="60">F102/E102-1</f>
        <v>0.5</v>
      </c>
      <c r="G171" s="81">
        <f t="shared" si="60"/>
        <v>0.20059848484848475</v>
      </c>
      <c r="H171" s="81">
        <f t="shared" si="60"/>
        <v>-9.9988011029852553E-2</v>
      </c>
      <c r="I171" s="81">
        <f t="shared" si="60"/>
        <v>0.16184894098841096</v>
      </c>
      <c r="J171" s="81">
        <f t="shared" si="60"/>
        <v>8.014820357474739E-2</v>
      </c>
      <c r="K171" s="81">
        <f t="shared" si="60"/>
        <v>3.2960893854748541E-2</v>
      </c>
      <c r="L171" s="81">
        <f t="shared" si="60"/>
        <v>0.29691725256895629</v>
      </c>
      <c r="M171" s="81">
        <f t="shared" si="60"/>
        <v>7.3106755629691378E-2</v>
      </c>
      <c r="N171" s="81">
        <f t="shared" si="60"/>
        <v>0.14444042886399222</v>
      </c>
      <c r="O171" s="81">
        <f t="shared" si="60"/>
        <v>0.13188794567062812</v>
      </c>
      <c r="P171" s="81">
        <f t="shared" si="60"/>
        <v>-3.3659225837805673E-2</v>
      </c>
      <c r="Q171" s="81">
        <f t="shared" si="60"/>
        <v>0.2391120107040523</v>
      </c>
      <c r="R171" s="81">
        <f t="shared" si="60"/>
        <v>0.11620117050488044</v>
      </c>
      <c r="S171" s="81">
        <f t="shared" si="60"/>
        <v>0.32237921553223714</v>
      </c>
      <c r="T171" s="81">
        <f t="shared" si="60"/>
        <v>0.39919681305195764</v>
      </c>
      <c r="U171" s="81">
        <f t="shared" si="60"/>
        <v>0.17267126104367003</v>
      </c>
      <c r="V171" s="81">
        <f t="shared" si="60"/>
        <v>0.1617576015252189</v>
      </c>
      <c r="W171" s="81">
        <f t="shared" si="60"/>
        <v>0.10048893681397697</v>
      </c>
      <c r="X171" s="81">
        <f t="shared" si="60"/>
        <v>-0.17789745635377541</v>
      </c>
      <c r="Y171" s="81">
        <f t="shared" si="60"/>
        <v>0.6340898331658531</v>
      </c>
      <c r="Z171" s="81"/>
      <c r="AA171" s="81"/>
      <c r="AB171" s="81"/>
      <c r="AC171" s="81"/>
      <c r="AD171" s="81"/>
      <c r="AE171" s="81"/>
      <c r="AF171" s="81"/>
      <c r="AG171" s="81"/>
      <c r="AH171" s="81"/>
    </row>
    <row r="172" spans="2:34" x14ac:dyDescent="0.2">
      <c r="B172" s="73"/>
    </row>
    <row r="173" spans="2:34" x14ac:dyDescent="0.2">
      <c r="B173" s="77" t="s">
        <v>219</v>
      </c>
    </row>
    <row r="174" spans="2:34" x14ac:dyDescent="0.2">
      <c r="B174" s="73" t="s">
        <v>183</v>
      </c>
      <c r="C174" s="7" t="s">
        <v>118</v>
      </c>
      <c r="D174" s="78"/>
      <c r="E174" s="78"/>
      <c r="F174" s="78" t="e">
        <f>F105/E105-1</f>
        <v>#DIV/0!</v>
      </c>
      <c r="G174" s="78" t="e">
        <f t="shared" ref="G174:Y174" si="61">G105/F105-1</f>
        <v>#DIV/0!</v>
      </c>
      <c r="H174" s="78" t="e">
        <f t="shared" si="61"/>
        <v>#DIV/0!</v>
      </c>
      <c r="I174" s="78" t="e">
        <f t="shared" si="61"/>
        <v>#DIV/0!</v>
      </c>
      <c r="J174" s="78" t="e">
        <f t="shared" si="61"/>
        <v>#DIV/0!</v>
      </c>
      <c r="K174" s="78" t="e">
        <f t="shared" si="61"/>
        <v>#DIV/0!</v>
      </c>
      <c r="L174" s="78" t="e">
        <f t="shared" si="61"/>
        <v>#DIV/0!</v>
      </c>
      <c r="M174" s="78" t="e">
        <f t="shared" si="61"/>
        <v>#DIV/0!</v>
      </c>
      <c r="N174" s="78" t="e">
        <f t="shared" si="61"/>
        <v>#DIV/0!</v>
      </c>
      <c r="O174" s="78" t="e">
        <f t="shared" si="61"/>
        <v>#DIV/0!</v>
      </c>
      <c r="P174" s="78">
        <f t="shared" si="61"/>
        <v>1.4840342209904822E-2</v>
      </c>
      <c r="Q174" s="78">
        <f t="shared" si="61"/>
        <v>-5.493444278742432E-4</v>
      </c>
      <c r="R174" s="78">
        <f t="shared" si="61"/>
        <v>0.21507805136896785</v>
      </c>
      <c r="S174" s="78">
        <f t="shared" si="61"/>
        <v>8.3553970358377194E-2</v>
      </c>
      <c r="T174" s="78">
        <f t="shared" si="61"/>
        <v>-0.14595201343614161</v>
      </c>
      <c r="U174" s="78">
        <f t="shared" si="61"/>
        <v>-1.9609030860275878E-2</v>
      </c>
      <c r="V174" s="78">
        <f t="shared" si="61"/>
        <v>-5.8739261189987291E-3</v>
      </c>
      <c r="W174" s="78">
        <f t="shared" si="61"/>
        <v>2.290896108945617E-3</v>
      </c>
      <c r="X174" s="78">
        <f t="shared" si="61"/>
        <v>-0.11677054281899013</v>
      </c>
      <c r="Y174" s="78">
        <f t="shared" si="61"/>
        <v>0.22705921345874702</v>
      </c>
      <c r="Z174" s="78"/>
      <c r="AA174" s="78"/>
      <c r="AB174" s="78"/>
      <c r="AC174" s="78"/>
      <c r="AD174" s="78"/>
      <c r="AE174" s="78"/>
      <c r="AF174" s="78"/>
      <c r="AG174" s="78"/>
      <c r="AH174" s="78"/>
    </row>
    <row r="175" spans="2:34" x14ac:dyDescent="0.2">
      <c r="B175" s="73" t="s">
        <v>184</v>
      </c>
      <c r="C175" s="7" t="s">
        <v>118</v>
      </c>
      <c r="D175" s="80"/>
      <c r="E175" s="80"/>
      <c r="F175" s="80" t="e">
        <f t="shared" ref="F175:Y175" si="62">F106/E106-1</f>
        <v>#DIV/0!</v>
      </c>
      <c r="G175" s="80" t="e">
        <f t="shared" si="62"/>
        <v>#DIV/0!</v>
      </c>
      <c r="H175" s="80" t="e">
        <f t="shared" si="62"/>
        <v>#DIV/0!</v>
      </c>
      <c r="I175" s="80" t="e">
        <f t="shared" si="62"/>
        <v>#DIV/0!</v>
      </c>
      <c r="J175" s="80" t="e">
        <f t="shared" si="62"/>
        <v>#DIV/0!</v>
      </c>
      <c r="K175" s="80" t="e">
        <f t="shared" si="62"/>
        <v>#DIV/0!</v>
      </c>
      <c r="L175" s="80" t="e">
        <f t="shared" si="62"/>
        <v>#DIV/0!</v>
      </c>
      <c r="M175" s="80" t="e">
        <f t="shared" si="62"/>
        <v>#DIV/0!</v>
      </c>
      <c r="N175" s="80" t="e">
        <f t="shared" si="62"/>
        <v>#DIV/0!</v>
      </c>
      <c r="O175" s="80" t="e">
        <f t="shared" si="62"/>
        <v>#DIV/0!</v>
      </c>
      <c r="P175" s="80">
        <f t="shared" si="62"/>
        <v>3.5600649848266608E-2</v>
      </c>
      <c r="Q175" s="80">
        <f t="shared" si="62"/>
        <v>-1.9699427349112009E-2</v>
      </c>
      <c r="R175" s="80">
        <f t="shared" si="62"/>
        <v>0.41144725161690321</v>
      </c>
      <c r="S175" s="80">
        <f t="shared" si="62"/>
        <v>-2.8095375957488677E-3</v>
      </c>
      <c r="T175" s="80">
        <f t="shared" si="62"/>
        <v>-0.29588408682332845</v>
      </c>
      <c r="U175" s="80">
        <f t="shared" si="62"/>
        <v>1.678356051973573E-2</v>
      </c>
      <c r="V175" s="80">
        <f t="shared" si="62"/>
        <v>-7.5171297868513731E-3</v>
      </c>
      <c r="W175" s="80">
        <f t="shared" si="62"/>
        <v>2.748844165071529E-2</v>
      </c>
      <c r="X175" s="80">
        <f t="shared" si="62"/>
        <v>-9.634386190360511E-2</v>
      </c>
      <c r="Y175" s="80">
        <f t="shared" si="62"/>
        <v>8.8835513394695642E-2</v>
      </c>
      <c r="Z175" s="80"/>
      <c r="AA175" s="80"/>
      <c r="AB175" s="80"/>
      <c r="AC175" s="80"/>
      <c r="AD175" s="80"/>
      <c r="AE175" s="80"/>
      <c r="AF175" s="80"/>
      <c r="AG175" s="80"/>
      <c r="AH175" s="80"/>
    </row>
    <row r="176" spans="2:34" x14ac:dyDescent="0.2">
      <c r="B176" s="73" t="s">
        <v>185</v>
      </c>
      <c r="C176" s="7" t="s">
        <v>118</v>
      </c>
      <c r="D176" s="80"/>
      <c r="E176" s="80"/>
      <c r="F176" s="80" t="e">
        <f t="shared" ref="F176:Y176" si="63">F107/E107-1</f>
        <v>#DIV/0!</v>
      </c>
      <c r="G176" s="80" t="e">
        <f t="shared" si="63"/>
        <v>#DIV/0!</v>
      </c>
      <c r="H176" s="80" t="e">
        <f t="shared" si="63"/>
        <v>#DIV/0!</v>
      </c>
      <c r="I176" s="80" t="e">
        <f t="shared" si="63"/>
        <v>#DIV/0!</v>
      </c>
      <c r="J176" s="80" t="e">
        <f t="shared" si="63"/>
        <v>#DIV/0!</v>
      </c>
      <c r="K176" s="80" t="e">
        <f t="shared" si="63"/>
        <v>#DIV/0!</v>
      </c>
      <c r="L176" s="80" t="e">
        <f t="shared" si="63"/>
        <v>#DIV/0!</v>
      </c>
      <c r="M176" s="80" t="e">
        <f t="shared" si="63"/>
        <v>#DIV/0!</v>
      </c>
      <c r="N176" s="80" t="e">
        <f t="shared" si="63"/>
        <v>#DIV/0!</v>
      </c>
      <c r="O176" s="80" t="e">
        <f t="shared" si="63"/>
        <v>#DIV/0!</v>
      </c>
      <c r="P176" s="80">
        <f t="shared" si="63"/>
        <v>-2.0079703282828265E-2</v>
      </c>
      <c r="Q176" s="80">
        <f t="shared" si="63"/>
        <v>-1.8655048701233135E-2</v>
      </c>
      <c r="R176" s="80">
        <f t="shared" si="63"/>
        <v>0.34131660361565408</v>
      </c>
      <c r="S176" s="80">
        <f t="shared" si="63"/>
        <v>-2.4603628599309313E-2</v>
      </c>
      <c r="T176" s="80">
        <f t="shared" si="63"/>
        <v>-0.2486671266386502</v>
      </c>
      <c r="U176" s="80">
        <f t="shared" si="63"/>
        <v>-7.0718370413657694E-2</v>
      </c>
      <c r="V176" s="80">
        <f t="shared" si="63"/>
        <v>-5.5024525216953446E-3</v>
      </c>
      <c r="W176" s="80">
        <f t="shared" si="63"/>
        <v>-7.7799307145793084E-2</v>
      </c>
      <c r="X176" s="80">
        <f t="shared" si="63"/>
        <v>-0.17267286387367886</v>
      </c>
      <c r="Y176" s="80">
        <f t="shared" si="63"/>
        <v>0.1007210428481784</v>
      </c>
      <c r="Z176" s="80"/>
      <c r="AA176" s="80"/>
      <c r="AB176" s="80"/>
      <c r="AC176" s="80"/>
      <c r="AD176" s="80"/>
      <c r="AE176" s="80"/>
      <c r="AF176" s="80"/>
      <c r="AG176" s="80"/>
      <c r="AH176" s="80"/>
    </row>
    <row r="177" spans="2:34" x14ac:dyDescent="0.2">
      <c r="B177" s="73" t="s">
        <v>186</v>
      </c>
      <c r="C177" s="7" t="s">
        <v>118</v>
      </c>
      <c r="D177" s="80"/>
      <c r="E177" s="80"/>
      <c r="F177" s="80" t="e">
        <f t="shared" ref="F177:Y177" si="64">F108/E108-1</f>
        <v>#DIV/0!</v>
      </c>
      <c r="G177" s="80" t="e">
        <f t="shared" si="64"/>
        <v>#DIV/0!</v>
      </c>
      <c r="H177" s="80" t="e">
        <f t="shared" si="64"/>
        <v>#DIV/0!</v>
      </c>
      <c r="I177" s="80" t="e">
        <f t="shared" si="64"/>
        <v>#DIV/0!</v>
      </c>
      <c r="J177" s="80" t="e">
        <f t="shared" si="64"/>
        <v>#DIV/0!</v>
      </c>
      <c r="K177" s="80" t="e">
        <f t="shared" si="64"/>
        <v>#DIV/0!</v>
      </c>
      <c r="L177" s="80" t="e">
        <f t="shared" si="64"/>
        <v>#DIV/0!</v>
      </c>
      <c r="M177" s="80" t="e">
        <f t="shared" si="64"/>
        <v>#DIV/0!</v>
      </c>
      <c r="N177" s="80" t="e">
        <f t="shared" si="64"/>
        <v>#DIV/0!</v>
      </c>
      <c r="O177" s="80" t="e">
        <f t="shared" si="64"/>
        <v>#DIV/0!</v>
      </c>
      <c r="P177" s="80">
        <f t="shared" si="64"/>
        <v>-7.3942786741740596E-2</v>
      </c>
      <c r="Q177" s="80">
        <f t="shared" si="64"/>
        <v>-0.11915181645252004</v>
      </c>
      <c r="R177" s="80">
        <f t="shared" si="64"/>
        <v>0.45868387233535146</v>
      </c>
      <c r="S177" s="80">
        <f t="shared" si="64"/>
        <v>6.0726612170753702E-2</v>
      </c>
      <c r="T177" s="80">
        <f t="shared" si="64"/>
        <v>-0.32836983885054705</v>
      </c>
      <c r="U177" s="80">
        <f t="shared" si="64"/>
        <v>-6.5785279906166783E-2</v>
      </c>
      <c r="V177" s="80">
        <f t="shared" si="64"/>
        <v>-1.2186634278149922E-2</v>
      </c>
      <c r="W177" s="80">
        <f t="shared" si="64"/>
        <v>-7.6107979664014169E-2</v>
      </c>
      <c r="X177" s="80">
        <f t="shared" si="64"/>
        <v>-0.19470654205607485</v>
      </c>
      <c r="Y177" s="80">
        <f t="shared" si="64"/>
        <v>0.26800237679652406</v>
      </c>
      <c r="Z177" s="80"/>
      <c r="AA177" s="80"/>
      <c r="AB177" s="80"/>
      <c r="AC177" s="80"/>
      <c r="AD177" s="80"/>
      <c r="AE177" s="80"/>
      <c r="AF177" s="80"/>
      <c r="AG177" s="80"/>
      <c r="AH177" s="80"/>
    </row>
    <row r="178" spans="2:34" x14ac:dyDescent="0.2">
      <c r="B178" s="73" t="s">
        <v>187</v>
      </c>
      <c r="C178" s="7" t="s">
        <v>118</v>
      </c>
      <c r="D178" s="80"/>
      <c r="E178" s="80"/>
      <c r="F178" s="80" t="e">
        <f t="shared" ref="F178:Y178" si="65">F109/E109-1</f>
        <v>#DIV/0!</v>
      </c>
      <c r="G178" s="80" t="e">
        <f t="shared" si="65"/>
        <v>#DIV/0!</v>
      </c>
      <c r="H178" s="80" t="e">
        <f t="shared" si="65"/>
        <v>#DIV/0!</v>
      </c>
      <c r="I178" s="80" t="e">
        <f t="shared" si="65"/>
        <v>#DIV/0!</v>
      </c>
      <c r="J178" s="80" t="e">
        <f t="shared" si="65"/>
        <v>#DIV/0!</v>
      </c>
      <c r="K178" s="80" t="e">
        <f t="shared" si="65"/>
        <v>#DIV/0!</v>
      </c>
      <c r="L178" s="80" t="e">
        <f t="shared" si="65"/>
        <v>#DIV/0!</v>
      </c>
      <c r="M178" s="80" t="e">
        <f t="shared" si="65"/>
        <v>#DIV/0!</v>
      </c>
      <c r="N178" s="80" t="e">
        <f t="shared" si="65"/>
        <v>#DIV/0!</v>
      </c>
      <c r="O178" s="80" t="e">
        <f t="shared" si="65"/>
        <v>#DIV/0!</v>
      </c>
      <c r="P178" s="80">
        <f t="shared" si="65"/>
        <v>4.8577528218287203E-2</v>
      </c>
      <c r="Q178" s="80">
        <f t="shared" si="65"/>
        <v>7.0798389054287592E-2</v>
      </c>
      <c r="R178" s="80">
        <f t="shared" si="65"/>
        <v>0.59849834151396442</v>
      </c>
      <c r="S178" s="80">
        <f t="shared" si="65"/>
        <v>-0.20592533853495898</v>
      </c>
      <c r="T178" s="80">
        <f t="shared" si="65"/>
        <v>-0.20628400861581975</v>
      </c>
      <c r="U178" s="80">
        <f t="shared" si="65"/>
        <v>-6.0010377492779376E-2</v>
      </c>
      <c r="V178" s="80">
        <f t="shared" si="65"/>
        <v>3.3755068145182587E-3</v>
      </c>
      <c r="W178" s="80">
        <f t="shared" si="65"/>
        <v>-1.4201488795088757E-2</v>
      </c>
      <c r="X178" s="80">
        <f t="shared" si="65"/>
        <v>-7.0277157701349235E-2</v>
      </c>
      <c r="Y178" s="80">
        <f t="shared" si="65"/>
        <v>1.5196064891051453</v>
      </c>
      <c r="Z178" s="80"/>
      <c r="AA178" s="80"/>
      <c r="AB178" s="80"/>
      <c r="AC178" s="80"/>
      <c r="AD178" s="80"/>
      <c r="AE178" s="80"/>
      <c r="AF178" s="80"/>
      <c r="AG178" s="80"/>
      <c r="AH178" s="80"/>
    </row>
    <row r="179" spans="2:34" x14ac:dyDescent="0.2">
      <c r="B179" s="73" t="s">
        <v>188</v>
      </c>
      <c r="C179" s="7" t="s">
        <v>118</v>
      </c>
      <c r="D179" s="80"/>
      <c r="E179" s="80"/>
      <c r="F179" s="80" t="e">
        <f t="shared" ref="F179:Y179" si="66">F110/E110-1</f>
        <v>#DIV/0!</v>
      </c>
      <c r="G179" s="80" t="e">
        <f t="shared" si="66"/>
        <v>#DIV/0!</v>
      </c>
      <c r="H179" s="80" t="e">
        <f t="shared" si="66"/>
        <v>#DIV/0!</v>
      </c>
      <c r="I179" s="80" t="e">
        <f t="shared" si="66"/>
        <v>#DIV/0!</v>
      </c>
      <c r="J179" s="80" t="e">
        <f t="shared" si="66"/>
        <v>#DIV/0!</v>
      </c>
      <c r="K179" s="80" t="e">
        <f t="shared" si="66"/>
        <v>#DIV/0!</v>
      </c>
      <c r="L179" s="80" t="e">
        <f t="shared" si="66"/>
        <v>#DIV/0!</v>
      </c>
      <c r="M179" s="80" t="e">
        <f t="shared" si="66"/>
        <v>#DIV/0!</v>
      </c>
      <c r="N179" s="80" t="e">
        <f t="shared" si="66"/>
        <v>#DIV/0!</v>
      </c>
      <c r="O179" s="80" t="e">
        <f t="shared" si="66"/>
        <v>#DIV/0!</v>
      </c>
      <c r="P179" s="80">
        <f t="shared" si="66"/>
        <v>-6.9047002124682622E-2</v>
      </c>
      <c r="Q179" s="80">
        <f t="shared" si="66"/>
        <v>-0.69365307326631265</v>
      </c>
      <c r="R179" s="80">
        <f t="shared" si="66"/>
        <v>0.51070247483373921</v>
      </c>
      <c r="S179" s="80">
        <f t="shared" si="66"/>
        <v>0.12184267500601398</v>
      </c>
      <c r="T179" s="80">
        <f t="shared" si="66"/>
        <v>-3.7118044387262739E-2</v>
      </c>
      <c r="U179" s="80">
        <f t="shared" si="66"/>
        <v>-5.7678603242473647E-3</v>
      </c>
      <c r="V179" s="80">
        <f t="shared" si="66"/>
        <v>5.3309441146824899E-3</v>
      </c>
      <c r="W179" s="80">
        <f t="shared" si="66"/>
        <v>-0.20025399371699748</v>
      </c>
      <c r="X179" s="80">
        <f t="shared" si="66"/>
        <v>-0.31773227469006826</v>
      </c>
      <c r="Y179" s="80">
        <f t="shared" si="66"/>
        <v>7.0845242956308674E-2</v>
      </c>
      <c r="Z179" s="80"/>
      <c r="AA179" s="80"/>
      <c r="AB179" s="80"/>
      <c r="AC179" s="80"/>
      <c r="AD179" s="80"/>
      <c r="AE179" s="80"/>
      <c r="AF179" s="80"/>
      <c r="AG179" s="80"/>
      <c r="AH179" s="80"/>
    </row>
    <row r="180" spans="2:34" x14ac:dyDescent="0.2">
      <c r="B180" s="73" t="s">
        <v>189</v>
      </c>
      <c r="C180" s="7" t="s">
        <v>118</v>
      </c>
      <c r="D180" s="80"/>
      <c r="E180" s="80"/>
      <c r="F180" s="80" t="e">
        <f t="shared" ref="F180:Y180" si="67">F111/E111-1</f>
        <v>#DIV/0!</v>
      </c>
      <c r="G180" s="80" t="e">
        <f t="shared" si="67"/>
        <v>#DIV/0!</v>
      </c>
      <c r="H180" s="80" t="e">
        <f t="shared" si="67"/>
        <v>#DIV/0!</v>
      </c>
      <c r="I180" s="80" t="e">
        <f t="shared" si="67"/>
        <v>#DIV/0!</v>
      </c>
      <c r="J180" s="80" t="e">
        <f t="shared" si="67"/>
        <v>#DIV/0!</v>
      </c>
      <c r="K180" s="80" t="e">
        <f t="shared" si="67"/>
        <v>#DIV/0!</v>
      </c>
      <c r="L180" s="80" t="e">
        <f t="shared" si="67"/>
        <v>#DIV/0!</v>
      </c>
      <c r="M180" s="80" t="e">
        <f t="shared" si="67"/>
        <v>#DIV/0!</v>
      </c>
      <c r="N180" s="80" t="e">
        <f t="shared" si="67"/>
        <v>#DIV/0!</v>
      </c>
      <c r="O180" s="80" t="e">
        <f t="shared" si="67"/>
        <v>#DIV/0!</v>
      </c>
      <c r="P180" s="80">
        <f t="shared" si="67"/>
        <v>-0.33916694659052726</v>
      </c>
      <c r="Q180" s="80">
        <f t="shared" si="67"/>
        <v>-5.7489960860062195E-2</v>
      </c>
      <c r="R180" s="80">
        <f t="shared" si="67"/>
        <v>5.9599827418833184E-2</v>
      </c>
      <c r="S180" s="80">
        <f t="shared" si="67"/>
        <v>0.2062848970077007</v>
      </c>
      <c r="T180" s="80">
        <f t="shared" si="67"/>
        <v>-0.29573839662447254</v>
      </c>
      <c r="U180" s="80">
        <f t="shared" si="67"/>
        <v>0.15559283446168592</v>
      </c>
      <c r="V180" s="80">
        <f t="shared" si="67"/>
        <v>7.5694732476150328E-3</v>
      </c>
      <c r="W180" s="80">
        <f t="shared" si="67"/>
        <v>2.1457239888854618E-2</v>
      </c>
      <c r="X180" s="80">
        <f t="shared" si="67"/>
        <v>-0.13505616845498969</v>
      </c>
      <c r="Y180" s="80">
        <f t="shared" si="67"/>
        <v>0.21921956901572526</v>
      </c>
      <c r="Z180" s="80"/>
      <c r="AA180" s="80"/>
      <c r="AB180" s="80"/>
      <c r="AC180" s="80"/>
      <c r="AD180" s="80"/>
      <c r="AE180" s="80"/>
      <c r="AF180" s="80"/>
      <c r="AG180" s="80"/>
      <c r="AH180" s="80"/>
    </row>
    <row r="181" spans="2:34" x14ac:dyDescent="0.2">
      <c r="B181" s="73" t="s">
        <v>190</v>
      </c>
      <c r="C181" s="7" t="s">
        <v>118</v>
      </c>
      <c r="D181" s="80"/>
      <c r="E181" s="80"/>
      <c r="F181" s="80" t="e">
        <f t="shared" ref="F181:Y181" si="68">F112/E112-1</f>
        <v>#DIV/0!</v>
      </c>
      <c r="G181" s="80" t="e">
        <f t="shared" si="68"/>
        <v>#DIV/0!</v>
      </c>
      <c r="H181" s="80" t="e">
        <f t="shared" si="68"/>
        <v>#DIV/0!</v>
      </c>
      <c r="I181" s="80" t="e">
        <f t="shared" si="68"/>
        <v>#DIV/0!</v>
      </c>
      <c r="J181" s="80" t="e">
        <f t="shared" si="68"/>
        <v>#DIV/0!</v>
      </c>
      <c r="K181" s="80" t="e">
        <f t="shared" si="68"/>
        <v>#DIV/0!</v>
      </c>
      <c r="L181" s="80" t="e">
        <f t="shared" si="68"/>
        <v>#DIV/0!</v>
      </c>
      <c r="M181" s="80" t="e">
        <f t="shared" si="68"/>
        <v>#DIV/0!</v>
      </c>
      <c r="N181" s="80" t="e">
        <f t="shared" si="68"/>
        <v>#DIV/0!</v>
      </c>
      <c r="O181" s="80" t="e">
        <f t="shared" si="68"/>
        <v>#DIV/0!</v>
      </c>
      <c r="P181" s="80">
        <f t="shared" si="68"/>
        <v>1.2961497292642177E-2</v>
      </c>
      <c r="Q181" s="80">
        <f t="shared" si="68"/>
        <v>0.27562700389118477</v>
      </c>
      <c r="R181" s="80">
        <f t="shared" si="68"/>
        <v>-0.52902273573552505</v>
      </c>
      <c r="S181" s="80">
        <f t="shared" si="68"/>
        <v>0.53298538502523685</v>
      </c>
      <c r="T181" s="80">
        <f t="shared" si="68"/>
        <v>1.034647841003371</v>
      </c>
      <c r="U181" s="80">
        <f t="shared" si="68"/>
        <v>0.37639205990885816</v>
      </c>
      <c r="V181" s="80">
        <f t="shared" si="68"/>
        <v>0.21256964415589619</v>
      </c>
      <c r="W181" s="80">
        <f t="shared" si="68"/>
        <v>0.13224481171165925</v>
      </c>
      <c r="X181" s="80">
        <f t="shared" si="68"/>
        <v>0.2844570589864841</v>
      </c>
      <c r="Y181" s="80">
        <f t="shared" si="68"/>
        <v>0.49872866253027937</v>
      </c>
      <c r="Z181" s="80"/>
      <c r="AA181" s="80"/>
      <c r="AB181" s="80"/>
      <c r="AC181" s="80"/>
      <c r="AD181" s="80"/>
      <c r="AE181" s="80"/>
      <c r="AF181" s="80"/>
      <c r="AG181" s="80"/>
      <c r="AH181" s="80"/>
    </row>
    <row r="182" spans="2:34" x14ac:dyDescent="0.2">
      <c r="B182" s="72" t="s">
        <v>192</v>
      </c>
      <c r="C182" s="79" t="s">
        <v>118</v>
      </c>
      <c r="D182" s="81"/>
      <c r="E182" s="81"/>
      <c r="F182" s="81">
        <f t="shared" ref="F182:Y182" si="69">F113/E113-1</f>
        <v>0.10593101295458096</v>
      </c>
      <c r="G182" s="81">
        <f t="shared" si="69"/>
        <v>9.4464908195379449E-2</v>
      </c>
      <c r="H182" s="81">
        <f t="shared" si="69"/>
        <v>6.0094390107091389E-2</v>
      </c>
      <c r="I182" s="81">
        <f t="shared" si="69"/>
        <v>7.1176736404015006E-2</v>
      </c>
      <c r="J182" s="81">
        <f t="shared" si="69"/>
        <v>1.5814363345970195E-2</v>
      </c>
      <c r="K182" s="81">
        <f t="shared" si="69"/>
        <v>8.6763177016376813E-2</v>
      </c>
      <c r="L182" s="81">
        <f t="shared" si="69"/>
        <v>-8.1585000061717872E-2</v>
      </c>
      <c r="M182" s="81">
        <f t="shared" si="69"/>
        <v>0.22880551044408359</v>
      </c>
      <c r="N182" s="81">
        <f t="shared" si="69"/>
        <v>3.074997789705769E-2</v>
      </c>
      <c r="O182" s="81">
        <f t="shared" si="69"/>
        <v>3.9077228626303917E-2</v>
      </c>
      <c r="P182" s="81">
        <f t="shared" si="69"/>
        <v>6.278362732353715E-3</v>
      </c>
      <c r="Q182" s="81">
        <f t="shared" si="69"/>
        <v>3.6296402792518778E-2</v>
      </c>
      <c r="R182" s="81">
        <f t="shared" si="69"/>
        <v>7.9623719818649796E-2</v>
      </c>
      <c r="S182" s="81">
        <f t="shared" si="69"/>
        <v>7.5610868741125214E-2</v>
      </c>
      <c r="T182" s="81">
        <f t="shared" si="69"/>
        <v>1.4940692268472944E-2</v>
      </c>
      <c r="U182" s="81">
        <f t="shared" si="69"/>
        <v>0.12856286734807276</v>
      </c>
      <c r="V182" s="81">
        <f t="shared" si="69"/>
        <v>9.5000743914092523E-2</v>
      </c>
      <c r="W182" s="81">
        <f t="shared" si="69"/>
        <v>6.2010378580331427E-2</v>
      </c>
      <c r="X182" s="81">
        <f t="shared" si="69"/>
        <v>9.985884287029867E-2</v>
      </c>
      <c r="Y182" s="81">
        <f t="shared" si="69"/>
        <v>0.43679397086888927</v>
      </c>
      <c r="Z182" s="81"/>
      <c r="AA182" s="81"/>
      <c r="AB182" s="81"/>
      <c r="AC182" s="81"/>
      <c r="AD182" s="81"/>
      <c r="AE182" s="81"/>
      <c r="AF182" s="81"/>
      <c r="AG182" s="81"/>
      <c r="AH182" s="81"/>
    </row>
    <row r="184" spans="2:34" x14ac:dyDescent="0.2">
      <c r="B184" s="20" t="s">
        <v>221</v>
      </c>
    </row>
    <row r="185" spans="2:34" x14ac:dyDescent="0.2">
      <c r="B185" s="20"/>
      <c r="E185" s="21"/>
    </row>
    <row r="186" spans="2:34" x14ac:dyDescent="0.2">
      <c r="B186" s="21" t="s">
        <v>209</v>
      </c>
      <c r="E186" s="21"/>
    </row>
    <row r="187" spans="2:34" x14ac:dyDescent="0.2">
      <c r="B187" s="85" t="s">
        <v>237</v>
      </c>
      <c r="C187" s="7" t="s">
        <v>123</v>
      </c>
      <c r="N187" s="24">
        <v>980.68</v>
      </c>
      <c r="O187" s="24">
        <v>918.39</v>
      </c>
      <c r="P187" s="24">
        <v>813.69</v>
      </c>
      <c r="Q187" s="24">
        <v>758.64</v>
      </c>
      <c r="R187" s="24">
        <v>550.95000000000005</v>
      </c>
      <c r="S187" s="24">
        <v>515.28</v>
      </c>
      <c r="T187" s="24">
        <v>391.21</v>
      </c>
      <c r="U187" s="24">
        <v>350.25</v>
      </c>
      <c r="V187" s="24">
        <v>311.95999999999998</v>
      </c>
      <c r="W187" s="24">
        <v>276.85000000000002</v>
      </c>
      <c r="X187" s="24">
        <v>183.29</v>
      </c>
      <c r="Y187" s="24">
        <v>64.959999999999994</v>
      </c>
      <c r="Z187" s="24">
        <v>66.73</v>
      </c>
      <c r="AA187" s="24">
        <v>90.17</v>
      </c>
      <c r="AB187" s="24"/>
      <c r="AC187" s="24"/>
      <c r="AD187" s="24"/>
      <c r="AE187" s="24"/>
      <c r="AF187" s="24"/>
      <c r="AG187" s="24"/>
      <c r="AH187" s="24"/>
    </row>
    <row r="188" spans="2:34" x14ac:dyDescent="0.2">
      <c r="B188" s="85" t="s">
        <v>28</v>
      </c>
      <c r="C188" s="7" t="s">
        <v>123</v>
      </c>
      <c r="N188" s="24">
        <v>6158.23</v>
      </c>
      <c r="O188" s="24">
        <v>5586.93</v>
      </c>
      <c r="P188" s="24">
        <v>5226.59</v>
      </c>
      <c r="Q188" s="24">
        <v>4870.21</v>
      </c>
      <c r="R188" s="24">
        <v>4479.24</v>
      </c>
      <c r="S188" s="24">
        <v>4166.96</v>
      </c>
      <c r="T188" s="24">
        <v>3785.99</v>
      </c>
      <c r="U188" s="24">
        <v>3347</v>
      </c>
      <c r="V188" s="24">
        <v>3039.79</v>
      </c>
      <c r="W188" s="24">
        <v>2758.56</v>
      </c>
      <c r="X188" s="24">
        <v>2021.1</v>
      </c>
      <c r="Y188" s="24">
        <v>1863.34</v>
      </c>
      <c r="Z188" s="24">
        <v>1482.56</v>
      </c>
      <c r="AA188" s="24">
        <v>1698.87</v>
      </c>
      <c r="AB188" s="24"/>
      <c r="AC188" s="24"/>
      <c r="AD188" s="24"/>
      <c r="AE188" s="24"/>
      <c r="AF188" s="24"/>
      <c r="AG188" s="24"/>
      <c r="AH188" s="24"/>
    </row>
    <row r="189" spans="2:34" x14ac:dyDescent="0.2">
      <c r="B189" s="85" t="s">
        <v>31</v>
      </c>
      <c r="C189" s="7" t="s">
        <v>123</v>
      </c>
      <c r="N189" s="24">
        <v>890.36</v>
      </c>
      <c r="O189" s="24">
        <v>758.38</v>
      </c>
      <c r="P189" s="24">
        <v>660.78</v>
      </c>
      <c r="Q189" s="24">
        <v>553.32000000000005</v>
      </c>
      <c r="R189" s="24">
        <v>455.94</v>
      </c>
      <c r="S189" s="24">
        <v>383.04</v>
      </c>
      <c r="T189" s="24">
        <v>327.58999999999997</v>
      </c>
      <c r="U189" s="24">
        <v>269.77999999999997</v>
      </c>
      <c r="V189" s="24">
        <v>224.77</v>
      </c>
      <c r="W189" s="24">
        <v>184.8</v>
      </c>
      <c r="X189" s="24">
        <v>161.76</v>
      </c>
      <c r="Y189" s="24">
        <v>122.41</v>
      </c>
      <c r="Z189" s="24">
        <v>96.68</v>
      </c>
      <c r="AA189" s="24"/>
      <c r="AB189" s="24"/>
      <c r="AC189" s="24"/>
      <c r="AD189" s="24"/>
      <c r="AE189" s="24"/>
      <c r="AF189" s="24"/>
      <c r="AG189" s="24"/>
      <c r="AH189" s="24"/>
    </row>
    <row r="190" spans="2:34" x14ac:dyDescent="0.2">
      <c r="B190" s="85" t="s">
        <v>223</v>
      </c>
      <c r="C190" s="7" t="s">
        <v>123</v>
      </c>
      <c r="N190" s="24">
        <v>1462.03</v>
      </c>
      <c r="O190" s="24">
        <v>1711.96</v>
      </c>
      <c r="P190" s="24">
        <v>1703.46</v>
      </c>
      <c r="Q190" s="24">
        <v>1403.91</v>
      </c>
      <c r="R190" s="24">
        <v>1518.61</v>
      </c>
      <c r="S190" s="24">
        <v>1685.92</v>
      </c>
      <c r="T190" s="24">
        <v>1791.95</v>
      </c>
      <c r="U190" s="24">
        <v>1798.37</v>
      </c>
      <c r="V190" s="24">
        <v>1910.41</v>
      </c>
      <c r="W190" s="24">
        <v>1986.67</v>
      </c>
      <c r="X190" s="24">
        <v>2194.65</v>
      </c>
      <c r="Y190" s="24">
        <v>2694.07</v>
      </c>
      <c r="Z190" s="24">
        <v>3211.54</v>
      </c>
      <c r="AA190" s="24">
        <v>2542.21</v>
      </c>
      <c r="AB190" s="24"/>
      <c r="AC190" s="24"/>
      <c r="AD190" s="24"/>
      <c r="AE190" s="24"/>
      <c r="AF190" s="24"/>
      <c r="AG190" s="24"/>
      <c r="AH190" s="24"/>
    </row>
    <row r="191" spans="2:34" x14ac:dyDescent="0.2">
      <c r="B191" s="88" t="s">
        <v>225</v>
      </c>
      <c r="C191" s="124" t="s">
        <v>123</v>
      </c>
      <c r="D191" s="66"/>
      <c r="E191" s="66"/>
      <c r="F191" s="66"/>
      <c r="G191" s="66"/>
      <c r="H191" s="66"/>
      <c r="I191" s="66"/>
      <c r="J191" s="66"/>
      <c r="K191" s="66"/>
      <c r="L191" s="66"/>
      <c r="M191" s="66"/>
      <c r="N191" s="87">
        <v>9491.2999999999993</v>
      </c>
      <c r="O191" s="87">
        <v>8975.66</v>
      </c>
      <c r="P191" s="87">
        <v>8404.5400000000009</v>
      </c>
      <c r="Q191" s="87">
        <v>7586.05</v>
      </c>
      <c r="R191" s="87">
        <v>7004.75</v>
      </c>
      <c r="S191" s="87">
        <v>6751.2</v>
      </c>
      <c r="T191" s="87">
        <v>6296.74</v>
      </c>
      <c r="U191" s="87">
        <v>5765.41</v>
      </c>
      <c r="V191" s="87">
        <v>5486.93</v>
      </c>
      <c r="W191" s="87">
        <v>5206.88</v>
      </c>
      <c r="X191" s="87">
        <v>4560.8</v>
      </c>
      <c r="Y191" s="87">
        <v>4774.78</v>
      </c>
      <c r="Z191" s="87">
        <v>4857.5</v>
      </c>
      <c r="AA191" s="89">
        <f>SUM(AA187:AA190)</f>
        <v>4331.25</v>
      </c>
      <c r="AB191" s="89"/>
      <c r="AC191" s="89"/>
      <c r="AD191" s="87"/>
      <c r="AE191" s="87"/>
      <c r="AF191" s="87"/>
      <c r="AG191" s="87"/>
      <c r="AH191" s="87"/>
    </row>
    <row r="192" spans="2:34" x14ac:dyDescent="0.2">
      <c r="B192" s="85" t="s">
        <v>237</v>
      </c>
      <c r="C192" s="7" t="s">
        <v>123</v>
      </c>
      <c r="N192" s="24"/>
      <c r="O192" s="24"/>
      <c r="P192" s="24"/>
      <c r="Q192" s="24"/>
      <c r="R192" s="24"/>
      <c r="S192" s="24"/>
      <c r="T192" s="24"/>
      <c r="U192" s="24"/>
      <c r="V192" s="24"/>
      <c r="W192" s="24"/>
      <c r="X192" s="24">
        <v>49.65</v>
      </c>
      <c r="Y192" s="24">
        <v>45.56</v>
      </c>
      <c r="Z192" s="24">
        <v>37.67</v>
      </c>
      <c r="AA192" s="24"/>
      <c r="AB192" s="24"/>
      <c r="AC192" s="24"/>
      <c r="AD192" s="24"/>
      <c r="AE192" s="24"/>
      <c r="AF192" s="24"/>
      <c r="AG192" s="24"/>
      <c r="AH192" s="24"/>
    </row>
    <row r="193" spans="2:34" x14ac:dyDescent="0.2">
      <c r="B193" s="85" t="s">
        <v>28</v>
      </c>
      <c r="C193" s="7" t="s">
        <v>123</v>
      </c>
      <c r="N193" s="24"/>
      <c r="O193" s="24"/>
      <c r="P193" s="24"/>
      <c r="Q193" s="24"/>
      <c r="R193" s="24"/>
      <c r="S193" s="24"/>
      <c r="T193" s="24"/>
      <c r="U193" s="24"/>
      <c r="V193" s="24"/>
      <c r="W193" s="24"/>
      <c r="X193" s="24">
        <v>1385.27</v>
      </c>
      <c r="Y193" s="24">
        <v>1494.03</v>
      </c>
      <c r="Z193" s="24">
        <v>1209.9100000000001</v>
      </c>
      <c r="AA193" s="24"/>
      <c r="AB193" s="24"/>
      <c r="AC193" s="24"/>
      <c r="AD193" s="24"/>
      <c r="AE193" s="24"/>
      <c r="AF193" s="24"/>
      <c r="AG193" s="24"/>
      <c r="AH193" s="24"/>
    </row>
    <row r="194" spans="2:34" x14ac:dyDescent="0.2">
      <c r="B194" s="85" t="s">
        <v>31</v>
      </c>
      <c r="C194" s="7" t="s">
        <v>123</v>
      </c>
      <c r="N194" s="24"/>
      <c r="O194" s="24"/>
      <c r="P194" s="24"/>
      <c r="Q194" s="24"/>
      <c r="R194" s="24"/>
      <c r="S194" s="24"/>
      <c r="T194" s="24"/>
      <c r="U194" s="24"/>
      <c r="V194" s="24"/>
      <c r="W194" s="24"/>
      <c r="X194" s="24">
        <v>53.07</v>
      </c>
      <c r="Y194" s="24">
        <v>35.29</v>
      </c>
      <c r="Z194" s="24">
        <v>29.9</v>
      </c>
      <c r="AA194" s="24"/>
      <c r="AB194" s="24"/>
      <c r="AC194" s="24"/>
      <c r="AD194" s="24"/>
      <c r="AE194" s="24"/>
      <c r="AF194" s="24"/>
      <c r="AG194" s="24"/>
      <c r="AH194" s="24"/>
    </row>
    <row r="195" spans="2:34" x14ac:dyDescent="0.2">
      <c r="B195" s="85" t="s">
        <v>223</v>
      </c>
      <c r="C195" s="7" t="s">
        <v>123</v>
      </c>
      <c r="N195" s="24"/>
      <c r="O195" s="24"/>
      <c r="P195" s="24"/>
      <c r="Q195" s="24"/>
      <c r="R195" s="24"/>
      <c r="S195" s="24"/>
      <c r="T195" s="24"/>
      <c r="U195" s="24"/>
      <c r="V195" s="24"/>
      <c r="W195" s="24"/>
      <c r="X195" s="24">
        <v>2849.38</v>
      </c>
      <c r="Y195" s="24">
        <v>3678.51</v>
      </c>
      <c r="Z195" s="24">
        <v>3327.37</v>
      </c>
      <c r="AA195" s="24"/>
      <c r="AB195" s="24"/>
      <c r="AC195" s="24"/>
      <c r="AD195" s="24"/>
      <c r="AE195" s="24"/>
      <c r="AF195" s="24"/>
      <c r="AG195" s="24"/>
      <c r="AH195" s="24"/>
    </row>
    <row r="196" spans="2:34" x14ac:dyDescent="0.2">
      <c r="B196" s="88" t="s">
        <v>226</v>
      </c>
      <c r="C196" s="124" t="s">
        <v>123</v>
      </c>
      <c r="D196" s="66"/>
      <c r="E196" s="66"/>
      <c r="F196" s="66"/>
      <c r="G196" s="66"/>
      <c r="H196" s="66"/>
      <c r="I196" s="66"/>
      <c r="J196" s="66"/>
      <c r="K196" s="66"/>
      <c r="L196" s="66"/>
      <c r="M196" s="66"/>
      <c r="N196" s="87">
        <v>581.01</v>
      </c>
      <c r="O196" s="87">
        <v>1238.8800000000001</v>
      </c>
      <c r="P196" s="87">
        <v>1868.12</v>
      </c>
      <c r="Q196" s="87">
        <v>2227.38</v>
      </c>
      <c r="R196" s="87">
        <v>2644.17</v>
      </c>
      <c r="S196" s="87">
        <v>2986.94</v>
      </c>
      <c r="T196" s="87">
        <v>3509.09</v>
      </c>
      <c r="U196" s="87">
        <v>3928.09</v>
      </c>
      <c r="V196" s="87">
        <v>4375.37</v>
      </c>
      <c r="W196" s="87">
        <v>4636.8999999999996</v>
      </c>
      <c r="X196" s="87">
        <v>4337.37</v>
      </c>
      <c r="Y196" s="87">
        <v>5253.39</v>
      </c>
      <c r="Z196" s="87">
        <v>4604.8500000000004</v>
      </c>
      <c r="AA196" s="87">
        <v>5194.16</v>
      </c>
      <c r="AB196" s="87"/>
      <c r="AC196" s="87"/>
      <c r="AD196" s="87"/>
      <c r="AE196" s="87"/>
      <c r="AF196" s="87"/>
      <c r="AG196" s="87"/>
      <c r="AH196" s="87"/>
    </row>
    <row r="197" spans="2:34" x14ac:dyDescent="0.2">
      <c r="B197" s="86" t="s">
        <v>227</v>
      </c>
      <c r="C197" s="124" t="s">
        <v>123</v>
      </c>
      <c r="D197" s="66"/>
      <c r="E197" s="66"/>
      <c r="F197" s="66"/>
      <c r="G197" s="66"/>
      <c r="H197" s="66"/>
      <c r="I197" s="66"/>
      <c r="J197" s="66"/>
      <c r="K197" s="66"/>
      <c r="L197" s="66"/>
      <c r="M197" s="66"/>
      <c r="N197" s="87">
        <v>10072.31</v>
      </c>
      <c r="O197" s="87">
        <v>10214.530000000001</v>
      </c>
      <c r="P197" s="87">
        <v>10272.65</v>
      </c>
      <c r="Q197" s="87">
        <v>9813.44</v>
      </c>
      <c r="R197" s="87">
        <v>9648.93</v>
      </c>
      <c r="S197" s="87">
        <v>9738.14</v>
      </c>
      <c r="T197" s="87">
        <v>9805.83</v>
      </c>
      <c r="U197" s="87">
        <v>9693.5</v>
      </c>
      <c r="V197" s="87">
        <v>9862.2999999999993</v>
      </c>
      <c r="W197" s="87">
        <v>9843.7800000000007</v>
      </c>
      <c r="X197" s="87">
        <v>8898.17</v>
      </c>
      <c r="Y197" s="87">
        <v>9998.17</v>
      </c>
      <c r="Z197" s="87">
        <v>9462.35</v>
      </c>
      <c r="AA197" s="87">
        <v>9525.4</v>
      </c>
      <c r="AB197" s="87"/>
      <c r="AC197" s="87"/>
      <c r="AD197" s="87"/>
      <c r="AE197" s="87"/>
      <c r="AF197" s="87"/>
      <c r="AG197" s="87"/>
      <c r="AH197" s="87"/>
    </row>
    <row r="198" spans="2:34" x14ac:dyDescent="0.2">
      <c r="B198" s="22" t="s">
        <v>224</v>
      </c>
      <c r="C198" s="7" t="s">
        <v>123</v>
      </c>
      <c r="D198" s="24">
        <v>1467</v>
      </c>
      <c r="E198" s="24">
        <v>1399</v>
      </c>
      <c r="F198" s="24">
        <v>1842</v>
      </c>
      <c r="G198" s="24">
        <v>2434.79</v>
      </c>
      <c r="H198" s="24">
        <v>2742.16</v>
      </c>
      <c r="I198" s="24">
        <v>2936.6</v>
      </c>
      <c r="J198" s="24">
        <v>2881.55</v>
      </c>
      <c r="K198" s="24">
        <v>3747.6</v>
      </c>
      <c r="L198" s="24">
        <v>3907.33</v>
      </c>
      <c r="M198" s="24">
        <v>4536.46</v>
      </c>
      <c r="N198" s="24">
        <v>4319.1400000000003</v>
      </c>
      <c r="O198" s="24">
        <v>4173.26</v>
      </c>
      <c r="P198" s="24">
        <v>4103.84</v>
      </c>
      <c r="Q198" s="24">
        <v>4648.21</v>
      </c>
      <c r="R198" s="23">
        <f>5949.75+532.58</f>
        <v>6482.33</v>
      </c>
      <c r="S198" s="23">
        <f>5575.76+584.37</f>
        <v>6160.13</v>
      </c>
      <c r="T198" s="24">
        <v>5912.5</v>
      </c>
      <c r="U198" s="24">
        <v>8370.0300000000007</v>
      </c>
      <c r="V198" s="24">
        <v>9691.92</v>
      </c>
      <c r="W198" s="24">
        <v>11100.41</v>
      </c>
      <c r="X198" s="24">
        <v>12189.54</v>
      </c>
      <c r="Y198" s="24">
        <v>17234.98</v>
      </c>
      <c r="Z198" s="24">
        <f>19114.08+567.52</f>
        <v>19681.600000000002</v>
      </c>
      <c r="AA198" s="24">
        <v>16839.79</v>
      </c>
      <c r="AB198" s="24"/>
      <c r="AC198" s="24"/>
      <c r="AD198" s="24"/>
      <c r="AE198" s="24"/>
      <c r="AF198" s="94" t="s">
        <v>233</v>
      </c>
      <c r="AG198" s="24"/>
      <c r="AH198" s="24"/>
    </row>
    <row r="199" spans="2:34" x14ac:dyDescent="0.2">
      <c r="B199" s="68" t="s">
        <v>192</v>
      </c>
      <c r="C199" s="79" t="s">
        <v>123</v>
      </c>
      <c r="D199" s="67"/>
      <c r="E199" s="67"/>
      <c r="F199" s="67"/>
      <c r="G199" s="67"/>
      <c r="H199" s="67"/>
      <c r="I199" s="67"/>
      <c r="J199" s="67"/>
      <c r="K199" s="67"/>
      <c r="L199" s="67"/>
      <c r="M199" s="67"/>
      <c r="N199" s="69">
        <v>14391.45</v>
      </c>
      <c r="O199" s="69">
        <v>14387.79</v>
      </c>
      <c r="P199" s="69">
        <v>14376.49</v>
      </c>
      <c r="Q199" s="69">
        <v>14461.65</v>
      </c>
      <c r="R199" s="95">
        <v>16529.07</v>
      </c>
      <c r="S199" s="69">
        <v>15898.27</v>
      </c>
      <c r="T199" s="69">
        <v>15718.33</v>
      </c>
      <c r="U199" s="69">
        <v>18063.53</v>
      </c>
      <c r="V199" s="69">
        <v>19554.22</v>
      </c>
      <c r="W199" s="69">
        <v>20944.189999999999</v>
      </c>
      <c r="X199" s="69">
        <v>21087.71</v>
      </c>
      <c r="Y199" s="95">
        <v>29055.360000000001</v>
      </c>
      <c r="Z199" s="69">
        <v>29143.95</v>
      </c>
      <c r="AA199" s="69">
        <v>26365.200000000001</v>
      </c>
      <c r="AB199" s="69"/>
      <c r="AC199" s="69"/>
      <c r="AD199" s="69"/>
      <c r="AE199" s="69"/>
      <c r="AF199" s="69"/>
      <c r="AG199" s="69"/>
      <c r="AH199" s="69"/>
    </row>
    <row r="200" spans="2:34" x14ac:dyDescent="0.2">
      <c r="B200" s="22" t="s">
        <v>235</v>
      </c>
      <c r="C200" s="7" t="s">
        <v>123</v>
      </c>
      <c r="D200" s="24">
        <v>397</v>
      </c>
      <c r="E200" s="24">
        <v>518</v>
      </c>
      <c r="F200" s="24">
        <v>625</v>
      </c>
      <c r="G200" s="24">
        <v>1389.28</v>
      </c>
      <c r="H200" s="24">
        <v>1742.73</v>
      </c>
      <c r="I200" s="24">
        <v>1983.6</v>
      </c>
      <c r="J200" s="24">
        <v>2029.31</v>
      </c>
      <c r="K200" s="24">
        <v>2976.3</v>
      </c>
      <c r="L200" s="24">
        <v>3266.7</v>
      </c>
      <c r="M200" s="24">
        <v>3834.27</v>
      </c>
      <c r="N200" s="24">
        <v>3710.39</v>
      </c>
      <c r="O200" s="24">
        <v>3600.96</v>
      </c>
      <c r="P200" s="24">
        <v>3676.96</v>
      </c>
      <c r="Q200" s="24">
        <v>4261.45</v>
      </c>
      <c r="R200" s="24">
        <v>5625.72</v>
      </c>
      <c r="S200" s="24">
        <v>5935.55</v>
      </c>
      <c r="T200" s="24"/>
      <c r="U200" s="24"/>
      <c r="V200" s="24"/>
      <c r="W200" s="24"/>
      <c r="X200" s="24"/>
      <c r="Y200" s="24"/>
      <c r="Z200" s="24"/>
      <c r="AA200" s="24"/>
      <c r="AB200" s="24"/>
      <c r="AC200" s="24"/>
      <c r="AD200" s="24"/>
      <c r="AE200" s="24"/>
      <c r="AF200" s="24"/>
      <c r="AG200" s="24"/>
      <c r="AH200" s="24"/>
    </row>
    <row r="201" spans="2:34" x14ac:dyDescent="0.2">
      <c r="B201" s="22" t="s">
        <v>236</v>
      </c>
      <c r="C201" s="7" t="s">
        <v>123</v>
      </c>
      <c r="D201" s="70">
        <f t="shared" ref="D201:Q201" si="70">D198-D200</f>
        <v>1070</v>
      </c>
      <c r="E201" s="70">
        <f t="shared" si="70"/>
        <v>881</v>
      </c>
      <c r="F201" s="70">
        <f t="shared" si="70"/>
        <v>1217</v>
      </c>
      <c r="G201" s="70">
        <f t="shared" si="70"/>
        <v>1045.51</v>
      </c>
      <c r="H201" s="70">
        <f t="shared" si="70"/>
        <v>999.42999999999984</v>
      </c>
      <c r="I201" s="70">
        <f t="shared" si="70"/>
        <v>953</v>
      </c>
      <c r="J201" s="70">
        <f t="shared" si="70"/>
        <v>852.24000000000024</v>
      </c>
      <c r="K201" s="70">
        <f t="shared" si="70"/>
        <v>771.29999999999973</v>
      </c>
      <c r="L201" s="70">
        <f t="shared" si="70"/>
        <v>640.63000000000011</v>
      </c>
      <c r="M201" s="70">
        <f t="shared" si="70"/>
        <v>702.19</v>
      </c>
      <c r="N201" s="70">
        <f t="shared" si="70"/>
        <v>608.75000000000045</v>
      </c>
      <c r="O201" s="70">
        <f t="shared" si="70"/>
        <v>572.30000000000018</v>
      </c>
      <c r="P201" s="70">
        <f t="shared" si="70"/>
        <v>426.88000000000011</v>
      </c>
      <c r="Q201" s="70">
        <f t="shared" si="70"/>
        <v>386.76000000000022</v>
      </c>
      <c r="R201" s="23">
        <f>5949.79-R200</f>
        <v>324.06999999999971</v>
      </c>
      <c r="S201" s="70">
        <f>S198-S200</f>
        <v>224.57999999999993</v>
      </c>
      <c r="T201" s="87"/>
      <c r="U201" s="87"/>
      <c r="V201" s="87"/>
      <c r="W201" s="87"/>
      <c r="X201" s="87"/>
      <c r="Y201" s="87"/>
      <c r="Z201" s="87"/>
      <c r="AA201" s="87"/>
      <c r="AB201" s="87"/>
      <c r="AC201" s="87"/>
      <c r="AD201" s="87"/>
      <c r="AE201" s="87"/>
      <c r="AF201" s="87"/>
      <c r="AG201" s="87"/>
      <c r="AH201" s="87"/>
    </row>
    <row r="202" spans="2:34" x14ac:dyDescent="0.2">
      <c r="Y202" s="12" t="s">
        <v>234</v>
      </c>
    </row>
    <row r="203" spans="2:34" x14ac:dyDescent="0.2">
      <c r="B203" s="21" t="s">
        <v>208</v>
      </c>
      <c r="E203" s="21"/>
    </row>
    <row r="204" spans="2:34" x14ac:dyDescent="0.2">
      <c r="B204" s="85" t="s">
        <v>237</v>
      </c>
      <c r="C204" s="7" t="s">
        <v>123</v>
      </c>
      <c r="D204" s="24"/>
      <c r="E204" s="24"/>
      <c r="F204" s="24"/>
      <c r="G204" s="24"/>
      <c r="H204" s="24"/>
      <c r="I204" s="24"/>
      <c r="J204" s="24"/>
      <c r="K204" s="24"/>
      <c r="L204" s="24"/>
      <c r="M204" s="24"/>
      <c r="N204" s="24">
        <v>142.74</v>
      </c>
      <c r="O204" s="24">
        <v>123.46</v>
      </c>
      <c r="P204" s="24">
        <v>116.97</v>
      </c>
      <c r="Q204" s="24">
        <v>96.47</v>
      </c>
      <c r="R204" s="24">
        <v>69.34</v>
      </c>
      <c r="S204" s="24">
        <v>65.989999999999995</v>
      </c>
      <c r="T204" s="24">
        <v>44.86</v>
      </c>
      <c r="U204" s="24">
        <v>30.38</v>
      </c>
      <c r="V204" s="24">
        <v>27.38</v>
      </c>
      <c r="W204" s="24">
        <v>21.82</v>
      </c>
      <c r="X204" s="24">
        <v>13.88</v>
      </c>
      <c r="Y204" s="24">
        <v>5.96</v>
      </c>
    </row>
    <row r="205" spans="2:34" x14ac:dyDescent="0.2">
      <c r="B205" s="85" t="s">
        <v>28</v>
      </c>
      <c r="C205" s="7" t="s">
        <v>123</v>
      </c>
      <c r="D205" s="24"/>
      <c r="E205" s="24"/>
      <c r="F205" s="24"/>
      <c r="G205" s="24"/>
      <c r="H205" s="24"/>
      <c r="I205" s="24"/>
      <c r="J205" s="24"/>
      <c r="K205" s="24"/>
      <c r="L205" s="24"/>
      <c r="M205" s="24"/>
      <c r="N205" s="24">
        <v>1335.17</v>
      </c>
      <c r="O205" s="24">
        <v>1249.8900000000001</v>
      </c>
      <c r="P205" s="24">
        <v>1167.01</v>
      </c>
      <c r="Q205" s="24">
        <v>1054.01</v>
      </c>
      <c r="R205" s="24">
        <v>899.44</v>
      </c>
      <c r="S205" s="24">
        <v>870.27</v>
      </c>
      <c r="T205" s="24">
        <v>670.12</v>
      </c>
      <c r="U205" s="24">
        <v>545.73</v>
      </c>
      <c r="V205" s="24">
        <v>467.04</v>
      </c>
      <c r="W205" s="24">
        <v>389.87</v>
      </c>
      <c r="X205" s="24">
        <v>277.94</v>
      </c>
      <c r="Y205" s="24">
        <v>270.60000000000002</v>
      </c>
    </row>
    <row r="206" spans="2:34" x14ac:dyDescent="0.2">
      <c r="B206" s="85" t="s">
        <v>31</v>
      </c>
      <c r="C206" s="7" t="s">
        <v>123</v>
      </c>
      <c r="D206" s="24"/>
      <c r="E206" s="24"/>
      <c r="F206" s="24"/>
      <c r="G206" s="24"/>
      <c r="H206" s="24"/>
      <c r="I206" s="24"/>
      <c r="J206" s="24"/>
      <c r="K206" s="24"/>
      <c r="L206" s="24"/>
      <c r="M206" s="24"/>
      <c r="N206" s="24">
        <v>180.21</v>
      </c>
      <c r="O206" s="24">
        <v>148.96</v>
      </c>
      <c r="P206" s="24">
        <v>125.84</v>
      </c>
      <c r="Q206" s="24">
        <v>98.1</v>
      </c>
      <c r="R206" s="24">
        <v>73.2</v>
      </c>
      <c r="S206" s="24">
        <v>70.430000000000007</v>
      </c>
      <c r="T206" s="24">
        <v>43.19</v>
      </c>
      <c r="U206" s="24">
        <v>30.92</v>
      </c>
      <c r="V206" s="24">
        <v>23.87</v>
      </c>
      <c r="W206" s="24">
        <v>17.36</v>
      </c>
      <c r="X206" s="24">
        <v>14.41</v>
      </c>
      <c r="Y206" s="24">
        <v>10.82</v>
      </c>
    </row>
    <row r="207" spans="2:34" x14ac:dyDescent="0.2">
      <c r="B207" s="85" t="s">
        <v>223</v>
      </c>
      <c r="C207" s="7" t="s">
        <v>123</v>
      </c>
      <c r="D207" s="24"/>
      <c r="E207" s="24"/>
      <c r="F207" s="24"/>
      <c r="G207" s="24"/>
      <c r="H207" s="24"/>
      <c r="I207" s="24"/>
      <c r="J207" s="24"/>
      <c r="K207" s="24"/>
      <c r="L207" s="24"/>
      <c r="M207" s="24"/>
      <c r="N207" s="24">
        <v>334.23</v>
      </c>
      <c r="O207" s="24">
        <v>420.33</v>
      </c>
      <c r="P207" s="24">
        <v>426.77</v>
      </c>
      <c r="Q207" s="24">
        <v>367.01</v>
      </c>
      <c r="R207" s="24">
        <v>373.59</v>
      </c>
      <c r="S207" s="24">
        <v>364.76</v>
      </c>
      <c r="T207" s="24">
        <v>334.71</v>
      </c>
      <c r="U207" s="24">
        <v>306.02999999999997</v>
      </c>
      <c r="V207" s="24">
        <v>315.52</v>
      </c>
      <c r="W207" s="24">
        <v>298.42</v>
      </c>
      <c r="X207" s="24">
        <v>320.76</v>
      </c>
      <c r="Y207" s="24">
        <v>368.42</v>
      </c>
    </row>
    <row r="208" spans="2:34" x14ac:dyDescent="0.2">
      <c r="B208" s="88" t="s">
        <v>225</v>
      </c>
      <c r="C208" s="124" t="s">
        <v>123</v>
      </c>
      <c r="D208" s="87"/>
      <c r="E208" s="87"/>
      <c r="F208" s="87"/>
      <c r="G208" s="87"/>
      <c r="H208" s="87"/>
      <c r="I208" s="87"/>
      <c r="J208" s="87"/>
      <c r="K208" s="87"/>
      <c r="L208" s="87"/>
      <c r="M208" s="87"/>
      <c r="N208" s="87">
        <v>1992.37</v>
      </c>
      <c r="O208" s="87">
        <v>1962.78</v>
      </c>
      <c r="P208" s="87">
        <v>1836.62</v>
      </c>
      <c r="Q208" s="87">
        <v>1615.6</v>
      </c>
      <c r="R208" s="87">
        <v>1415.57</v>
      </c>
      <c r="S208" s="87">
        <v>1371.46</v>
      </c>
      <c r="T208" s="87">
        <v>1092.8800000000001</v>
      </c>
      <c r="U208" s="87">
        <v>913.06</v>
      </c>
      <c r="V208" s="87">
        <v>833.81</v>
      </c>
      <c r="W208" s="87">
        <v>727.47</v>
      </c>
      <c r="X208" s="87">
        <v>626.99</v>
      </c>
      <c r="Y208" s="87">
        <v>655.8</v>
      </c>
      <c r="Z208" s="66"/>
      <c r="AA208" s="66"/>
      <c r="AB208" s="66"/>
      <c r="AC208" s="66"/>
      <c r="AD208" s="66"/>
      <c r="AE208" s="66"/>
      <c r="AF208" s="66"/>
      <c r="AG208" s="66"/>
      <c r="AH208" s="66"/>
    </row>
    <row r="209" spans="2:34" x14ac:dyDescent="0.2">
      <c r="B209" s="85" t="s">
        <v>237</v>
      </c>
      <c r="C209" s="7" t="s">
        <v>123</v>
      </c>
      <c r="D209" s="24"/>
      <c r="E209" s="24"/>
      <c r="F209" s="24"/>
      <c r="G209" s="24"/>
      <c r="H209" s="24"/>
      <c r="I209" s="24"/>
      <c r="J209" s="24"/>
      <c r="K209" s="24"/>
      <c r="L209" s="24"/>
      <c r="M209" s="24"/>
      <c r="N209" s="24"/>
      <c r="O209" s="24"/>
      <c r="P209" s="24"/>
      <c r="Q209" s="24"/>
      <c r="R209" s="24"/>
      <c r="S209" s="24"/>
      <c r="T209" s="24"/>
      <c r="U209" s="24"/>
      <c r="V209" s="24"/>
      <c r="W209" s="24"/>
      <c r="X209" s="24">
        <v>4.17</v>
      </c>
      <c r="Y209" s="24">
        <v>5.26</v>
      </c>
    </row>
    <row r="210" spans="2:34" x14ac:dyDescent="0.2">
      <c r="B210" s="85" t="s">
        <v>28</v>
      </c>
      <c r="C210" s="7" t="s">
        <v>123</v>
      </c>
      <c r="D210" s="24"/>
      <c r="E210" s="24"/>
      <c r="F210" s="24"/>
      <c r="G210" s="24"/>
      <c r="H210" s="24"/>
      <c r="I210" s="24"/>
      <c r="J210" s="24"/>
      <c r="K210" s="24"/>
      <c r="L210" s="24"/>
      <c r="M210" s="24"/>
      <c r="N210" s="24"/>
      <c r="O210" s="24"/>
      <c r="P210" s="24"/>
      <c r="Q210" s="24"/>
      <c r="R210" s="24"/>
      <c r="S210" s="24"/>
      <c r="T210" s="24"/>
      <c r="U210" s="24"/>
      <c r="V210" s="24"/>
      <c r="W210" s="24"/>
      <c r="X210" s="24">
        <v>231.72</v>
      </c>
      <c r="Y210" s="24">
        <v>256.98</v>
      </c>
    </row>
    <row r="211" spans="2:34" x14ac:dyDescent="0.2">
      <c r="B211" s="85" t="s">
        <v>31</v>
      </c>
      <c r="C211" s="7" t="s">
        <v>123</v>
      </c>
      <c r="D211" s="24"/>
      <c r="E211" s="24"/>
      <c r="F211" s="24"/>
      <c r="G211" s="24"/>
      <c r="H211" s="24"/>
      <c r="I211" s="24"/>
      <c r="J211" s="24"/>
      <c r="K211" s="24"/>
      <c r="L211" s="24"/>
      <c r="M211" s="24"/>
      <c r="N211" s="24"/>
      <c r="O211" s="24"/>
      <c r="P211" s="24"/>
      <c r="Q211" s="24"/>
      <c r="R211" s="24"/>
      <c r="S211" s="24"/>
      <c r="T211" s="24"/>
      <c r="U211" s="24"/>
      <c r="V211" s="24"/>
      <c r="W211" s="24"/>
      <c r="X211" s="24">
        <v>5.96</v>
      </c>
      <c r="Y211" s="24">
        <v>3.06</v>
      </c>
    </row>
    <row r="212" spans="2:34" x14ac:dyDescent="0.2">
      <c r="B212" s="85" t="s">
        <v>223</v>
      </c>
      <c r="C212" s="7" t="s">
        <v>123</v>
      </c>
      <c r="D212" s="24"/>
      <c r="E212" s="24"/>
      <c r="F212" s="24"/>
      <c r="G212" s="24"/>
      <c r="H212" s="24"/>
      <c r="I212" s="24"/>
      <c r="J212" s="24"/>
      <c r="K212" s="24"/>
      <c r="L212" s="24"/>
      <c r="M212" s="24"/>
      <c r="N212" s="24"/>
      <c r="O212" s="24"/>
      <c r="P212" s="24"/>
      <c r="Q212" s="24"/>
      <c r="R212" s="24"/>
      <c r="S212" s="24"/>
      <c r="T212" s="24"/>
      <c r="U212" s="24"/>
      <c r="V212" s="24"/>
      <c r="W212" s="24"/>
      <c r="X212" s="24">
        <v>369.46</v>
      </c>
      <c r="Y212" s="24">
        <v>443.68</v>
      </c>
    </row>
    <row r="213" spans="2:34" x14ac:dyDescent="0.2">
      <c r="B213" s="88" t="s">
        <v>226</v>
      </c>
      <c r="C213" s="124" t="s">
        <v>123</v>
      </c>
      <c r="D213" s="87"/>
      <c r="E213" s="87"/>
      <c r="F213" s="87"/>
      <c r="G213" s="87"/>
      <c r="H213" s="87"/>
      <c r="I213" s="87"/>
      <c r="J213" s="87"/>
      <c r="K213" s="87"/>
      <c r="L213" s="87"/>
      <c r="M213" s="87"/>
      <c r="N213" s="87">
        <v>13.26</v>
      </c>
      <c r="O213" s="87">
        <v>27.85</v>
      </c>
      <c r="P213" s="87">
        <v>113.78</v>
      </c>
      <c r="Q213" s="87">
        <v>205.34</v>
      </c>
      <c r="R213" s="87">
        <v>415.1</v>
      </c>
      <c r="S213" s="87">
        <v>435.84</v>
      </c>
      <c r="T213" s="87">
        <v>667.63</v>
      </c>
      <c r="U213" s="87">
        <v>753.89</v>
      </c>
      <c r="V213" s="87">
        <v>810.73</v>
      </c>
      <c r="W213" s="87">
        <v>741.05</v>
      </c>
      <c r="X213" s="87">
        <v>611.30999999999995</v>
      </c>
      <c r="Y213" s="87">
        <v>708.98</v>
      </c>
      <c r="Z213" s="66"/>
      <c r="AA213" s="66"/>
      <c r="AB213" s="66"/>
      <c r="AC213" s="66"/>
      <c r="AD213" s="66"/>
      <c r="AE213" s="66"/>
      <c r="AF213" s="66"/>
      <c r="AG213" s="66"/>
      <c r="AH213" s="66"/>
    </row>
    <row r="214" spans="2:34" x14ac:dyDescent="0.2">
      <c r="B214" s="86" t="s">
        <v>227</v>
      </c>
      <c r="C214" s="124" t="s">
        <v>123</v>
      </c>
      <c r="D214" s="87"/>
      <c r="E214" s="87"/>
      <c r="F214" s="87"/>
      <c r="G214" s="87"/>
      <c r="H214" s="87"/>
      <c r="I214" s="87"/>
      <c r="J214" s="87"/>
      <c r="K214" s="87"/>
      <c r="L214" s="87"/>
      <c r="M214" s="87"/>
      <c r="N214" s="87">
        <v>2005.63</v>
      </c>
      <c r="O214" s="87">
        <v>1990.63</v>
      </c>
      <c r="P214" s="87">
        <v>1950.38</v>
      </c>
      <c r="Q214" s="87">
        <v>1820.94</v>
      </c>
      <c r="R214" s="87">
        <v>1830.67</v>
      </c>
      <c r="S214" s="87">
        <v>1807.3</v>
      </c>
      <c r="T214" s="87">
        <v>1760.51</v>
      </c>
      <c r="U214" s="87">
        <v>1666.95</v>
      </c>
      <c r="V214" s="87">
        <v>1644.54</v>
      </c>
      <c r="W214" s="87">
        <v>1468.52</v>
      </c>
      <c r="X214" s="87">
        <v>1238.3</v>
      </c>
      <c r="Y214" s="89">
        <f>Y208+Y213</f>
        <v>1364.78</v>
      </c>
      <c r="Z214" s="66"/>
      <c r="AA214" s="66"/>
      <c r="AB214" s="66"/>
      <c r="AC214" s="66"/>
      <c r="AD214" s="66"/>
      <c r="AE214" s="66"/>
      <c r="AF214" s="66"/>
      <c r="AG214" s="66"/>
      <c r="AH214" s="66"/>
    </row>
    <row r="215" spans="2:34" x14ac:dyDescent="0.2">
      <c r="B215" s="22" t="s">
        <v>224</v>
      </c>
      <c r="C215" s="7" t="s">
        <v>123</v>
      </c>
      <c r="D215" s="24"/>
      <c r="E215" s="24"/>
      <c r="F215" s="24"/>
      <c r="G215" s="24"/>
      <c r="H215" s="24"/>
      <c r="I215" s="24"/>
      <c r="J215" s="24"/>
      <c r="K215" s="24"/>
      <c r="L215" s="24"/>
      <c r="M215" s="24"/>
      <c r="N215" s="24">
        <v>331.66</v>
      </c>
      <c r="O215" s="24">
        <v>361.81</v>
      </c>
      <c r="P215" s="24">
        <v>359.99</v>
      </c>
      <c r="Q215" s="24">
        <v>494.76</v>
      </c>
      <c r="R215" s="24">
        <v>532.79999999999995</v>
      </c>
      <c r="S215" s="24">
        <v>649.67999999999995</v>
      </c>
      <c r="T215" s="94"/>
      <c r="U215" s="94"/>
      <c r="V215" s="94"/>
      <c r="W215" s="94"/>
      <c r="X215" s="24">
        <v>2209.37</v>
      </c>
      <c r="Y215" s="23">
        <f>2100.29+482.86</f>
        <v>2583.15</v>
      </c>
    </row>
    <row r="216" spans="2:34" x14ac:dyDescent="0.2">
      <c r="B216" s="68" t="s">
        <v>192</v>
      </c>
      <c r="C216" s="79" t="s">
        <v>123</v>
      </c>
      <c r="D216" s="69"/>
      <c r="E216" s="69"/>
      <c r="F216" s="69"/>
      <c r="G216" s="69"/>
      <c r="H216" s="69"/>
      <c r="I216" s="69"/>
      <c r="J216" s="69"/>
      <c r="K216" s="69"/>
      <c r="L216" s="69"/>
      <c r="M216" s="69"/>
      <c r="N216" s="69">
        <v>2337.29</v>
      </c>
      <c r="O216" s="69">
        <v>2352.4499999999998</v>
      </c>
      <c r="P216" s="69">
        <v>2310.37</v>
      </c>
      <c r="Q216" s="69">
        <v>2315.6999999999998</v>
      </c>
      <c r="R216" s="69">
        <v>2363.4699999999998</v>
      </c>
      <c r="S216" s="69">
        <v>2456.98</v>
      </c>
      <c r="T216" s="69">
        <v>1760.51</v>
      </c>
      <c r="U216" s="69">
        <v>1666.95</v>
      </c>
      <c r="V216" s="69">
        <v>1644.54</v>
      </c>
      <c r="W216" s="69">
        <v>1468.52</v>
      </c>
      <c r="X216" s="69">
        <v>3447.67</v>
      </c>
      <c r="Y216" s="69">
        <v>3947.93</v>
      </c>
      <c r="Z216" s="67"/>
      <c r="AA216" s="67"/>
      <c r="AB216" s="67"/>
      <c r="AC216" s="67"/>
      <c r="AD216" s="67"/>
      <c r="AE216" s="67"/>
      <c r="AF216" s="67"/>
      <c r="AG216" s="67"/>
      <c r="AH216" s="67"/>
    </row>
    <row r="218" spans="2:34" x14ac:dyDescent="0.2">
      <c r="Y218" s="65"/>
    </row>
    <row r="219" spans="2:34" x14ac:dyDescent="0.2">
      <c r="B219" s="21" t="s">
        <v>206</v>
      </c>
      <c r="E219" s="21"/>
    </row>
    <row r="220" spans="2:34" x14ac:dyDescent="0.2">
      <c r="B220" s="85" t="s">
        <v>237</v>
      </c>
      <c r="C220" s="7" t="s">
        <v>123</v>
      </c>
      <c r="N220" s="24">
        <v>106.51</v>
      </c>
      <c r="O220" s="24">
        <v>127.74</v>
      </c>
      <c r="P220" s="24">
        <v>128.22</v>
      </c>
      <c r="Q220" s="24">
        <v>154.72</v>
      </c>
      <c r="R220" s="24">
        <v>143.36000000000001</v>
      </c>
      <c r="S220" s="24">
        <v>105.89</v>
      </c>
      <c r="T220" s="24">
        <v>60.49</v>
      </c>
      <c r="U220" s="24">
        <v>48.9</v>
      </c>
      <c r="V220" s="24">
        <v>35.880000000000003</v>
      </c>
      <c r="W220" s="24">
        <v>29.75</v>
      </c>
      <c r="X220" s="24">
        <v>20.97</v>
      </c>
      <c r="Y220" s="24">
        <v>9.5299999999999994</v>
      </c>
    </row>
    <row r="221" spans="2:34" x14ac:dyDescent="0.2">
      <c r="B221" s="85" t="s">
        <v>28</v>
      </c>
      <c r="C221" s="7" t="s">
        <v>123</v>
      </c>
      <c r="N221" s="24">
        <v>1737.66</v>
      </c>
      <c r="O221" s="24">
        <v>1880.22</v>
      </c>
      <c r="P221" s="24">
        <v>1876.24</v>
      </c>
      <c r="Q221" s="24">
        <v>1768.49</v>
      </c>
      <c r="R221" s="24">
        <v>1567.96</v>
      </c>
      <c r="S221" s="24">
        <v>1399.37</v>
      </c>
      <c r="T221" s="24">
        <v>1237.3399999999999</v>
      </c>
      <c r="U221" s="24">
        <v>1050.51</v>
      </c>
      <c r="V221" s="24">
        <v>910.71</v>
      </c>
      <c r="W221" s="24">
        <v>782.48</v>
      </c>
      <c r="X221" s="24">
        <v>544.72</v>
      </c>
      <c r="Y221" s="24">
        <v>548.62</v>
      </c>
    </row>
    <row r="222" spans="2:34" x14ac:dyDescent="0.2">
      <c r="B222" s="85" t="s">
        <v>31</v>
      </c>
      <c r="C222" s="7" t="s">
        <v>123</v>
      </c>
      <c r="N222" s="24">
        <v>194.14</v>
      </c>
      <c r="O222" s="24">
        <v>161.22</v>
      </c>
      <c r="P222" s="24">
        <v>137.12</v>
      </c>
      <c r="Q222" s="24">
        <v>109.99</v>
      </c>
      <c r="R222" s="24">
        <v>79.8</v>
      </c>
      <c r="S222" s="24">
        <v>62.28</v>
      </c>
      <c r="T222" s="24">
        <v>49.83</v>
      </c>
      <c r="U222" s="24">
        <v>36.57</v>
      </c>
      <c r="V222" s="24">
        <v>27.67</v>
      </c>
      <c r="W222" s="24">
        <v>20.84</v>
      </c>
      <c r="X222" s="24">
        <v>15.86</v>
      </c>
      <c r="Y222" s="24">
        <v>12.17</v>
      </c>
    </row>
    <row r="223" spans="2:34" x14ac:dyDescent="0.2">
      <c r="B223" s="85" t="s">
        <v>223</v>
      </c>
      <c r="C223" s="7" t="s">
        <v>123</v>
      </c>
      <c r="N223" s="24">
        <v>413.7</v>
      </c>
      <c r="O223" s="24">
        <v>541.89</v>
      </c>
      <c r="P223" s="24">
        <v>678.73</v>
      </c>
      <c r="Q223" s="24">
        <v>708.25</v>
      </c>
      <c r="R223" s="24">
        <v>736.57</v>
      </c>
      <c r="S223" s="24">
        <v>674.39</v>
      </c>
      <c r="T223" s="24">
        <v>621.20000000000005</v>
      </c>
      <c r="U223" s="24">
        <v>609.74</v>
      </c>
      <c r="V223" s="24">
        <v>632.53</v>
      </c>
      <c r="W223" s="24">
        <v>647.82000000000005</v>
      </c>
      <c r="X223" s="24">
        <v>694.35</v>
      </c>
      <c r="Y223" s="24">
        <v>800.99</v>
      </c>
    </row>
    <row r="224" spans="2:34" x14ac:dyDescent="0.2">
      <c r="B224" s="88" t="s">
        <v>225</v>
      </c>
      <c r="C224" s="124" t="s">
        <v>123</v>
      </c>
      <c r="D224" s="66"/>
      <c r="E224" s="66"/>
      <c r="F224" s="66"/>
      <c r="G224" s="66"/>
      <c r="H224" s="66"/>
      <c r="I224" s="66"/>
      <c r="J224" s="66"/>
      <c r="K224" s="66"/>
      <c r="L224" s="66"/>
      <c r="M224" s="66"/>
      <c r="N224" s="87">
        <v>2451.9899999999998</v>
      </c>
      <c r="O224" s="87">
        <v>2711.06</v>
      </c>
      <c r="P224" s="87">
        <v>2820.29</v>
      </c>
      <c r="Q224" s="87">
        <v>2741.44</v>
      </c>
      <c r="R224" s="87">
        <v>2527.69</v>
      </c>
      <c r="S224" s="87">
        <v>2241.9299999999998</v>
      </c>
      <c r="T224" s="87">
        <v>1968.86</v>
      </c>
      <c r="U224" s="87">
        <v>1745.71</v>
      </c>
      <c r="V224" s="87">
        <v>1606.79</v>
      </c>
      <c r="W224" s="87">
        <v>1480.89</v>
      </c>
      <c r="X224" s="87">
        <v>1275.8900000000001</v>
      </c>
      <c r="Y224" s="87">
        <v>1371.31</v>
      </c>
      <c r="Z224" s="66"/>
      <c r="AA224" s="66"/>
      <c r="AB224" s="66"/>
      <c r="AC224" s="66"/>
      <c r="AD224" s="66"/>
      <c r="AE224" s="66"/>
      <c r="AF224" s="66"/>
      <c r="AG224" s="66"/>
      <c r="AH224" s="66"/>
    </row>
    <row r="225" spans="2:34" x14ac:dyDescent="0.2">
      <c r="B225" s="85" t="s">
        <v>237</v>
      </c>
      <c r="C225" s="7" t="s">
        <v>123</v>
      </c>
      <c r="N225" s="24"/>
      <c r="O225" s="24"/>
      <c r="P225" s="24"/>
      <c r="Q225" s="24"/>
      <c r="R225" s="24"/>
      <c r="S225" s="24"/>
      <c r="T225" s="24"/>
      <c r="U225" s="24"/>
      <c r="V225" s="24"/>
      <c r="W225" s="24"/>
      <c r="X225" s="24">
        <v>9.6</v>
      </c>
      <c r="Y225" s="24">
        <v>11.11</v>
      </c>
    </row>
    <row r="226" spans="2:34" x14ac:dyDescent="0.2">
      <c r="B226" s="85" t="s">
        <v>28</v>
      </c>
      <c r="C226" s="7" t="s">
        <v>123</v>
      </c>
      <c r="N226" s="24"/>
      <c r="O226" s="24"/>
      <c r="P226" s="24"/>
      <c r="Q226" s="24"/>
      <c r="R226" s="24"/>
      <c r="S226" s="24"/>
      <c r="T226" s="24"/>
      <c r="U226" s="24"/>
      <c r="V226" s="24"/>
      <c r="W226" s="24"/>
      <c r="X226" s="24">
        <v>549.95000000000005</v>
      </c>
      <c r="Y226" s="24">
        <v>608.84</v>
      </c>
    </row>
    <row r="227" spans="2:34" x14ac:dyDescent="0.2">
      <c r="B227" s="85" t="s">
        <v>31</v>
      </c>
      <c r="C227" s="7" t="s">
        <v>123</v>
      </c>
      <c r="N227" s="24"/>
      <c r="O227" s="24"/>
      <c r="P227" s="24"/>
      <c r="Q227" s="24"/>
      <c r="R227" s="24"/>
      <c r="S227" s="24"/>
      <c r="T227" s="24"/>
      <c r="U227" s="24"/>
      <c r="V227" s="24"/>
      <c r="W227" s="24"/>
      <c r="X227" s="24">
        <v>5.8</v>
      </c>
      <c r="Y227" s="24">
        <v>4.41</v>
      </c>
    </row>
    <row r="228" spans="2:34" x14ac:dyDescent="0.2">
      <c r="B228" s="85" t="s">
        <v>223</v>
      </c>
      <c r="C228" s="7" t="s">
        <v>123</v>
      </c>
      <c r="N228" s="24"/>
      <c r="O228" s="24"/>
      <c r="P228" s="24"/>
      <c r="Q228" s="24"/>
      <c r="R228" s="24"/>
      <c r="S228" s="24"/>
      <c r="T228" s="24"/>
      <c r="U228" s="24"/>
      <c r="V228" s="24"/>
      <c r="W228" s="24"/>
      <c r="X228" s="24">
        <v>904.44</v>
      </c>
      <c r="Y228" s="24">
        <v>1065.9100000000001</v>
      </c>
    </row>
    <row r="229" spans="2:34" x14ac:dyDescent="0.2">
      <c r="B229" s="88" t="s">
        <v>226</v>
      </c>
      <c r="C229" s="124" t="s">
        <v>123</v>
      </c>
      <c r="D229" s="66"/>
      <c r="E229" s="66"/>
      <c r="F229" s="66"/>
      <c r="G229" s="66"/>
      <c r="H229" s="66"/>
      <c r="I229" s="66"/>
      <c r="J229" s="66"/>
      <c r="K229" s="66"/>
      <c r="L229" s="66"/>
      <c r="M229" s="66"/>
      <c r="N229" s="87">
        <v>21</v>
      </c>
      <c r="O229" s="87">
        <v>31.88</v>
      </c>
      <c r="P229" s="87">
        <v>80.95</v>
      </c>
      <c r="Q229" s="87">
        <v>197.75</v>
      </c>
      <c r="R229" s="87">
        <v>493.28</v>
      </c>
      <c r="S229" s="87">
        <v>845.78</v>
      </c>
      <c r="T229" s="87">
        <v>1193.28</v>
      </c>
      <c r="U229" s="87">
        <v>1454.85</v>
      </c>
      <c r="V229" s="87">
        <v>1658.62</v>
      </c>
      <c r="W229" s="87">
        <v>1655.48</v>
      </c>
      <c r="X229" s="87">
        <v>1469.79</v>
      </c>
      <c r="Y229" s="87">
        <v>1690.27</v>
      </c>
      <c r="Z229" s="66"/>
      <c r="AA229" s="66"/>
      <c r="AB229" s="66"/>
      <c r="AC229" s="66"/>
      <c r="AD229" s="66"/>
      <c r="AE229" s="66"/>
      <c r="AF229" s="66"/>
      <c r="AG229" s="66"/>
      <c r="AH229" s="66"/>
    </row>
    <row r="230" spans="2:34" x14ac:dyDescent="0.2">
      <c r="B230" s="86" t="s">
        <v>227</v>
      </c>
      <c r="C230" s="124" t="s">
        <v>123</v>
      </c>
      <c r="D230" s="66"/>
      <c r="E230" s="66"/>
      <c r="F230" s="66"/>
      <c r="G230" s="66"/>
      <c r="H230" s="66"/>
      <c r="I230" s="66"/>
      <c r="J230" s="66"/>
      <c r="K230" s="66"/>
      <c r="L230" s="66"/>
      <c r="M230" s="66"/>
      <c r="N230" s="87">
        <v>2472.9899999999998</v>
      </c>
      <c r="O230" s="87">
        <v>2742.94</v>
      </c>
      <c r="P230" s="87">
        <v>2901.25</v>
      </c>
      <c r="Q230" s="87">
        <v>2939.19</v>
      </c>
      <c r="R230" s="87">
        <v>3020.98</v>
      </c>
      <c r="S230" s="87">
        <v>3087.71</v>
      </c>
      <c r="T230" s="87">
        <v>3162.14</v>
      </c>
      <c r="U230" s="87">
        <v>3200.56</v>
      </c>
      <c r="V230" s="87">
        <v>3265.41</v>
      </c>
      <c r="W230" s="87">
        <v>3136.37</v>
      </c>
      <c r="X230" s="87">
        <v>2745.68</v>
      </c>
      <c r="Y230" s="89">
        <f>Y224+Y229</f>
        <v>3061.58</v>
      </c>
      <c r="Z230" s="66"/>
      <c r="AA230" s="66"/>
      <c r="AB230" s="66"/>
      <c r="AC230" s="66"/>
      <c r="AD230" s="66"/>
      <c r="AE230" s="66"/>
      <c r="AF230" s="66"/>
      <c r="AG230" s="66"/>
      <c r="AH230" s="66"/>
    </row>
    <row r="231" spans="2:34" x14ac:dyDescent="0.2">
      <c r="B231" s="22" t="s">
        <v>224</v>
      </c>
      <c r="C231" s="7" t="s">
        <v>123</v>
      </c>
      <c r="N231" s="24">
        <v>469.57</v>
      </c>
      <c r="O231" s="24">
        <v>684.75</v>
      </c>
      <c r="P231" s="24">
        <v>839.58</v>
      </c>
      <c r="Q231" s="24">
        <v>799.29</v>
      </c>
      <c r="R231" s="24">
        <v>89.86</v>
      </c>
      <c r="S231" s="24">
        <v>1124.71</v>
      </c>
      <c r="T231" s="94"/>
      <c r="U231" s="94"/>
      <c r="V231" s="94"/>
      <c r="W231" s="94"/>
      <c r="X231" s="24">
        <v>4252.12</v>
      </c>
      <c r="Y231" s="23">
        <f>6448.23+788.98</f>
        <v>7237.2099999999991</v>
      </c>
    </row>
    <row r="232" spans="2:34" x14ac:dyDescent="0.2">
      <c r="B232" s="68" t="s">
        <v>192</v>
      </c>
      <c r="C232" s="79" t="s">
        <v>123</v>
      </c>
      <c r="D232" s="67"/>
      <c r="E232" s="67"/>
      <c r="F232" s="67"/>
      <c r="G232" s="67"/>
      <c r="H232" s="67"/>
      <c r="I232" s="67"/>
      <c r="J232" s="67"/>
      <c r="K232" s="67"/>
      <c r="L232" s="67"/>
      <c r="M232" s="67"/>
      <c r="N232" s="95">
        <v>2942.56</v>
      </c>
      <c r="O232" s="69">
        <v>3427.7</v>
      </c>
      <c r="P232" s="69">
        <v>3740.83</v>
      </c>
      <c r="Q232" s="69">
        <v>3738.48</v>
      </c>
      <c r="R232" s="69">
        <v>3111.54</v>
      </c>
      <c r="S232" s="69">
        <v>4212.42</v>
      </c>
      <c r="T232" s="69">
        <v>3162.14</v>
      </c>
      <c r="U232" s="69">
        <v>3200.56</v>
      </c>
      <c r="V232" s="69">
        <v>3265.41</v>
      </c>
      <c r="W232" s="69">
        <v>3136.37</v>
      </c>
      <c r="X232" s="69">
        <v>6997.8</v>
      </c>
      <c r="Y232" s="69">
        <v>10298.790000000001</v>
      </c>
      <c r="Z232" s="67"/>
      <c r="AA232" s="67"/>
      <c r="AB232" s="67"/>
      <c r="AC232" s="67"/>
      <c r="AD232" s="67"/>
      <c r="AE232" s="67"/>
      <c r="AF232" s="67"/>
      <c r="AG232" s="67"/>
      <c r="AH232" s="67"/>
    </row>
    <row r="234" spans="2:34" x14ac:dyDescent="0.2">
      <c r="B234" s="21" t="s">
        <v>228</v>
      </c>
    </row>
    <row r="235" spans="2:34" x14ac:dyDescent="0.2">
      <c r="B235" s="73" t="s">
        <v>230</v>
      </c>
      <c r="C235" s="7" t="s">
        <v>123</v>
      </c>
      <c r="N235" s="24">
        <v>932.03</v>
      </c>
      <c r="O235" s="24">
        <v>1009.07</v>
      </c>
      <c r="P235" s="24">
        <v>1012.64</v>
      </c>
      <c r="Q235" s="24">
        <v>962.9</v>
      </c>
      <c r="R235" s="24">
        <v>962.9</v>
      </c>
      <c r="S235" s="24">
        <v>1051.3900000000001</v>
      </c>
      <c r="T235" s="24">
        <v>1090.04</v>
      </c>
      <c r="U235" s="24">
        <v>1020.23</v>
      </c>
      <c r="V235" s="24">
        <v>1054.7</v>
      </c>
      <c r="W235" s="24">
        <v>1101.55</v>
      </c>
      <c r="X235" s="24">
        <v>817.4</v>
      </c>
      <c r="Y235" s="24">
        <v>947.31</v>
      </c>
    </row>
    <row r="236" spans="2:34" x14ac:dyDescent="0.2">
      <c r="B236" s="73" t="s">
        <v>31</v>
      </c>
      <c r="C236" s="7" t="s">
        <v>123</v>
      </c>
      <c r="N236" s="24">
        <v>142.83000000000001</v>
      </c>
      <c r="O236" s="24">
        <v>166.8</v>
      </c>
      <c r="P236" s="24">
        <v>170.66</v>
      </c>
      <c r="Q236" s="24">
        <v>171.93</v>
      </c>
      <c r="R236" s="24">
        <v>171.93</v>
      </c>
      <c r="S236" s="24">
        <v>211.84</v>
      </c>
      <c r="T236" s="24">
        <v>226.93</v>
      </c>
      <c r="U236" s="24">
        <v>244.31</v>
      </c>
      <c r="V236" s="24">
        <v>187.59</v>
      </c>
      <c r="W236" s="24">
        <v>172.04</v>
      </c>
      <c r="X236" s="24">
        <v>154.66</v>
      </c>
      <c r="Y236" s="24">
        <v>220.57</v>
      </c>
    </row>
    <row r="237" spans="2:34" x14ac:dyDescent="0.2">
      <c r="B237" s="73" t="s">
        <v>223</v>
      </c>
      <c r="C237" s="7" t="s">
        <v>123</v>
      </c>
      <c r="N237" s="24">
        <v>397.91</v>
      </c>
      <c r="O237" s="24">
        <v>468.32</v>
      </c>
      <c r="P237" s="24">
        <v>491.35</v>
      </c>
      <c r="Q237" s="24">
        <v>492.79</v>
      </c>
      <c r="R237" s="24">
        <v>492.79</v>
      </c>
      <c r="S237" s="24">
        <v>670.82</v>
      </c>
      <c r="T237" s="24">
        <v>771.72</v>
      </c>
      <c r="U237" s="24">
        <v>832.5</v>
      </c>
      <c r="V237" s="24">
        <v>979.38</v>
      </c>
      <c r="W237" s="24">
        <v>1044.3</v>
      </c>
      <c r="X237" s="24">
        <v>843.95</v>
      </c>
      <c r="Y237" s="24">
        <v>1445.79</v>
      </c>
    </row>
    <row r="238" spans="2:34" x14ac:dyDescent="0.2">
      <c r="B238" s="86" t="s">
        <v>227</v>
      </c>
      <c r="C238" s="124" t="s">
        <v>123</v>
      </c>
      <c r="D238" s="66"/>
      <c r="E238" s="66"/>
      <c r="F238" s="66"/>
      <c r="G238" s="66"/>
      <c r="H238" s="66"/>
      <c r="I238" s="66"/>
      <c r="J238" s="66"/>
      <c r="K238" s="66"/>
      <c r="L238" s="66"/>
      <c r="M238" s="66"/>
      <c r="N238" s="87">
        <v>1472.79</v>
      </c>
      <c r="O238" s="87">
        <v>1660.68</v>
      </c>
      <c r="P238" s="87">
        <v>1674.67</v>
      </c>
      <c r="Q238" s="87">
        <v>1627.64</v>
      </c>
      <c r="R238" s="87">
        <v>1627.64</v>
      </c>
      <c r="S238" s="87">
        <v>1934.05</v>
      </c>
      <c r="T238" s="87">
        <v>2088.69</v>
      </c>
      <c r="U238" s="87">
        <v>2097.04</v>
      </c>
      <c r="V238" s="87">
        <v>2221.66</v>
      </c>
      <c r="W238" s="87">
        <v>2317.89</v>
      </c>
      <c r="X238" s="87">
        <v>1816</v>
      </c>
      <c r="Y238" s="87">
        <v>2613.67</v>
      </c>
      <c r="Z238" s="66"/>
      <c r="AA238" s="66"/>
      <c r="AB238" s="66"/>
      <c r="AC238" s="66"/>
      <c r="AD238" s="66"/>
      <c r="AE238" s="66"/>
      <c r="AF238" s="66"/>
      <c r="AG238" s="66"/>
      <c r="AH238" s="66"/>
    </row>
    <row r="239" spans="2:34" s="66" customFormat="1" x14ac:dyDescent="0.2">
      <c r="B239" s="90" t="s">
        <v>229</v>
      </c>
      <c r="C239" s="125" t="s">
        <v>123</v>
      </c>
      <c r="D239" s="91"/>
      <c r="E239" s="91"/>
      <c r="F239" s="91"/>
      <c r="G239" s="91"/>
      <c r="H239" s="91"/>
      <c r="I239" s="91"/>
      <c r="J239" s="91"/>
      <c r="K239" s="91"/>
      <c r="L239" s="91"/>
      <c r="M239" s="91"/>
      <c r="N239" s="92">
        <v>1472.56</v>
      </c>
      <c r="O239" s="92">
        <v>1672.73</v>
      </c>
      <c r="P239" s="92">
        <v>1546.54</v>
      </c>
      <c r="Q239" s="92">
        <v>2363.8000000000002</v>
      </c>
      <c r="R239" s="92">
        <v>2828.3</v>
      </c>
      <c r="S239" s="92">
        <v>3957.48</v>
      </c>
      <c r="T239" s="92">
        <v>6154.72</v>
      </c>
      <c r="U239" s="92">
        <v>7569.77</v>
      </c>
      <c r="V239" s="92">
        <v>9008.83</v>
      </c>
      <c r="W239" s="92">
        <v>10041.14</v>
      </c>
      <c r="X239" s="92">
        <v>8344.39</v>
      </c>
      <c r="Y239" s="93">
        <f>10953.1+3036.22</f>
        <v>13989.32</v>
      </c>
      <c r="Z239" s="91"/>
      <c r="AA239" s="91"/>
      <c r="AB239" s="91"/>
      <c r="AC239" s="91"/>
      <c r="AD239" s="91"/>
      <c r="AE239" s="91"/>
      <c r="AF239" s="91"/>
      <c r="AG239" s="91"/>
      <c r="AH239" s="91"/>
    </row>
    <row r="240" spans="2:34" x14ac:dyDescent="0.2">
      <c r="B240" s="68" t="s">
        <v>192</v>
      </c>
      <c r="C240" s="79" t="s">
        <v>123</v>
      </c>
      <c r="D240" s="67"/>
      <c r="E240" s="67"/>
      <c r="F240" s="67"/>
      <c r="G240" s="67"/>
      <c r="H240" s="67"/>
      <c r="I240" s="67"/>
      <c r="J240" s="67"/>
      <c r="K240" s="67"/>
      <c r="L240" s="67"/>
      <c r="M240" s="67"/>
      <c r="N240" s="95">
        <v>2945.35</v>
      </c>
      <c r="O240" s="69">
        <v>3333.41</v>
      </c>
      <c r="P240" s="69">
        <v>3221.21</v>
      </c>
      <c r="Q240" s="69">
        <v>3991.44</v>
      </c>
      <c r="R240" s="69">
        <v>4579.0609999999997</v>
      </c>
      <c r="S240" s="69">
        <v>5891.53</v>
      </c>
      <c r="T240" s="69">
        <v>8243.41</v>
      </c>
      <c r="U240" s="69">
        <v>9666.81</v>
      </c>
      <c r="V240" s="69">
        <v>11230.49</v>
      </c>
      <c r="W240" s="69">
        <v>12359.03</v>
      </c>
      <c r="X240" s="69">
        <v>10160.39</v>
      </c>
      <c r="Y240" s="69">
        <v>16602.990000000002</v>
      </c>
      <c r="Z240" s="67"/>
      <c r="AA240" s="67"/>
      <c r="AB240" s="67"/>
      <c r="AC240" s="67"/>
      <c r="AD240" s="67"/>
      <c r="AE240" s="67"/>
      <c r="AF240" s="67"/>
      <c r="AG240" s="67"/>
      <c r="AH240" s="67"/>
    </row>
    <row r="243" spans="2:26" x14ac:dyDescent="0.2">
      <c r="B243" s="82" t="s">
        <v>191</v>
      </c>
      <c r="D243" s="83">
        <f t="shared" ref="D243:Y243" si="71">D58-D199</f>
        <v>0</v>
      </c>
      <c r="E243" s="83">
        <f t="shared" si="71"/>
        <v>9563</v>
      </c>
      <c r="F243" s="83">
        <f t="shared" si="71"/>
        <v>9641.9500000000007</v>
      </c>
      <c r="G243" s="83">
        <f t="shared" si="71"/>
        <v>10524.11</v>
      </c>
      <c r="H243" s="83">
        <f t="shared" si="71"/>
        <v>11150.4</v>
      </c>
      <c r="I243" s="83">
        <f t="shared" si="71"/>
        <v>11700.69</v>
      </c>
      <c r="J243" s="83">
        <f t="shared" si="71"/>
        <v>11674</v>
      </c>
      <c r="K243" s="83">
        <f t="shared" si="71"/>
        <v>12849.93</v>
      </c>
      <c r="L243" s="83">
        <f t="shared" si="71"/>
        <v>10385</v>
      </c>
      <c r="M243" s="83">
        <f t="shared" si="71"/>
        <v>14433.21</v>
      </c>
      <c r="N243" s="83">
        <f t="shared" si="71"/>
        <v>3.8499999999985448</v>
      </c>
      <c r="O243" s="83">
        <f t="shared" si="71"/>
        <v>0</v>
      </c>
      <c r="P243" s="83">
        <f t="shared" si="71"/>
        <v>0</v>
      </c>
      <c r="Q243" s="83">
        <f t="shared" si="71"/>
        <v>0</v>
      </c>
      <c r="R243" s="83">
        <f t="shared" si="71"/>
        <v>0</v>
      </c>
      <c r="S243" s="83">
        <f t="shared" si="71"/>
        <v>0</v>
      </c>
      <c r="T243" s="83">
        <f t="shared" si="71"/>
        <v>0</v>
      </c>
      <c r="U243" s="83">
        <f t="shared" si="71"/>
        <v>0</v>
      </c>
      <c r="V243" s="83">
        <f t="shared" si="71"/>
        <v>0</v>
      </c>
      <c r="W243" s="83">
        <f t="shared" si="71"/>
        <v>0</v>
      </c>
      <c r="X243" s="83">
        <f t="shared" si="71"/>
        <v>0</v>
      </c>
      <c r="Y243" s="83">
        <f t="shared" si="71"/>
        <v>0</v>
      </c>
    </row>
    <row r="244" spans="2:26" x14ac:dyDescent="0.2">
      <c r="B244" s="82" t="s">
        <v>132</v>
      </c>
      <c r="D244" s="83">
        <f t="shared" ref="D244:S244" si="72">D69-D216</f>
        <v>0</v>
      </c>
      <c r="E244" s="83">
        <f t="shared" si="72"/>
        <v>0</v>
      </c>
      <c r="F244" s="83">
        <f t="shared" si="72"/>
        <v>0</v>
      </c>
      <c r="G244" s="83">
        <f t="shared" si="72"/>
        <v>0</v>
      </c>
      <c r="H244" s="83">
        <f t="shared" si="72"/>
        <v>0</v>
      </c>
      <c r="I244" s="83">
        <f t="shared" si="72"/>
        <v>0</v>
      </c>
      <c r="J244" s="83">
        <f t="shared" si="72"/>
        <v>0</v>
      </c>
      <c r="K244" s="83">
        <f t="shared" si="72"/>
        <v>0</v>
      </c>
      <c r="L244" s="83">
        <f t="shared" si="72"/>
        <v>0</v>
      </c>
      <c r="M244" s="83">
        <f t="shared" si="72"/>
        <v>0</v>
      </c>
      <c r="N244" s="83">
        <f t="shared" si="72"/>
        <v>-2337.29</v>
      </c>
      <c r="O244" s="83">
        <f t="shared" si="72"/>
        <v>0</v>
      </c>
      <c r="P244" s="83">
        <f t="shared" si="72"/>
        <v>0</v>
      </c>
      <c r="Q244" s="83">
        <f t="shared" si="72"/>
        <v>1422.7800000000002</v>
      </c>
      <c r="R244" s="83">
        <f t="shared" si="72"/>
        <v>747.37000000000035</v>
      </c>
      <c r="S244" s="83">
        <f t="shared" si="72"/>
        <v>0</v>
      </c>
      <c r="T244" s="83">
        <f t="shared" ref="T244:Y244" si="73">T69-T216</f>
        <v>0</v>
      </c>
      <c r="U244" s="83">
        <f t="shared" si="73"/>
        <v>0</v>
      </c>
      <c r="V244" s="83">
        <f t="shared" si="73"/>
        <v>0</v>
      </c>
      <c r="W244" s="83">
        <f t="shared" si="73"/>
        <v>0</v>
      </c>
      <c r="X244" s="83">
        <f t="shared" si="73"/>
        <v>0</v>
      </c>
      <c r="Y244" s="83">
        <f t="shared" si="73"/>
        <v>0</v>
      </c>
    </row>
    <row r="245" spans="2:26" x14ac:dyDescent="0.2">
      <c r="B245" s="82" t="s">
        <v>131</v>
      </c>
      <c r="D245" s="83">
        <f t="shared" ref="D245:S245" si="74">D80-D232</f>
        <v>0</v>
      </c>
      <c r="E245" s="83">
        <f t="shared" si="74"/>
        <v>0</v>
      </c>
      <c r="F245" s="83">
        <f t="shared" si="74"/>
        <v>0</v>
      </c>
      <c r="G245" s="83">
        <f t="shared" si="74"/>
        <v>0</v>
      </c>
      <c r="H245" s="83">
        <f t="shared" si="74"/>
        <v>0</v>
      </c>
      <c r="I245" s="83">
        <f t="shared" si="74"/>
        <v>0</v>
      </c>
      <c r="J245" s="83">
        <f t="shared" si="74"/>
        <v>0</v>
      </c>
      <c r="K245" s="83">
        <f t="shared" si="74"/>
        <v>0</v>
      </c>
      <c r="L245" s="83">
        <f t="shared" si="74"/>
        <v>0</v>
      </c>
      <c r="M245" s="83">
        <f t="shared" si="74"/>
        <v>0</v>
      </c>
      <c r="N245" s="83">
        <f t="shared" si="74"/>
        <v>-2942.56</v>
      </c>
      <c r="O245" s="83">
        <f t="shared" si="74"/>
        <v>0</v>
      </c>
      <c r="P245" s="83">
        <f t="shared" si="74"/>
        <v>0</v>
      </c>
      <c r="Q245" s="83">
        <f t="shared" si="74"/>
        <v>-1422.7800000000002</v>
      </c>
      <c r="R245" s="83">
        <f t="shared" si="74"/>
        <v>-748.07000000000016</v>
      </c>
      <c r="S245" s="83">
        <f t="shared" si="74"/>
        <v>0</v>
      </c>
      <c r="T245" s="83">
        <f t="shared" ref="T245:Y245" si="75">T80-T232</f>
        <v>0</v>
      </c>
      <c r="U245" s="83">
        <f t="shared" si="75"/>
        <v>0</v>
      </c>
      <c r="V245" s="83">
        <f t="shared" si="75"/>
        <v>0</v>
      </c>
      <c r="W245" s="83">
        <f t="shared" si="75"/>
        <v>0</v>
      </c>
      <c r="X245" s="83">
        <f t="shared" si="75"/>
        <v>0</v>
      </c>
      <c r="Y245" s="83">
        <f t="shared" si="75"/>
        <v>0</v>
      </c>
    </row>
    <row r="246" spans="2:26" x14ac:dyDescent="0.2">
      <c r="B246" s="82" t="s">
        <v>133</v>
      </c>
      <c r="D246" s="83">
        <f t="shared" ref="D246:Y246" si="76">D102-D240</f>
        <v>0</v>
      </c>
      <c r="E246" s="83">
        <f t="shared" si="76"/>
        <v>880</v>
      </c>
      <c r="F246" s="83">
        <f t="shared" si="76"/>
        <v>1320</v>
      </c>
      <c r="G246" s="83">
        <f t="shared" si="76"/>
        <v>1584.79</v>
      </c>
      <c r="H246" s="83">
        <f t="shared" si="76"/>
        <v>1426.33</v>
      </c>
      <c r="I246" s="83">
        <f t="shared" si="76"/>
        <v>1657.18</v>
      </c>
      <c r="J246" s="83">
        <f t="shared" si="76"/>
        <v>1790</v>
      </c>
      <c r="K246" s="83">
        <f t="shared" si="76"/>
        <v>1849</v>
      </c>
      <c r="L246" s="83">
        <f t="shared" si="76"/>
        <v>2398</v>
      </c>
      <c r="M246" s="83">
        <f t="shared" si="76"/>
        <v>2573.31</v>
      </c>
      <c r="N246" s="83">
        <f t="shared" si="76"/>
        <v>-0.34999999999990905</v>
      </c>
      <c r="O246" s="83">
        <f t="shared" si="76"/>
        <v>0</v>
      </c>
      <c r="P246" s="83">
        <f t="shared" si="76"/>
        <v>0</v>
      </c>
      <c r="Q246" s="83">
        <f t="shared" si="76"/>
        <v>0</v>
      </c>
      <c r="R246" s="83">
        <f t="shared" si="76"/>
        <v>-123.81099999999969</v>
      </c>
      <c r="S246" s="83">
        <f t="shared" si="76"/>
        <v>0</v>
      </c>
      <c r="T246" s="83">
        <f t="shared" si="76"/>
        <v>0</v>
      </c>
      <c r="U246" s="83">
        <f t="shared" si="76"/>
        <v>0</v>
      </c>
      <c r="V246" s="83">
        <f t="shared" si="76"/>
        <v>0</v>
      </c>
      <c r="W246" s="83">
        <f t="shared" si="76"/>
        <v>0</v>
      </c>
      <c r="X246" s="83">
        <f t="shared" si="76"/>
        <v>0</v>
      </c>
      <c r="Y246" s="83">
        <f t="shared" si="76"/>
        <v>0</v>
      </c>
    </row>
    <row r="249" spans="2:26" hidden="1" outlineLevel="1" x14ac:dyDescent="0.2">
      <c r="B249" s="21" t="s">
        <v>222</v>
      </c>
    </row>
    <row r="250" spans="2:26" hidden="1" outlineLevel="1" x14ac:dyDescent="0.2">
      <c r="B250" s="73" t="s">
        <v>191</v>
      </c>
      <c r="D250" s="25"/>
      <c r="E250" s="25"/>
      <c r="F250" s="25"/>
      <c r="G250" s="25"/>
      <c r="H250" s="25"/>
      <c r="I250" s="25"/>
      <c r="J250" s="25"/>
      <c r="K250" s="25"/>
      <c r="L250" s="25"/>
      <c r="M250" s="25"/>
      <c r="N250" s="25">
        <f t="shared" ref="N250:Y250" si="77">N197</f>
        <v>10072.31</v>
      </c>
      <c r="O250" s="25">
        <f t="shared" si="77"/>
        <v>10214.530000000001</v>
      </c>
      <c r="P250" s="25">
        <f t="shared" si="77"/>
        <v>10272.65</v>
      </c>
      <c r="Q250" s="25">
        <f t="shared" si="77"/>
        <v>9813.44</v>
      </c>
      <c r="R250" s="25">
        <f t="shared" si="77"/>
        <v>9648.93</v>
      </c>
      <c r="S250" s="25">
        <f t="shared" si="77"/>
        <v>9738.14</v>
      </c>
      <c r="T250" s="25">
        <f t="shared" si="77"/>
        <v>9805.83</v>
      </c>
      <c r="U250" s="25">
        <f t="shared" si="77"/>
        <v>9693.5</v>
      </c>
      <c r="V250" s="25">
        <f t="shared" si="77"/>
        <v>9862.2999999999993</v>
      </c>
      <c r="W250" s="25">
        <f t="shared" si="77"/>
        <v>9843.7800000000007</v>
      </c>
      <c r="X250" s="25">
        <f t="shared" si="77"/>
        <v>8898.17</v>
      </c>
      <c r="Y250" s="25">
        <f t="shared" si="77"/>
        <v>9998.17</v>
      </c>
      <c r="Z250" s="25"/>
    </row>
    <row r="251" spans="2:26" hidden="1" outlineLevel="1" x14ac:dyDescent="0.2">
      <c r="B251" s="73" t="s">
        <v>132</v>
      </c>
      <c r="D251" s="25"/>
      <c r="E251" s="25"/>
      <c r="F251" s="25"/>
      <c r="G251" s="25"/>
      <c r="H251" s="25"/>
      <c r="I251" s="25"/>
      <c r="J251" s="25"/>
      <c r="K251" s="25"/>
      <c r="L251" s="25"/>
      <c r="M251" s="25"/>
      <c r="N251" s="25">
        <f t="shared" ref="N251:Y251" si="78">N214</f>
        <v>2005.63</v>
      </c>
      <c r="O251" s="25">
        <f t="shared" si="78"/>
        <v>1990.63</v>
      </c>
      <c r="P251" s="25">
        <f t="shared" si="78"/>
        <v>1950.38</v>
      </c>
      <c r="Q251" s="25">
        <f t="shared" si="78"/>
        <v>1820.94</v>
      </c>
      <c r="R251" s="25">
        <f t="shared" si="78"/>
        <v>1830.67</v>
      </c>
      <c r="S251" s="25">
        <f t="shared" si="78"/>
        <v>1807.3</v>
      </c>
      <c r="T251" s="25">
        <f t="shared" si="78"/>
        <v>1760.51</v>
      </c>
      <c r="U251" s="25">
        <f t="shared" si="78"/>
        <v>1666.95</v>
      </c>
      <c r="V251" s="25">
        <f t="shared" si="78"/>
        <v>1644.54</v>
      </c>
      <c r="W251" s="25">
        <f t="shared" si="78"/>
        <v>1468.52</v>
      </c>
      <c r="X251" s="25">
        <f t="shared" si="78"/>
        <v>1238.3</v>
      </c>
      <c r="Y251" s="25">
        <f t="shared" si="78"/>
        <v>1364.78</v>
      </c>
      <c r="Z251" s="25"/>
    </row>
    <row r="252" spans="2:26" hidden="1" outlineLevel="1" x14ac:dyDescent="0.2">
      <c r="B252" s="73" t="s">
        <v>131</v>
      </c>
      <c r="D252" s="25"/>
      <c r="E252" s="25"/>
      <c r="F252" s="25"/>
      <c r="G252" s="25"/>
      <c r="H252" s="25"/>
      <c r="I252" s="25"/>
      <c r="J252" s="25"/>
      <c r="K252" s="25"/>
      <c r="L252" s="25"/>
      <c r="M252" s="25"/>
      <c r="N252" s="25">
        <f t="shared" ref="N252:Y252" si="79">N230</f>
        <v>2472.9899999999998</v>
      </c>
      <c r="O252" s="25">
        <f t="shared" si="79"/>
        <v>2742.94</v>
      </c>
      <c r="P252" s="25">
        <f t="shared" si="79"/>
        <v>2901.25</v>
      </c>
      <c r="Q252" s="25">
        <f t="shared" si="79"/>
        <v>2939.19</v>
      </c>
      <c r="R252" s="25">
        <f t="shared" si="79"/>
        <v>3020.98</v>
      </c>
      <c r="S252" s="25">
        <f t="shared" si="79"/>
        <v>3087.71</v>
      </c>
      <c r="T252" s="25">
        <f t="shared" si="79"/>
        <v>3162.14</v>
      </c>
      <c r="U252" s="25">
        <f t="shared" si="79"/>
        <v>3200.56</v>
      </c>
      <c r="V252" s="25">
        <f t="shared" si="79"/>
        <v>3265.41</v>
      </c>
      <c r="W252" s="25">
        <f t="shared" si="79"/>
        <v>3136.37</v>
      </c>
      <c r="X252" s="25">
        <f t="shared" si="79"/>
        <v>2745.68</v>
      </c>
      <c r="Y252" s="25">
        <f t="shared" si="79"/>
        <v>3061.58</v>
      </c>
      <c r="Z252" s="25"/>
    </row>
    <row r="253" spans="2:26" hidden="1" outlineLevel="1" x14ac:dyDescent="0.2">
      <c r="B253" s="22" t="s">
        <v>194</v>
      </c>
      <c r="D253" s="96"/>
      <c r="E253" s="96"/>
      <c r="F253" s="96"/>
      <c r="G253" s="96"/>
      <c r="H253" s="96"/>
      <c r="I253" s="96"/>
      <c r="J253" s="96"/>
      <c r="K253" s="96"/>
      <c r="L253" s="96"/>
      <c r="M253" s="96"/>
      <c r="N253" s="96">
        <f t="shared" ref="N253:X253" si="80">SUM(N250:N252)</f>
        <v>14550.929999999998</v>
      </c>
      <c r="O253" s="96">
        <f t="shared" si="80"/>
        <v>14948.1</v>
      </c>
      <c r="P253" s="96">
        <f t="shared" si="80"/>
        <v>15124.279999999999</v>
      </c>
      <c r="Q253" s="96">
        <f t="shared" si="80"/>
        <v>14573.570000000002</v>
      </c>
      <c r="R253" s="96">
        <f t="shared" si="80"/>
        <v>14500.58</v>
      </c>
      <c r="S253" s="96">
        <f t="shared" si="80"/>
        <v>14633.149999999998</v>
      </c>
      <c r="T253" s="96">
        <f t="shared" si="80"/>
        <v>14728.48</v>
      </c>
      <c r="U253" s="96">
        <f t="shared" si="80"/>
        <v>14561.01</v>
      </c>
      <c r="V253" s="96">
        <f t="shared" si="80"/>
        <v>14772.25</v>
      </c>
      <c r="W253" s="96">
        <f t="shared" si="80"/>
        <v>14448.670000000002</v>
      </c>
      <c r="X253" s="96">
        <f t="shared" si="80"/>
        <v>12882.15</v>
      </c>
      <c r="Y253" s="96">
        <f>SUM(Y250:Y252)</f>
        <v>14424.53</v>
      </c>
      <c r="Z253" s="96"/>
    </row>
    <row r="254" spans="2:26" hidden="1" outlineLevel="1" x14ac:dyDescent="0.2">
      <c r="B254" s="22" t="s">
        <v>195</v>
      </c>
      <c r="D254" s="25"/>
      <c r="E254" s="25"/>
      <c r="F254" s="25"/>
      <c r="G254" s="25"/>
      <c r="H254" s="25"/>
      <c r="I254" s="25"/>
      <c r="J254" s="25"/>
      <c r="K254" s="25"/>
      <c r="L254" s="25"/>
      <c r="M254" s="25"/>
      <c r="N254" s="25">
        <f t="shared" ref="N254:Y254" si="81">N238</f>
        <v>1472.79</v>
      </c>
      <c r="O254" s="25">
        <f t="shared" si="81"/>
        <v>1660.68</v>
      </c>
      <c r="P254" s="25">
        <f t="shared" si="81"/>
        <v>1674.67</v>
      </c>
      <c r="Q254" s="25">
        <f t="shared" si="81"/>
        <v>1627.64</v>
      </c>
      <c r="R254" s="25">
        <f t="shared" si="81"/>
        <v>1627.64</v>
      </c>
      <c r="S254" s="25">
        <f t="shared" si="81"/>
        <v>1934.05</v>
      </c>
      <c r="T254" s="25">
        <f t="shared" si="81"/>
        <v>2088.69</v>
      </c>
      <c r="U254" s="25">
        <f t="shared" si="81"/>
        <v>2097.04</v>
      </c>
      <c r="V254" s="25">
        <f t="shared" si="81"/>
        <v>2221.66</v>
      </c>
      <c r="W254" s="25">
        <f t="shared" si="81"/>
        <v>2317.89</v>
      </c>
      <c r="X254" s="25">
        <f t="shared" si="81"/>
        <v>1816</v>
      </c>
      <c r="Y254" s="25">
        <f t="shared" si="81"/>
        <v>2613.67</v>
      </c>
      <c r="Z254" s="25"/>
    </row>
    <row r="255" spans="2:26" s="66" customFormat="1" hidden="1" outlineLevel="1" x14ac:dyDescent="0.2">
      <c r="B255" s="126" t="s">
        <v>182</v>
      </c>
      <c r="C255" s="124"/>
      <c r="D255" s="96"/>
      <c r="E255" s="96"/>
      <c r="F255" s="96"/>
      <c r="G255" s="96"/>
      <c r="H255" s="96"/>
      <c r="I255" s="96"/>
      <c r="J255" s="96"/>
      <c r="K255" s="96"/>
      <c r="L255" s="96"/>
      <c r="M255" s="96"/>
      <c r="N255" s="96">
        <f t="shared" ref="N255:X255" si="82">SUM(N253:N254)</f>
        <v>16023.719999999998</v>
      </c>
      <c r="O255" s="96">
        <f t="shared" si="82"/>
        <v>16608.78</v>
      </c>
      <c r="P255" s="96">
        <f t="shared" si="82"/>
        <v>16798.949999999997</v>
      </c>
      <c r="Q255" s="96">
        <f t="shared" si="82"/>
        <v>16201.210000000001</v>
      </c>
      <c r="R255" s="96">
        <f t="shared" si="82"/>
        <v>16128.22</v>
      </c>
      <c r="S255" s="96">
        <f t="shared" si="82"/>
        <v>16567.199999999997</v>
      </c>
      <c r="T255" s="96">
        <f t="shared" si="82"/>
        <v>16817.169999999998</v>
      </c>
      <c r="U255" s="96">
        <f t="shared" si="82"/>
        <v>16658.05</v>
      </c>
      <c r="V255" s="96">
        <f t="shared" si="82"/>
        <v>16993.91</v>
      </c>
      <c r="W255" s="96">
        <f t="shared" si="82"/>
        <v>16766.560000000001</v>
      </c>
      <c r="X255" s="96">
        <f t="shared" si="82"/>
        <v>14698.15</v>
      </c>
      <c r="Y255" s="96">
        <f>SUM(Y253:Y254)</f>
        <v>17038.2</v>
      </c>
      <c r="Z255" s="96"/>
    </row>
    <row r="256" spans="2:26" hidden="1" outlineLevel="1" x14ac:dyDescent="0.2"/>
    <row r="257" spans="2:29" hidden="1" outlineLevel="1" x14ac:dyDescent="0.2">
      <c r="B257" s="127" t="s">
        <v>291</v>
      </c>
      <c r="D257" s="128" t="s">
        <v>290</v>
      </c>
      <c r="N257" s="25">
        <f>N253</f>
        <v>14550.929999999998</v>
      </c>
      <c r="Z257" s="87">
        <v>11769.7</v>
      </c>
      <c r="AA257" s="87">
        <v>11946.5</v>
      </c>
      <c r="AB257" s="87"/>
      <c r="AC257" s="87"/>
    </row>
    <row r="258" spans="2:29" hidden="1" outlineLevel="1" x14ac:dyDescent="0.2">
      <c r="B258" s="127" t="s">
        <v>292</v>
      </c>
      <c r="Z258" s="87">
        <v>2124</v>
      </c>
      <c r="AA258" s="87">
        <v>2604.3000000000002</v>
      </c>
      <c r="AB258" s="87"/>
      <c r="AC258" s="87"/>
    </row>
    <row r="259" spans="2:29" hidden="1" outlineLevel="1" x14ac:dyDescent="0.2"/>
    <row r="260" spans="2:29" hidden="1" outlineLevel="1" x14ac:dyDescent="0.2"/>
    <row r="261" spans="2:29" hidden="1" outlineLevel="1" x14ac:dyDescent="0.2">
      <c r="B261" s="21" t="s">
        <v>276</v>
      </c>
    </row>
    <row r="262" spans="2:29" hidden="1" outlineLevel="1" x14ac:dyDescent="0.2">
      <c r="B262" s="73" t="s">
        <v>191</v>
      </c>
      <c r="D262" s="25"/>
      <c r="E262" s="25"/>
      <c r="F262" s="25"/>
      <c r="G262" s="25"/>
      <c r="H262" s="25"/>
      <c r="I262" s="25"/>
      <c r="J262" s="25"/>
      <c r="K262" s="25"/>
      <c r="L262" s="25"/>
      <c r="M262" s="25"/>
      <c r="N262" s="25"/>
      <c r="O262" s="25"/>
      <c r="P262" s="25"/>
      <c r="Q262" s="25"/>
      <c r="R262" s="25"/>
      <c r="S262" s="25"/>
      <c r="T262" s="25"/>
      <c r="U262" s="25"/>
      <c r="V262" s="25"/>
      <c r="W262" s="25"/>
      <c r="X262" s="25">
        <f t="shared" ref="X262:Y267" si="83">X250-X272</f>
        <v>3639.3099999999995</v>
      </c>
      <c r="Y262" s="25">
        <f t="shared" si="83"/>
        <v>3467.8899999999994</v>
      </c>
      <c r="Z262" s="25"/>
    </row>
    <row r="263" spans="2:29" hidden="1" outlineLevel="1" x14ac:dyDescent="0.2">
      <c r="B263" s="73" t="s">
        <v>132</v>
      </c>
      <c r="D263" s="25"/>
      <c r="E263" s="25"/>
      <c r="F263" s="25"/>
      <c r="G263" s="25"/>
      <c r="H263" s="25"/>
      <c r="I263" s="25"/>
      <c r="J263" s="25"/>
      <c r="K263" s="25"/>
      <c r="L263" s="25"/>
      <c r="M263" s="25"/>
      <c r="N263" s="25"/>
      <c r="O263" s="25"/>
      <c r="P263" s="25"/>
      <c r="Q263" s="25"/>
      <c r="R263" s="25"/>
      <c r="S263" s="25"/>
      <c r="T263" s="25"/>
      <c r="U263" s="25"/>
      <c r="V263" s="25"/>
      <c r="W263" s="25"/>
      <c r="X263" s="25">
        <f t="shared" si="83"/>
        <v>527.71</v>
      </c>
      <c r="Y263" s="25">
        <f t="shared" si="83"/>
        <v>538.79999999999995</v>
      </c>
      <c r="Z263" s="25"/>
    </row>
    <row r="264" spans="2:29" hidden="1" outlineLevel="1" x14ac:dyDescent="0.2">
      <c r="B264" s="73" t="s">
        <v>131</v>
      </c>
      <c r="D264" s="25"/>
      <c r="E264" s="25"/>
      <c r="F264" s="25"/>
      <c r="G264" s="25"/>
      <c r="H264" s="25"/>
      <c r="I264" s="25"/>
      <c r="J264" s="25"/>
      <c r="K264" s="25"/>
      <c r="L264" s="25"/>
      <c r="M264" s="25"/>
      <c r="N264" s="25"/>
      <c r="O264" s="25"/>
      <c r="P264" s="25"/>
      <c r="Q264" s="25"/>
      <c r="R264" s="25"/>
      <c r="S264" s="25"/>
      <c r="T264" s="25"/>
      <c r="U264" s="25"/>
      <c r="V264" s="25"/>
      <c r="W264" s="25"/>
      <c r="X264" s="25">
        <f t="shared" si="83"/>
        <v>1125.2400000000002</v>
      </c>
      <c r="Y264" s="25">
        <f t="shared" si="83"/>
        <v>1178.0999999999999</v>
      </c>
      <c r="Z264" s="25"/>
    </row>
    <row r="265" spans="2:29" hidden="1" outlineLevel="1" x14ac:dyDescent="0.2">
      <c r="B265" s="22" t="s">
        <v>194</v>
      </c>
      <c r="D265" s="96"/>
      <c r="E265" s="96"/>
      <c r="F265" s="96"/>
      <c r="G265" s="96"/>
      <c r="H265" s="96"/>
      <c r="I265" s="96"/>
      <c r="J265" s="96"/>
      <c r="K265" s="96"/>
      <c r="L265" s="96"/>
      <c r="M265" s="96"/>
      <c r="N265" s="96"/>
      <c r="O265" s="96"/>
      <c r="P265" s="96"/>
      <c r="Q265" s="96"/>
      <c r="R265" s="96"/>
      <c r="S265" s="96"/>
      <c r="T265" s="96"/>
      <c r="U265" s="96"/>
      <c r="V265" s="96"/>
      <c r="W265" s="96"/>
      <c r="X265" s="96">
        <f t="shared" si="83"/>
        <v>5292.2599999999993</v>
      </c>
      <c r="Y265" s="96">
        <f t="shared" si="83"/>
        <v>5184.7900000000009</v>
      </c>
      <c r="Z265" s="96"/>
    </row>
    <row r="266" spans="2:29" hidden="1" outlineLevel="1" x14ac:dyDescent="0.2">
      <c r="B266" s="22" t="s">
        <v>195</v>
      </c>
      <c r="D266" s="25"/>
      <c r="E266" s="25"/>
      <c r="F266" s="25"/>
      <c r="G266" s="25"/>
      <c r="H266" s="25"/>
      <c r="I266" s="25"/>
      <c r="J266" s="25"/>
      <c r="K266" s="25"/>
      <c r="L266" s="25"/>
      <c r="M266" s="25"/>
      <c r="N266" s="25"/>
      <c r="O266" s="25"/>
      <c r="P266" s="25"/>
      <c r="Q266" s="25"/>
      <c r="R266" s="25"/>
      <c r="S266" s="25"/>
      <c r="T266" s="25"/>
      <c r="U266" s="25"/>
      <c r="V266" s="25"/>
      <c r="W266" s="25"/>
      <c r="X266" s="25">
        <f t="shared" si="83"/>
        <v>817.4</v>
      </c>
      <c r="Y266" s="25">
        <f t="shared" si="83"/>
        <v>947.31</v>
      </c>
      <c r="Z266" s="25"/>
    </row>
    <row r="267" spans="2:29" s="66" customFormat="1" hidden="1" outlineLevel="1" x14ac:dyDescent="0.2">
      <c r="B267" s="126" t="s">
        <v>182</v>
      </c>
      <c r="C267" s="124"/>
      <c r="D267" s="96"/>
      <c r="E267" s="96"/>
      <c r="F267" s="96"/>
      <c r="G267" s="96"/>
      <c r="H267" s="96"/>
      <c r="I267" s="96"/>
      <c r="J267" s="96"/>
      <c r="K267" s="96"/>
      <c r="L267" s="96"/>
      <c r="M267" s="96"/>
      <c r="N267" s="96"/>
      <c r="O267" s="96"/>
      <c r="P267" s="96"/>
      <c r="Q267" s="96"/>
      <c r="R267" s="96"/>
      <c r="S267" s="96"/>
      <c r="T267" s="96"/>
      <c r="U267" s="96"/>
      <c r="V267" s="96"/>
      <c r="W267" s="96"/>
      <c r="X267" s="96">
        <f t="shared" si="83"/>
        <v>6109.66</v>
      </c>
      <c r="Y267" s="96">
        <f t="shared" si="83"/>
        <v>6132.1</v>
      </c>
      <c r="Z267" s="96"/>
    </row>
    <row r="268" spans="2:29" hidden="1" outlineLevel="1" x14ac:dyDescent="0.2"/>
    <row r="269" spans="2:29" hidden="1" outlineLevel="1" x14ac:dyDescent="0.2">
      <c r="B269" s="127" t="s">
        <v>289</v>
      </c>
      <c r="D269" s="128" t="s">
        <v>290</v>
      </c>
      <c r="E269" s="87"/>
      <c r="F269" s="87"/>
      <c r="G269" s="87"/>
      <c r="H269" s="87"/>
      <c r="I269" s="87"/>
      <c r="J269" s="87"/>
      <c r="K269" s="87"/>
      <c r="L269" s="87"/>
      <c r="M269" s="87"/>
      <c r="N269" s="87"/>
      <c r="O269" s="87"/>
      <c r="P269" s="87"/>
      <c r="Q269" s="87"/>
      <c r="R269" s="87"/>
      <c r="S269" s="87"/>
      <c r="T269" s="87"/>
      <c r="U269" s="87"/>
      <c r="V269" s="87"/>
      <c r="W269" s="87"/>
      <c r="X269" s="87"/>
      <c r="Y269" s="87"/>
      <c r="Z269" s="87">
        <v>4196.7</v>
      </c>
      <c r="AA269" s="87">
        <v>5284.1</v>
      </c>
      <c r="AB269" s="87"/>
      <c r="AC269" s="87"/>
    </row>
    <row r="270" spans="2:29" hidden="1" outlineLevel="1" x14ac:dyDescent="0.2"/>
    <row r="271" spans="2:29" hidden="1" outlineLevel="1" x14ac:dyDescent="0.2">
      <c r="B271" s="21" t="s">
        <v>239</v>
      </c>
    </row>
    <row r="272" spans="2:29" hidden="1" outlineLevel="1" x14ac:dyDescent="0.2">
      <c r="B272" s="73" t="s">
        <v>191</v>
      </c>
      <c r="D272" s="25"/>
      <c r="E272" s="25"/>
      <c r="F272" s="25"/>
      <c r="G272" s="25"/>
      <c r="H272" s="25"/>
      <c r="I272" s="25"/>
      <c r="J272" s="25"/>
      <c r="K272" s="25"/>
      <c r="L272" s="25"/>
      <c r="M272" s="25"/>
      <c r="N272" s="25"/>
      <c r="O272" s="25"/>
      <c r="P272" s="25"/>
      <c r="Q272" s="25"/>
      <c r="R272" s="25"/>
      <c r="S272" s="25"/>
      <c r="T272" s="25"/>
      <c r="U272" s="25"/>
      <c r="V272" s="25"/>
      <c r="W272" s="25"/>
      <c r="X272" s="25">
        <f>X250-SUM(X187:X188,X192:X193)</f>
        <v>5258.8600000000006</v>
      </c>
      <c r="Y272" s="25">
        <f>Y250-SUM(Y187:Y188,Y192:Y193)</f>
        <v>6530.2800000000007</v>
      </c>
      <c r="Z272" s="25"/>
    </row>
    <row r="273" spans="2:29" hidden="1" outlineLevel="1" x14ac:dyDescent="0.2">
      <c r="B273" s="73" t="s">
        <v>132</v>
      </c>
      <c r="D273" s="25"/>
      <c r="E273" s="25"/>
      <c r="F273" s="25"/>
      <c r="G273" s="25"/>
      <c r="H273" s="25"/>
      <c r="I273" s="25"/>
      <c r="J273" s="25"/>
      <c r="K273" s="25"/>
      <c r="L273" s="25"/>
      <c r="M273" s="25"/>
      <c r="N273" s="25"/>
      <c r="O273" s="25"/>
      <c r="P273" s="25"/>
      <c r="Q273" s="25"/>
      <c r="R273" s="25"/>
      <c r="S273" s="25"/>
      <c r="T273" s="25"/>
      <c r="U273" s="25"/>
      <c r="V273" s="25"/>
      <c r="W273" s="25"/>
      <c r="X273" s="25">
        <f>X251-SUM(X204:X205,X209:X210)</f>
        <v>710.58999999999992</v>
      </c>
      <c r="Y273" s="25">
        <f>Y251-SUM(Y204:Y205,Y209:Y210)</f>
        <v>825.98</v>
      </c>
      <c r="Z273" s="25"/>
    </row>
    <row r="274" spans="2:29" hidden="1" outlineLevel="1" x14ac:dyDescent="0.2">
      <c r="B274" s="73" t="s">
        <v>131</v>
      </c>
      <c r="D274" s="25"/>
      <c r="E274" s="25"/>
      <c r="F274" s="25"/>
      <c r="G274" s="25"/>
      <c r="H274" s="25"/>
      <c r="I274" s="25"/>
      <c r="J274" s="25"/>
      <c r="K274" s="25"/>
      <c r="L274" s="25"/>
      <c r="M274" s="25"/>
      <c r="N274" s="25"/>
      <c r="O274" s="25"/>
      <c r="P274" s="25"/>
      <c r="Q274" s="25"/>
      <c r="R274" s="25"/>
      <c r="S274" s="25"/>
      <c r="T274" s="25"/>
      <c r="U274" s="25"/>
      <c r="V274" s="25"/>
      <c r="W274" s="25"/>
      <c r="X274" s="25">
        <f>X252-SUM(X220:X221,X225:X226)</f>
        <v>1620.4399999999996</v>
      </c>
      <c r="Y274" s="25">
        <f>Y252-SUM(Y220:Y221,Y225:Y226)</f>
        <v>1883.48</v>
      </c>
      <c r="Z274" s="25"/>
    </row>
    <row r="275" spans="2:29" hidden="1" outlineLevel="1" x14ac:dyDescent="0.2">
      <c r="B275" s="22" t="s">
        <v>194</v>
      </c>
      <c r="D275" s="96"/>
      <c r="E275" s="96"/>
      <c r="F275" s="96"/>
      <c r="G275" s="96"/>
      <c r="H275" s="96"/>
      <c r="I275" s="96"/>
      <c r="J275" s="96"/>
      <c r="K275" s="96"/>
      <c r="L275" s="96"/>
      <c r="M275" s="96"/>
      <c r="N275" s="96"/>
      <c r="O275" s="96"/>
      <c r="P275" s="96"/>
      <c r="Q275" s="96"/>
      <c r="R275" s="96"/>
      <c r="S275" s="96"/>
      <c r="T275" s="96"/>
      <c r="U275" s="96"/>
      <c r="V275" s="96"/>
      <c r="W275" s="96"/>
      <c r="X275" s="96">
        <f>SUM(X272:X274)</f>
        <v>7589.89</v>
      </c>
      <c r="Y275" s="96">
        <f>SUM(Y272:Y274)</f>
        <v>9239.74</v>
      </c>
      <c r="Z275" s="96"/>
    </row>
    <row r="276" spans="2:29" hidden="1" outlineLevel="1" x14ac:dyDescent="0.2">
      <c r="B276" s="22" t="s">
        <v>195</v>
      </c>
      <c r="D276" s="25"/>
      <c r="E276" s="25"/>
      <c r="F276" s="25"/>
      <c r="G276" s="25"/>
      <c r="H276" s="25"/>
      <c r="I276" s="25"/>
      <c r="J276" s="25"/>
      <c r="K276" s="25"/>
      <c r="L276" s="25"/>
      <c r="M276" s="25"/>
      <c r="N276" s="25"/>
      <c r="O276" s="25"/>
      <c r="P276" s="25"/>
      <c r="Q276" s="25"/>
      <c r="R276" s="25"/>
      <c r="S276" s="25"/>
      <c r="T276" s="25"/>
      <c r="U276" s="25"/>
      <c r="V276" s="25"/>
      <c r="W276" s="25"/>
      <c r="X276" s="25">
        <f>X254-X235</f>
        <v>998.6</v>
      </c>
      <c r="Y276" s="25">
        <f>Y254-Y235</f>
        <v>1666.3600000000001</v>
      </c>
      <c r="Z276" s="25"/>
    </row>
    <row r="277" spans="2:29" s="66" customFormat="1" hidden="1" outlineLevel="1" x14ac:dyDescent="0.2">
      <c r="B277" s="126" t="s">
        <v>182</v>
      </c>
      <c r="C277" s="124"/>
      <c r="D277" s="96"/>
      <c r="E277" s="96"/>
      <c r="F277" s="96"/>
      <c r="G277" s="96"/>
      <c r="H277" s="96"/>
      <c r="I277" s="96"/>
      <c r="J277" s="96"/>
      <c r="K277" s="96"/>
      <c r="L277" s="96"/>
      <c r="M277" s="96"/>
      <c r="N277" s="96"/>
      <c r="O277" s="96"/>
      <c r="P277" s="96"/>
      <c r="Q277" s="96"/>
      <c r="R277" s="96"/>
      <c r="S277" s="96"/>
      <c r="T277" s="96"/>
      <c r="U277" s="96"/>
      <c r="V277" s="96"/>
      <c r="W277" s="96"/>
      <c r="X277" s="96">
        <f>SUM(X275:X276)</f>
        <v>8588.49</v>
      </c>
      <c r="Y277" s="96">
        <f>SUM(Y275:Y276)</f>
        <v>10906.1</v>
      </c>
      <c r="Z277" s="96"/>
    </row>
    <row r="278" spans="2:29" hidden="1" outlineLevel="1" x14ac:dyDescent="0.2"/>
    <row r="279" spans="2:29" hidden="1" outlineLevel="1" x14ac:dyDescent="0.2"/>
    <row r="280" spans="2:29" hidden="1" outlineLevel="1" x14ac:dyDescent="0.2"/>
    <row r="281" spans="2:29" hidden="1" outlineLevel="1" x14ac:dyDescent="0.2">
      <c r="B281" s="126" t="s">
        <v>289</v>
      </c>
      <c r="D281" s="87"/>
      <c r="E281" s="87"/>
      <c r="F281" s="87"/>
      <c r="G281" s="87"/>
      <c r="H281" s="87"/>
      <c r="I281" s="87"/>
      <c r="J281" s="87"/>
      <c r="K281" s="87"/>
      <c r="L281" s="87"/>
      <c r="M281" s="87"/>
      <c r="N281" s="87"/>
      <c r="O281" s="87"/>
      <c r="P281" s="87"/>
      <c r="Q281" s="87"/>
      <c r="R281" s="87"/>
      <c r="S281" s="87"/>
      <c r="T281" s="87"/>
      <c r="U281" s="87"/>
      <c r="V281" s="87"/>
      <c r="W281" s="87"/>
      <c r="X281" s="87"/>
      <c r="Y281" s="87"/>
      <c r="Z281" s="87">
        <v>9697</v>
      </c>
      <c r="AA281" s="87">
        <v>9266.7000000000007</v>
      </c>
      <c r="AB281" s="87"/>
      <c r="AC281" s="87"/>
    </row>
    <row r="282" spans="2:29" hidden="1" outlineLevel="1" x14ac:dyDescent="0.2"/>
    <row r="283" spans="2:29" hidden="1" outlineLevel="1" x14ac:dyDescent="0.2"/>
    <row r="284" spans="2:29" hidden="1" outlineLevel="1" x14ac:dyDescent="0.2">
      <c r="B284" s="21" t="s">
        <v>238</v>
      </c>
    </row>
    <row r="285" spans="2:29" hidden="1" outlineLevel="1" x14ac:dyDescent="0.2">
      <c r="B285" s="73" t="s">
        <v>191</v>
      </c>
      <c r="N285" s="25">
        <f t="shared" ref="N285:Y285" si="84">N198</f>
        <v>4319.1400000000003</v>
      </c>
      <c r="O285" s="25">
        <f t="shared" si="84"/>
        <v>4173.26</v>
      </c>
      <c r="P285" s="25">
        <f t="shared" si="84"/>
        <v>4103.84</v>
      </c>
      <c r="Q285" s="25">
        <f t="shared" si="84"/>
        <v>4648.21</v>
      </c>
      <c r="R285" s="25">
        <f t="shared" si="84"/>
        <v>6482.33</v>
      </c>
      <c r="S285" s="25">
        <f t="shared" si="84"/>
        <v>6160.13</v>
      </c>
      <c r="T285" s="25">
        <f t="shared" si="84"/>
        <v>5912.5</v>
      </c>
      <c r="U285" s="25">
        <f t="shared" si="84"/>
        <v>8370.0300000000007</v>
      </c>
      <c r="V285" s="25">
        <f t="shared" si="84"/>
        <v>9691.92</v>
      </c>
      <c r="W285" s="25">
        <f t="shared" si="84"/>
        <v>11100.41</v>
      </c>
      <c r="X285" s="25">
        <f t="shared" si="84"/>
        <v>12189.54</v>
      </c>
      <c r="Y285" s="25">
        <f t="shared" si="84"/>
        <v>17234.98</v>
      </c>
    </row>
    <row r="286" spans="2:29" hidden="1" outlineLevel="1" x14ac:dyDescent="0.2">
      <c r="B286" s="73" t="s">
        <v>132</v>
      </c>
      <c r="N286" s="25">
        <f t="shared" ref="N286:Y286" si="85">N215</f>
        <v>331.66</v>
      </c>
      <c r="O286" s="25">
        <f t="shared" si="85"/>
        <v>361.81</v>
      </c>
      <c r="P286" s="25">
        <f t="shared" si="85"/>
        <v>359.99</v>
      </c>
      <c r="Q286" s="25">
        <f t="shared" si="85"/>
        <v>494.76</v>
      </c>
      <c r="R286" s="25">
        <f t="shared" si="85"/>
        <v>532.79999999999995</v>
      </c>
      <c r="S286" s="25">
        <f t="shared" si="85"/>
        <v>649.67999999999995</v>
      </c>
      <c r="T286" s="25">
        <f t="shared" si="85"/>
        <v>0</v>
      </c>
      <c r="U286" s="25">
        <f t="shared" si="85"/>
        <v>0</v>
      </c>
      <c r="V286" s="25">
        <f t="shared" si="85"/>
        <v>0</v>
      </c>
      <c r="W286" s="25">
        <f t="shared" si="85"/>
        <v>0</v>
      </c>
      <c r="X286" s="25">
        <f t="shared" si="85"/>
        <v>2209.37</v>
      </c>
      <c r="Y286" s="25">
        <f t="shared" si="85"/>
        <v>2583.15</v>
      </c>
    </row>
    <row r="287" spans="2:29" hidden="1" outlineLevel="1" x14ac:dyDescent="0.2">
      <c r="B287" s="73" t="s">
        <v>131</v>
      </c>
      <c r="N287" s="25">
        <f t="shared" ref="N287:Y287" si="86">N231</f>
        <v>469.57</v>
      </c>
      <c r="O287" s="25">
        <f t="shared" si="86"/>
        <v>684.75</v>
      </c>
      <c r="P287" s="25">
        <f t="shared" si="86"/>
        <v>839.58</v>
      </c>
      <c r="Q287" s="25">
        <f t="shared" si="86"/>
        <v>799.29</v>
      </c>
      <c r="R287" s="25">
        <f t="shared" si="86"/>
        <v>89.86</v>
      </c>
      <c r="S287" s="25">
        <f t="shared" si="86"/>
        <v>1124.71</v>
      </c>
      <c r="T287" s="25">
        <f t="shared" si="86"/>
        <v>0</v>
      </c>
      <c r="U287" s="25">
        <f t="shared" si="86"/>
        <v>0</v>
      </c>
      <c r="V287" s="25">
        <f t="shared" si="86"/>
        <v>0</v>
      </c>
      <c r="W287" s="25">
        <f t="shared" si="86"/>
        <v>0</v>
      </c>
      <c r="X287" s="25">
        <f t="shared" si="86"/>
        <v>4252.12</v>
      </c>
      <c r="Y287" s="25">
        <f t="shared" si="86"/>
        <v>7237.2099999999991</v>
      </c>
    </row>
    <row r="288" spans="2:29" hidden="1" outlineLevel="1" x14ac:dyDescent="0.2">
      <c r="B288" s="22" t="s">
        <v>194</v>
      </c>
      <c r="N288" s="96">
        <f>SUM(N285:N287)</f>
        <v>5120.37</v>
      </c>
      <c r="O288" s="96">
        <f t="shared" ref="O288:Y288" si="87">SUM(O285:O287)</f>
        <v>5219.8200000000006</v>
      </c>
      <c r="P288" s="96">
        <f t="shared" si="87"/>
        <v>5303.41</v>
      </c>
      <c r="Q288" s="96">
        <f t="shared" si="87"/>
        <v>5942.26</v>
      </c>
      <c r="R288" s="96">
        <f t="shared" si="87"/>
        <v>7104.99</v>
      </c>
      <c r="S288" s="96">
        <f t="shared" si="87"/>
        <v>7934.52</v>
      </c>
      <c r="T288" s="96">
        <f t="shared" si="87"/>
        <v>5912.5</v>
      </c>
      <c r="U288" s="96">
        <f t="shared" si="87"/>
        <v>8370.0300000000007</v>
      </c>
      <c r="V288" s="96">
        <f t="shared" si="87"/>
        <v>9691.92</v>
      </c>
      <c r="W288" s="96">
        <f t="shared" si="87"/>
        <v>11100.41</v>
      </c>
      <c r="X288" s="96">
        <f t="shared" si="87"/>
        <v>18651.03</v>
      </c>
      <c r="Y288" s="96">
        <f t="shared" si="87"/>
        <v>27055.34</v>
      </c>
    </row>
    <row r="289" spans="2:34" hidden="1" outlineLevel="1" x14ac:dyDescent="0.2">
      <c r="B289" s="22" t="s">
        <v>195</v>
      </c>
      <c r="N289" s="25">
        <f t="shared" ref="N289:Y289" si="88">N239</f>
        <v>1472.56</v>
      </c>
      <c r="O289" s="25">
        <f t="shared" si="88"/>
        <v>1672.73</v>
      </c>
      <c r="P289" s="25">
        <f t="shared" si="88"/>
        <v>1546.54</v>
      </c>
      <c r="Q289" s="25">
        <f t="shared" si="88"/>
        <v>2363.8000000000002</v>
      </c>
      <c r="R289" s="25">
        <f t="shared" si="88"/>
        <v>2828.3</v>
      </c>
      <c r="S289" s="25">
        <f t="shared" si="88"/>
        <v>3957.48</v>
      </c>
      <c r="T289" s="25">
        <f t="shared" si="88"/>
        <v>6154.72</v>
      </c>
      <c r="U289" s="25">
        <f t="shared" si="88"/>
        <v>7569.77</v>
      </c>
      <c r="V289" s="25">
        <f t="shared" si="88"/>
        <v>9008.83</v>
      </c>
      <c r="W289" s="25">
        <f t="shared" si="88"/>
        <v>10041.14</v>
      </c>
      <c r="X289" s="25">
        <f t="shared" si="88"/>
        <v>8344.39</v>
      </c>
      <c r="Y289" s="25">
        <f t="shared" si="88"/>
        <v>13989.32</v>
      </c>
    </row>
    <row r="290" spans="2:34" hidden="1" outlineLevel="1" x14ac:dyDescent="0.2">
      <c r="B290" s="18" t="s">
        <v>182</v>
      </c>
      <c r="N290" s="96">
        <f t="shared" ref="N290:Y290" si="89">SUM(N288:N289)</f>
        <v>6592.93</v>
      </c>
      <c r="O290" s="96">
        <f t="shared" si="89"/>
        <v>6892.5500000000011</v>
      </c>
      <c r="P290" s="96">
        <f t="shared" si="89"/>
        <v>6849.95</v>
      </c>
      <c r="Q290" s="96">
        <f t="shared" si="89"/>
        <v>8306.0600000000013</v>
      </c>
      <c r="R290" s="96">
        <f t="shared" si="89"/>
        <v>9933.2900000000009</v>
      </c>
      <c r="S290" s="96">
        <f t="shared" si="89"/>
        <v>11892</v>
      </c>
      <c r="T290" s="96">
        <f t="shared" si="89"/>
        <v>12067.220000000001</v>
      </c>
      <c r="U290" s="96">
        <f t="shared" si="89"/>
        <v>15939.800000000001</v>
      </c>
      <c r="V290" s="96">
        <f t="shared" si="89"/>
        <v>18700.75</v>
      </c>
      <c r="W290" s="96">
        <f t="shared" si="89"/>
        <v>21141.55</v>
      </c>
      <c r="X290" s="96">
        <f t="shared" si="89"/>
        <v>26995.42</v>
      </c>
      <c r="Y290" s="96">
        <f t="shared" si="89"/>
        <v>41044.660000000003</v>
      </c>
    </row>
    <row r="291" spans="2:34" hidden="1" outlineLevel="1" x14ac:dyDescent="0.2">
      <c r="B291" s="18"/>
      <c r="N291" s="96"/>
      <c r="O291" s="96"/>
      <c r="P291" s="96"/>
      <c r="Q291" s="96"/>
      <c r="R291" s="96"/>
      <c r="S291" s="96"/>
      <c r="T291" s="96"/>
      <c r="U291" s="96"/>
      <c r="V291" s="96"/>
      <c r="W291" s="96"/>
      <c r="X291" s="96"/>
      <c r="Y291" s="96"/>
    </row>
    <row r="292" spans="2:34" hidden="1" outlineLevel="1" x14ac:dyDescent="0.2">
      <c r="B292" s="18"/>
      <c r="N292" s="96"/>
      <c r="O292" s="96"/>
      <c r="P292" s="96"/>
      <c r="Q292" s="96"/>
      <c r="R292" s="96"/>
      <c r="S292" s="96"/>
      <c r="T292" s="96"/>
      <c r="U292" s="96"/>
      <c r="V292" s="96"/>
      <c r="W292" s="96"/>
      <c r="X292" s="96"/>
      <c r="Y292" s="96"/>
    </row>
    <row r="293" spans="2:34" hidden="1" outlineLevel="1" x14ac:dyDescent="0.2">
      <c r="B293" s="18"/>
      <c r="N293" s="96"/>
      <c r="O293" s="96"/>
      <c r="P293" s="96"/>
      <c r="Q293" s="96"/>
      <c r="R293" s="96"/>
      <c r="S293" s="96"/>
      <c r="T293" s="96"/>
      <c r="U293" s="96"/>
      <c r="V293" s="96"/>
      <c r="W293" s="96"/>
      <c r="X293" s="96"/>
      <c r="Y293" s="96"/>
    </row>
    <row r="294" spans="2:34" hidden="1" outlineLevel="1" x14ac:dyDescent="0.2">
      <c r="B294" s="18"/>
      <c r="N294" s="96"/>
      <c r="O294" s="96"/>
      <c r="P294" s="96"/>
      <c r="Q294" s="96"/>
      <c r="R294" s="96"/>
      <c r="S294" s="96"/>
      <c r="T294" s="96"/>
      <c r="U294" s="96"/>
      <c r="V294" s="96"/>
      <c r="W294" s="96"/>
      <c r="X294" s="96"/>
      <c r="Y294" s="96"/>
    </row>
    <row r="295" spans="2:34" collapsed="1" x14ac:dyDescent="0.2">
      <c r="B295" s="18"/>
      <c r="N295" s="96"/>
      <c r="O295" s="96"/>
      <c r="P295" s="96"/>
      <c r="Q295" s="96"/>
      <c r="R295" s="96"/>
      <c r="S295" s="96"/>
      <c r="T295" s="96"/>
      <c r="U295" s="96"/>
      <c r="V295" s="96"/>
      <c r="W295" s="96"/>
      <c r="X295" s="96"/>
      <c r="Y295" s="96"/>
    </row>
    <row r="296" spans="2:34" x14ac:dyDescent="0.2">
      <c r="B296" s="20" t="s">
        <v>368</v>
      </c>
      <c r="N296" s="96"/>
      <c r="O296" s="96"/>
      <c r="P296" s="96"/>
      <c r="Q296" s="96"/>
      <c r="R296" s="96"/>
      <c r="S296" s="96"/>
      <c r="T296" s="96"/>
      <c r="U296" s="96"/>
      <c r="V296" s="96"/>
      <c r="W296" s="96"/>
      <c r="X296" s="96"/>
      <c r="Y296" s="96"/>
    </row>
    <row r="297" spans="2:34" x14ac:dyDescent="0.2">
      <c r="B297" s="20"/>
      <c r="N297" s="96"/>
      <c r="O297" s="96"/>
      <c r="P297" s="96"/>
      <c r="Q297" s="96"/>
      <c r="R297" s="96"/>
      <c r="S297" s="96"/>
      <c r="T297" s="96"/>
      <c r="U297" s="96"/>
      <c r="V297" s="96"/>
      <c r="W297" s="96"/>
      <c r="X297" s="96"/>
      <c r="Y297" s="96"/>
    </row>
    <row r="298" spans="2:34" x14ac:dyDescent="0.2">
      <c r="B298" s="21" t="s">
        <v>366</v>
      </c>
      <c r="E298" s="21"/>
    </row>
    <row r="299" spans="2:34" x14ac:dyDescent="0.2">
      <c r="B299" s="148" t="s">
        <v>361</v>
      </c>
      <c r="C299" s="7" t="s">
        <v>123</v>
      </c>
      <c r="D299" s="24"/>
      <c r="E299" s="24"/>
      <c r="F299" s="24"/>
      <c r="G299" s="24"/>
      <c r="H299" s="24"/>
      <c r="I299" s="24"/>
      <c r="J299" s="24"/>
      <c r="K299" s="24">
        <v>277.44</v>
      </c>
      <c r="L299" s="24">
        <v>268.52</v>
      </c>
      <c r="M299" s="24">
        <v>358.85</v>
      </c>
      <c r="N299" s="24">
        <v>436.66</v>
      </c>
      <c r="O299" s="24">
        <v>405.24</v>
      </c>
      <c r="P299" s="24">
        <v>337.11</v>
      </c>
      <c r="Q299" s="24">
        <v>283.87</v>
      </c>
      <c r="R299" s="24"/>
      <c r="S299" s="24"/>
      <c r="T299" s="24"/>
      <c r="U299" s="24"/>
      <c r="V299" s="24"/>
      <c r="W299" s="24"/>
      <c r="X299" s="24"/>
      <c r="Y299" s="24"/>
      <c r="Z299" s="24"/>
      <c r="AA299" s="24"/>
      <c r="AB299" s="24"/>
      <c r="AC299" s="24"/>
      <c r="AD299" s="24"/>
      <c r="AE299" s="24"/>
      <c r="AF299" s="24"/>
      <c r="AG299" s="24"/>
      <c r="AH299" s="24"/>
    </row>
    <row r="300" spans="2:34" x14ac:dyDescent="0.2">
      <c r="B300" s="148" t="s">
        <v>28</v>
      </c>
      <c r="C300" s="7" t="s">
        <v>123</v>
      </c>
      <c r="D300" s="24"/>
      <c r="E300" s="24"/>
      <c r="F300" s="24"/>
      <c r="G300" s="24"/>
      <c r="H300" s="24"/>
      <c r="I300" s="24"/>
      <c r="J300" s="24"/>
      <c r="K300" s="24">
        <v>2347.5700000000002</v>
      </c>
      <c r="L300" s="24">
        <v>2152.89</v>
      </c>
      <c r="M300" s="24">
        <v>2327.94</v>
      </c>
      <c r="N300" s="24">
        <v>2256.96</v>
      </c>
      <c r="O300" s="24">
        <v>2048.5300000000002</v>
      </c>
      <c r="P300" s="24">
        <v>1871.61</v>
      </c>
      <c r="Q300" s="24">
        <v>1749.67</v>
      </c>
      <c r="R300" s="24"/>
      <c r="S300" s="24"/>
      <c r="T300" s="24"/>
      <c r="U300" s="24"/>
      <c r="V300" s="24"/>
      <c r="W300" s="24"/>
      <c r="X300" s="24"/>
      <c r="Y300" s="24"/>
      <c r="Z300" s="24"/>
      <c r="AA300" s="24"/>
      <c r="AB300" s="24"/>
      <c r="AC300" s="24"/>
      <c r="AD300" s="24"/>
      <c r="AE300" s="24"/>
      <c r="AF300" s="24"/>
      <c r="AG300" s="24"/>
      <c r="AH300" s="24"/>
    </row>
    <row r="301" spans="2:34" x14ac:dyDescent="0.2">
      <c r="B301" s="148" t="s">
        <v>31</v>
      </c>
      <c r="C301" s="7" t="s">
        <v>123</v>
      </c>
      <c r="D301" s="24"/>
      <c r="E301" s="24"/>
      <c r="F301" s="24"/>
      <c r="G301" s="24"/>
      <c r="H301" s="24"/>
      <c r="I301" s="24"/>
      <c r="J301" s="24"/>
      <c r="K301" s="24">
        <v>274.43</v>
      </c>
      <c r="L301" s="24">
        <v>247.34</v>
      </c>
      <c r="M301" s="24">
        <v>261.91000000000003</v>
      </c>
      <c r="N301" s="24">
        <v>244.69</v>
      </c>
      <c r="O301" s="24">
        <v>200.92</v>
      </c>
      <c r="P301" s="24">
        <v>170.45</v>
      </c>
      <c r="Q301" s="24">
        <v>141.53</v>
      </c>
      <c r="R301" s="24"/>
      <c r="S301" s="24"/>
      <c r="T301" s="24"/>
      <c r="U301" s="24"/>
      <c r="V301" s="24"/>
      <c r="W301" s="24"/>
      <c r="X301" s="24"/>
      <c r="Y301" s="24"/>
      <c r="Z301" s="24"/>
      <c r="AA301" s="24"/>
      <c r="AB301" s="24"/>
      <c r="AC301" s="24"/>
      <c r="AD301" s="24"/>
      <c r="AE301" s="24"/>
      <c r="AF301" s="24"/>
      <c r="AG301" s="24"/>
      <c r="AH301" s="24"/>
    </row>
    <row r="302" spans="2:34" x14ac:dyDescent="0.2">
      <c r="B302" s="148" t="s">
        <v>223</v>
      </c>
      <c r="C302" s="7" t="s">
        <v>123</v>
      </c>
      <c r="D302" s="24"/>
      <c r="E302" s="24"/>
      <c r="F302" s="24"/>
      <c r="G302" s="24"/>
      <c r="H302" s="24"/>
      <c r="I302" s="24"/>
      <c r="J302" s="24"/>
      <c r="K302" s="24">
        <v>341.54</v>
      </c>
      <c r="L302" s="24">
        <v>351.2</v>
      </c>
      <c r="M302" s="24">
        <v>374.83</v>
      </c>
      <c r="N302" s="24">
        <v>397.74</v>
      </c>
      <c r="O302" s="24">
        <v>406.73</v>
      </c>
      <c r="P302" s="24">
        <v>440.73</v>
      </c>
      <c r="Q302" s="24">
        <v>452.54</v>
      </c>
      <c r="R302" s="24"/>
      <c r="S302" s="24"/>
      <c r="T302" s="24"/>
      <c r="U302" s="24"/>
      <c r="V302" s="24"/>
      <c r="W302" s="24"/>
      <c r="X302" s="24"/>
      <c r="Y302" s="24"/>
      <c r="Z302" s="24"/>
      <c r="AA302" s="24"/>
      <c r="AB302" s="24"/>
      <c r="AC302" s="24"/>
      <c r="AD302" s="24"/>
      <c r="AE302" s="24"/>
      <c r="AF302" s="24"/>
      <c r="AG302" s="24"/>
      <c r="AH302" s="24"/>
    </row>
    <row r="303" spans="2:34" x14ac:dyDescent="0.2">
      <c r="B303" s="149" t="s">
        <v>362</v>
      </c>
      <c r="C303" s="124" t="s">
        <v>123</v>
      </c>
      <c r="D303" s="87"/>
      <c r="E303" s="87"/>
      <c r="F303" s="87"/>
      <c r="G303" s="87"/>
      <c r="H303" s="87"/>
      <c r="I303" s="87"/>
      <c r="J303" s="87"/>
      <c r="K303" s="87">
        <v>2963.54</v>
      </c>
      <c r="L303" s="87">
        <v>2751.43</v>
      </c>
      <c r="M303" s="87">
        <v>2964.68</v>
      </c>
      <c r="N303" s="87">
        <v>2899.39</v>
      </c>
      <c r="O303" s="87">
        <v>2656.18</v>
      </c>
      <c r="P303" s="87">
        <v>2482.79</v>
      </c>
      <c r="Q303" s="87">
        <v>2343.7399999999998</v>
      </c>
      <c r="R303" s="87"/>
      <c r="S303" s="87"/>
      <c r="T303" s="87"/>
      <c r="U303" s="87"/>
      <c r="V303" s="87"/>
      <c r="W303" s="87"/>
      <c r="X303" s="87"/>
      <c r="Y303" s="87"/>
      <c r="Z303" s="87"/>
      <c r="AA303" s="87"/>
      <c r="AB303" s="87"/>
      <c r="AC303" s="87"/>
      <c r="AD303" s="87"/>
      <c r="AE303" s="87"/>
      <c r="AF303" s="87"/>
      <c r="AG303" s="87"/>
      <c r="AH303" s="87"/>
    </row>
    <row r="304" spans="2:34" x14ac:dyDescent="0.2">
      <c r="B304" s="149" t="s">
        <v>225</v>
      </c>
      <c r="C304" s="124" t="s">
        <v>123</v>
      </c>
      <c r="D304" s="87"/>
      <c r="E304" s="87"/>
      <c r="F304" s="87"/>
      <c r="G304" s="87"/>
      <c r="H304" s="87"/>
      <c r="I304" s="87"/>
      <c r="J304" s="87"/>
      <c r="K304" s="87">
        <v>3240.98</v>
      </c>
      <c r="L304" s="87">
        <v>3019.95</v>
      </c>
      <c r="M304" s="87">
        <v>3323.53</v>
      </c>
      <c r="N304" s="87">
        <v>3336.05</v>
      </c>
      <c r="O304" s="87">
        <v>3061.42</v>
      </c>
      <c r="P304" s="87">
        <v>2819.9</v>
      </c>
      <c r="Q304" s="87">
        <v>2627.61</v>
      </c>
      <c r="R304" s="87"/>
      <c r="S304" s="87"/>
      <c r="T304" s="87"/>
      <c r="U304" s="87"/>
      <c r="V304" s="87"/>
      <c r="W304" s="87"/>
      <c r="X304" s="87"/>
      <c r="Y304" s="87"/>
      <c r="Z304" s="87"/>
      <c r="AA304" s="87"/>
      <c r="AB304" s="87"/>
      <c r="AC304" s="87"/>
      <c r="AD304" s="87"/>
      <c r="AE304" s="87"/>
      <c r="AF304" s="87"/>
      <c r="AG304" s="87"/>
      <c r="AH304" s="87"/>
    </row>
    <row r="305" spans="2:34" x14ac:dyDescent="0.2">
      <c r="B305" s="85" t="s">
        <v>296</v>
      </c>
      <c r="C305" s="7" t="s">
        <v>123</v>
      </c>
      <c r="D305" s="24"/>
      <c r="E305" s="24"/>
      <c r="F305" s="24"/>
      <c r="G305" s="24"/>
      <c r="H305" s="24"/>
      <c r="I305" s="24"/>
      <c r="J305" s="24"/>
      <c r="K305" s="24">
        <v>17.510000000000002</v>
      </c>
      <c r="L305" s="24">
        <v>16.440000000000001</v>
      </c>
      <c r="M305" s="24">
        <v>19.45</v>
      </c>
      <c r="N305" s="24">
        <v>75.84</v>
      </c>
      <c r="O305" s="24">
        <v>274.56</v>
      </c>
      <c r="P305" s="24">
        <v>625.09</v>
      </c>
      <c r="Q305" s="24">
        <v>765.09</v>
      </c>
      <c r="R305" s="24"/>
      <c r="S305" s="24"/>
      <c r="T305" s="24"/>
      <c r="U305" s="24"/>
      <c r="V305" s="24"/>
      <c r="W305" s="24"/>
      <c r="X305" s="24"/>
      <c r="Y305" s="24"/>
      <c r="Z305" s="24"/>
      <c r="AA305" s="24"/>
      <c r="AB305" s="24"/>
      <c r="AC305" s="24"/>
      <c r="AD305" s="24"/>
      <c r="AE305" s="24"/>
      <c r="AF305" s="24"/>
      <c r="AG305" s="24"/>
      <c r="AH305" s="24"/>
    </row>
    <row r="306" spans="2:34" s="66" customFormat="1" x14ac:dyDescent="0.2">
      <c r="B306" s="88" t="s">
        <v>227</v>
      </c>
      <c r="C306" s="124" t="s">
        <v>123</v>
      </c>
      <c r="D306" s="87"/>
      <c r="E306" s="87"/>
      <c r="F306" s="87"/>
      <c r="G306" s="87"/>
      <c r="H306" s="87"/>
      <c r="I306" s="87"/>
      <c r="J306" s="87"/>
      <c r="K306" s="87">
        <v>3258.49</v>
      </c>
      <c r="L306" s="87">
        <v>3036.39</v>
      </c>
      <c r="M306" s="87">
        <v>3342.98</v>
      </c>
      <c r="N306" s="87">
        <v>3411.89</v>
      </c>
      <c r="O306" s="87">
        <v>3335.98</v>
      </c>
      <c r="P306" s="87">
        <v>3444.99</v>
      </c>
      <c r="Q306" s="87">
        <v>3392.7</v>
      </c>
      <c r="R306" s="87"/>
      <c r="S306" s="87"/>
      <c r="T306" s="87"/>
      <c r="U306" s="87"/>
      <c r="V306" s="87"/>
      <c r="W306" s="87"/>
      <c r="X306" s="87"/>
      <c r="Y306" s="87"/>
      <c r="Z306" s="87"/>
      <c r="AA306" s="87"/>
      <c r="AB306" s="87"/>
      <c r="AC306" s="87"/>
      <c r="AD306" s="87"/>
      <c r="AE306" s="87"/>
      <c r="AF306" s="87"/>
      <c r="AG306" s="87"/>
      <c r="AH306" s="87"/>
    </row>
    <row r="307" spans="2:34" x14ac:dyDescent="0.2">
      <c r="B307" s="148" t="s">
        <v>363</v>
      </c>
      <c r="C307" s="7" t="s">
        <v>123</v>
      </c>
      <c r="D307" s="24"/>
      <c r="E307" s="24"/>
      <c r="F307" s="24"/>
      <c r="G307" s="24"/>
      <c r="H307" s="24"/>
      <c r="I307" s="24"/>
      <c r="J307" s="24"/>
      <c r="K307" s="24">
        <v>285.32</v>
      </c>
      <c r="L307" s="24">
        <v>205.46</v>
      </c>
      <c r="M307" s="24">
        <v>309.04000000000002</v>
      </c>
      <c r="N307" s="24">
        <v>265.08</v>
      </c>
      <c r="O307" s="24">
        <v>208.44</v>
      </c>
      <c r="P307" s="24">
        <v>129.68</v>
      </c>
      <c r="Q307" s="24">
        <v>126.69</v>
      </c>
      <c r="R307" s="24"/>
      <c r="S307" s="24"/>
      <c r="T307" s="24"/>
      <c r="U307" s="24"/>
      <c r="V307" s="24"/>
      <c r="W307" s="24"/>
      <c r="X307" s="24"/>
      <c r="Y307" s="24"/>
      <c r="Z307" s="24"/>
      <c r="AA307" s="24"/>
      <c r="AB307" s="24"/>
      <c r="AC307" s="24"/>
      <c r="AD307" s="24"/>
      <c r="AE307" s="24"/>
      <c r="AF307" s="24"/>
      <c r="AG307" s="24"/>
      <c r="AH307" s="24"/>
    </row>
    <row r="308" spans="2:34" x14ac:dyDescent="0.2">
      <c r="B308" s="148" t="s">
        <v>31</v>
      </c>
      <c r="C308" s="124" t="s">
        <v>123</v>
      </c>
      <c r="D308" s="87"/>
      <c r="E308" s="87"/>
      <c r="F308" s="87"/>
      <c r="G308" s="87"/>
      <c r="H308" s="87"/>
      <c r="I308" s="87"/>
      <c r="J308" s="87"/>
      <c r="K308" s="87">
        <v>234.68</v>
      </c>
      <c r="L308" s="87">
        <v>262.43</v>
      </c>
      <c r="M308" s="87">
        <v>253.52</v>
      </c>
      <c r="N308" s="87">
        <v>172.07</v>
      </c>
      <c r="O308" s="87">
        <v>95.38</v>
      </c>
      <c r="P308" s="87">
        <v>78.59</v>
      </c>
      <c r="Q308" s="87">
        <v>119.34</v>
      </c>
      <c r="R308" s="87"/>
      <c r="S308" s="87"/>
      <c r="T308" s="87"/>
      <c r="U308" s="87"/>
      <c r="V308" s="87"/>
      <c r="W308" s="87"/>
      <c r="X308" s="87"/>
      <c r="Y308" s="87"/>
      <c r="Z308" s="87"/>
      <c r="AA308" s="87"/>
      <c r="AB308" s="87"/>
      <c r="AC308" s="87"/>
      <c r="AD308" s="87"/>
      <c r="AE308" s="87"/>
      <c r="AF308" s="87"/>
      <c r="AG308" s="87"/>
      <c r="AH308" s="87"/>
    </row>
    <row r="309" spans="2:34" x14ac:dyDescent="0.2">
      <c r="B309" s="148" t="s">
        <v>223</v>
      </c>
      <c r="C309" s="124" t="s">
        <v>123</v>
      </c>
      <c r="D309" s="87"/>
      <c r="E309" s="87"/>
      <c r="F309" s="87"/>
      <c r="G309" s="87"/>
      <c r="H309" s="87"/>
      <c r="I309" s="87"/>
      <c r="J309" s="87"/>
      <c r="K309" s="87">
        <v>3.55</v>
      </c>
      <c r="L309" s="87">
        <v>1.0900000000000001</v>
      </c>
      <c r="M309" s="87">
        <v>1.7</v>
      </c>
      <c r="N309" s="87">
        <v>1.84</v>
      </c>
      <c r="O309" s="87">
        <v>2.2799999999999998</v>
      </c>
      <c r="P309" s="87">
        <v>10.36</v>
      </c>
      <c r="Q309" s="87">
        <v>189.91</v>
      </c>
      <c r="R309" s="87"/>
      <c r="S309" s="87"/>
      <c r="T309" s="87"/>
      <c r="U309" s="87"/>
      <c r="V309" s="87"/>
      <c r="W309" s="87"/>
      <c r="X309" s="87"/>
      <c r="Y309" s="87"/>
      <c r="Z309" s="87"/>
      <c r="AA309" s="87"/>
      <c r="AB309" s="87"/>
      <c r="AC309" s="87"/>
      <c r="AD309" s="87"/>
      <c r="AE309" s="87"/>
      <c r="AF309" s="87"/>
      <c r="AG309" s="87"/>
      <c r="AH309" s="87"/>
    </row>
    <row r="310" spans="2:34" x14ac:dyDescent="0.2">
      <c r="B310" s="148" t="s">
        <v>362</v>
      </c>
      <c r="C310" s="7" t="s">
        <v>123</v>
      </c>
      <c r="D310" s="24"/>
      <c r="E310" s="24"/>
      <c r="F310" s="24"/>
      <c r="G310" s="24"/>
      <c r="H310" s="24"/>
      <c r="I310" s="24"/>
      <c r="J310" s="24"/>
      <c r="K310" s="24">
        <v>238.23</v>
      </c>
      <c r="L310" s="24">
        <v>263.52</v>
      </c>
      <c r="M310" s="24">
        <v>255.22</v>
      </c>
      <c r="N310" s="24">
        <v>173.91</v>
      </c>
      <c r="O310" s="24">
        <v>97.66</v>
      </c>
      <c r="P310" s="24">
        <v>88.95</v>
      </c>
      <c r="Q310" s="24">
        <v>309.25</v>
      </c>
      <c r="R310" s="24"/>
      <c r="S310" s="24"/>
      <c r="T310" s="24"/>
      <c r="U310" s="24"/>
      <c r="V310" s="24"/>
      <c r="W310" s="24"/>
      <c r="X310" s="24"/>
      <c r="Y310" s="24"/>
      <c r="Z310" s="24"/>
      <c r="AA310" s="24"/>
      <c r="AB310" s="24"/>
      <c r="AC310" s="24"/>
      <c r="AD310" s="24"/>
      <c r="AE310" s="24"/>
      <c r="AF310" s="24"/>
      <c r="AG310" s="24"/>
      <c r="AH310" s="24"/>
    </row>
    <row r="311" spans="2:34" s="66" customFormat="1" x14ac:dyDescent="0.2">
      <c r="B311" s="88" t="s">
        <v>364</v>
      </c>
      <c r="C311" s="124" t="s">
        <v>123</v>
      </c>
      <c r="D311" s="87"/>
      <c r="E311" s="87"/>
      <c r="F311" s="87"/>
      <c r="G311" s="87"/>
      <c r="H311" s="87"/>
      <c r="I311" s="87"/>
      <c r="J311" s="87"/>
      <c r="K311" s="87">
        <v>523.54999999999995</v>
      </c>
      <c r="L311" s="87">
        <v>468.98</v>
      </c>
      <c r="M311" s="87">
        <v>564.26</v>
      </c>
      <c r="N311" s="87">
        <v>438.99</v>
      </c>
      <c r="O311" s="87">
        <v>306.10000000000002</v>
      </c>
      <c r="P311" s="87">
        <v>218.63</v>
      </c>
      <c r="Q311" s="87">
        <v>435.93</v>
      </c>
      <c r="R311" s="87"/>
      <c r="S311" s="87"/>
      <c r="T311" s="87"/>
      <c r="U311" s="87"/>
      <c r="V311" s="87"/>
      <c r="W311" s="87"/>
      <c r="X311" s="87"/>
      <c r="Y311" s="87"/>
      <c r="Z311" s="87"/>
      <c r="AA311" s="87"/>
      <c r="AB311" s="87"/>
      <c r="AC311" s="87"/>
      <c r="AD311" s="87"/>
      <c r="AE311" s="87"/>
      <c r="AF311" s="87"/>
      <c r="AG311" s="87"/>
      <c r="AH311" s="87"/>
    </row>
    <row r="312" spans="2:34" s="67" customFormat="1" x14ac:dyDescent="0.2">
      <c r="B312" s="72" t="s">
        <v>365</v>
      </c>
      <c r="C312" s="79" t="s">
        <v>123</v>
      </c>
      <c r="D312" s="69"/>
      <c r="E312" s="69"/>
      <c r="F312" s="69"/>
      <c r="G312" s="69"/>
      <c r="H312" s="69"/>
      <c r="I312" s="69"/>
      <c r="J312" s="69"/>
      <c r="K312" s="69">
        <v>3782.04</v>
      </c>
      <c r="L312" s="69">
        <v>3505.37</v>
      </c>
      <c r="M312" s="69">
        <v>3907.24</v>
      </c>
      <c r="N312" s="69">
        <v>3850.88</v>
      </c>
      <c r="O312" s="69">
        <v>3642.08</v>
      </c>
      <c r="P312" s="69">
        <v>3663.62</v>
      </c>
      <c r="Q312" s="69">
        <v>3828.63</v>
      </c>
      <c r="R312" s="69"/>
      <c r="S312" s="69"/>
      <c r="T312" s="69"/>
      <c r="U312" s="69"/>
      <c r="V312" s="69"/>
      <c r="W312" s="69"/>
      <c r="X312" s="69"/>
      <c r="Y312" s="69"/>
      <c r="Z312" s="69"/>
      <c r="AA312" s="69"/>
      <c r="AB312" s="69"/>
      <c r="AC312" s="69"/>
      <c r="AD312" s="69"/>
      <c r="AE312" s="69"/>
      <c r="AF312" s="69"/>
      <c r="AG312" s="69"/>
      <c r="AH312" s="69"/>
    </row>
    <row r="314" spans="2:34" x14ac:dyDescent="0.2">
      <c r="B314" s="21" t="s">
        <v>371</v>
      </c>
      <c r="E314" s="21"/>
    </row>
    <row r="315" spans="2:34" x14ac:dyDescent="0.2">
      <c r="B315" s="148" t="s">
        <v>361</v>
      </c>
      <c r="C315" s="7" t="s">
        <v>123</v>
      </c>
      <c r="D315" s="24"/>
      <c r="E315" s="24"/>
      <c r="F315" s="24"/>
      <c r="G315" s="24"/>
      <c r="H315" s="24"/>
      <c r="I315" s="24"/>
      <c r="J315" s="24"/>
      <c r="K315" s="24"/>
      <c r="L315" s="24"/>
      <c r="M315" s="24"/>
      <c r="N315" s="24"/>
      <c r="O315" s="24"/>
      <c r="P315" s="24"/>
      <c r="Q315" s="24">
        <v>32.53</v>
      </c>
      <c r="R315" s="24"/>
      <c r="S315" s="24"/>
      <c r="T315" s="24"/>
      <c r="U315" s="24"/>
      <c r="V315" s="24"/>
      <c r="W315" s="24"/>
      <c r="X315" s="24"/>
      <c r="Y315" s="24"/>
      <c r="Z315" s="24"/>
      <c r="AA315" s="24"/>
      <c r="AB315" s="24"/>
      <c r="AC315" s="24"/>
      <c r="AD315" s="24"/>
      <c r="AE315" s="24"/>
      <c r="AF315" s="24"/>
      <c r="AG315" s="24"/>
      <c r="AH315" s="24"/>
    </row>
    <row r="316" spans="2:34" x14ac:dyDescent="0.2">
      <c r="B316" s="148" t="s">
        <v>28</v>
      </c>
      <c r="C316" s="7" t="s">
        <v>123</v>
      </c>
      <c r="D316" s="24"/>
      <c r="E316" s="24"/>
      <c r="F316" s="24"/>
      <c r="G316" s="24"/>
      <c r="H316" s="24"/>
      <c r="I316" s="24"/>
      <c r="J316" s="24"/>
      <c r="K316" s="24"/>
      <c r="L316" s="24"/>
      <c r="M316" s="24"/>
      <c r="N316" s="24"/>
      <c r="O316" s="24"/>
      <c r="P316" s="24"/>
      <c r="Q316" s="24">
        <v>330.75</v>
      </c>
      <c r="R316" s="24"/>
      <c r="S316" s="24"/>
      <c r="T316" s="24"/>
      <c r="U316" s="24"/>
      <c r="V316" s="24"/>
      <c r="W316" s="24"/>
      <c r="X316" s="24"/>
      <c r="Y316" s="24"/>
      <c r="Z316" s="24"/>
      <c r="AA316" s="24"/>
      <c r="AB316" s="24"/>
      <c r="AC316" s="24"/>
      <c r="AD316" s="24"/>
      <c r="AE316" s="24"/>
      <c r="AF316" s="24"/>
      <c r="AG316" s="24"/>
      <c r="AH316" s="24"/>
    </row>
    <row r="317" spans="2:34" x14ac:dyDescent="0.2">
      <c r="B317" s="148" t="s">
        <v>31</v>
      </c>
      <c r="C317" s="7" t="s">
        <v>123</v>
      </c>
      <c r="D317" s="24"/>
      <c r="E317" s="24"/>
      <c r="F317" s="24"/>
      <c r="G317" s="24"/>
      <c r="H317" s="24"/>
      <c r="I317" s="24"/>
      <c r="J317" s="24"/>
      <c r="K317" s="24"/>
      <c r="L317" s="24"/>
      <c r="M317" s="24"/>
      <c r="N317" s="24"/>
      <c r="O317" s="24"/>
      <c r="P317" s="24"/>
      <c r="Q317" s="24">
        <v>23.94</v>
      </c>
      <c r="R317" s="24"/>
      <c r="S317" s="24"/>
      <c r="T317" s="24"/>
      <c r="U317" s="24"/>
      <c r="V317" s="24"/>
      <c r="W317" s="24"/>
      <c r="X317" s="24"/>
      <c r="Y317" s="24"/>
      <c r="Z317" s="24"/>
      <c r="AA317" s="24"/>
      <c r="AB317" s="24"/>
      <c r="AC317" s="24"/>
      <c r="AD317" s="24"/>
      <c r="AE317" s="24"/>
      <c r="AF317" s="24"/>
      <c r="AG317" s="24"/>
      <c r="AH317" s="24"/>
    </row>
    <row r="318" spans="2:34" x14ac:dyDescent="0.2">
      <c r="B318" s="148" t="s">
        <v>223</v>
      </c>
      <c r="C318" s="7" t="s">
        <v>123</v>
      </c>
      <c r="D318" s="24"/>
      <c r="E318" s="24"/>
      <c r="F318" s="24"/>
      <c r="G318" s="24"/>
      <c r="H318" s="24"/>
      <c r="I318" s="24"/>
      <c r="J318" s="24"/>
      <c r="K318" s="24"/>
      <c r="L318" s="24"/>
      <c r="M318" s="24"/>
      <c r="N318" s="24"/>
      <c r="O318" s="24"/>
      <c r="P318" s="24"/>
      <c r="Q318" s="24">
        <v>105.45</v>
      </c>
      <c r="R318" s="24"/>
      <c r="S318" s="24"/>
      <c r="T318" s="24"/>
      <c r="U318" s="24"/>
      <c r="V318" s="24"/>
      <c r="W318" s="24"/>
      <c r="X318" s="24"/>
      <c r="Y318" s="24"/>
      <c r="Z318" s="24"/>
      <c r="AA318" s="24"/>
      <c r="AB318" s="24"/>
      <c r="AC318" s="24"/>
      <c r="AD318" s="24"/>
      <c r="AE318" s="24"/>
      <c r="AF318" s="24"/>
      <c r="AG318" s="24"/>
      <c r="AH318" s="24"/>
    </row>
    <row r="319" spans="2:34" x14ac:dyDescent="0.2">
      <c r="B319" s="149" t="s">
        <v>362</v>
      </c>
      <c r="C319" s="124" t="s">
        <v>123</v>
      </c>
      <c r="D319" s="87"/>
      <c r="E319" s="87"/>
      <c r="F319" s="87"/>
      <c r="G319" s="87"/>
      <c r="H319" s="87"/>
      <c r="I319" s="87"/>
      <c r="J319" s="87"/>
      <c r="K319" s="87"/>
      <c r="L319" s="87"/>
      <c r="M319" s="87"/>
      <c r="N319" s="87"/>
      <c r="O319" s="87"/>
      <c r="P319" s="87"/>
      <c r="Q319" s="87">
        <v>460.14</v>
      </c>
      <c r="R319" s="87"/>
      <c r="S319" s="87"/>
      <c r="T319" s="87"/>
      <c r="U319" s="87"/>
      <c r="V319" s="87"/>
      <c r="W319" s="87"/>
      <c r="X319" s="87"/>
      <c r="Y319" s="87"/>
      <c r="Z319" s="87"/>
      <c r="AA319" s="87"/>
      <c r="AB319" s="87"/>
      <c r="AC319" s="87"/>
      <c r="AD319" s="87"/>
      <c r="AE319" s="87"/>
      <c r="AF319" s="87"/>
      <c r="AG319" s="87"/>
      <c r="AH319" s="87"/>
    </row>
    <row r="320" spans="2:34" x14ac:dyDescent="0.2">
      <c r="B320" s="149" t="s">
        <v>225</v>
      </c>
      <c r="C320" s="124" t="s">
        <v>123</v>
      </c>
      <c r="D320" s="87"/>
      <c r="E320" s="87"/>
      <c r="F320" s="87"/>
      <c r="G320" s="87"/>
      <c r="H320" s="87"/>
      <c r="I320" s="87"/>
      <c r="J320" s="87"/>
      <c r="K320" s="87"/>
      <c r="L320" s="87"/>
      <c r="M320" s="87"/>
      <c r="N320" s="87"/>
      <c r="O320" s="87"/>
      <c r="P320" s="87"/>
      <c r="Q320" s="87">
        <v>492.68</v>
      </c>
      <c r="R320" s="87"/>
      <c r="S320" s="87"/>
      <c r="T320" s="87"/>
      <c r="U320" s="87"/>
      <c r="V320" s="87"/>
      <c r="W320" s="87"/>
      <c r="X320" s="87"/>
      <c r="Y320" s="87"/>
      <c r="Z320" s="87"/>
      <c r="AA320" s="87"/>
      <c r="AB320" s="87"/>
      <c r="AC320" s="87"/>
      <c r="AD320" s="87"/>
      <c r="AE320" s="87"/>
      <c r="AF320" s="87"/>
      <c r="AG320" s="87"/>
      <c r="AH320" s="87"/>
    </row>
    <row r="321" spans="2:34" x14ac:dyDescent="0.2">
      <c r="B321" s="85" t="s">
        <v>296</v>
      </c>
      <c r="C321" s="7" t="s">
        <v>123</v>
      </c>
      <c r="D321" s="24"/>
      <c r="E321" s="24"/>
      <c r="F321" s="24"/>
      <c r="G321" s="24"/>
      <c r="H321" s="24"/>
      <c r="I321" s="24"/>
      <c r="J321" s="24"/>
      <c r="K321" s="24"/>
      <c r="L321" s="24"/>
      <c r="M321" s="24"/>
      <c r="N321" s="24"/>
      <c r="O321" s="24"/>
      <c r="P321" s="24"/>
      <c r="Q321" s="24">
        <v>97.48</v>
      </c>
      <c r="R321" s="24"/>
      <c r="S321" s="24"/>
      <c r="T321" s="24"/>
      <c r="U321" s="24"/>
      <c r="V321" s="24"/>
      <c r="W321" s="24"/>
      <c r="X321" s="24"/>
      <c r="Y321" s="24"/>
      <c r="Z321" s="24"/>
      <c r="AA321" s="24"/>
      <c r="AB321" s="24"/>
      <c r="AC321" s="24"/>
      <c r="AD321" s="24"/>
      <c r="AE321" s="24"/>
      <c r="AF321" s="24"/>
      <c r="AG321" s="24"/>
      <c r="AH321" s="24"/>
    </row>
    <row r="322" spans="2:34" s="66" customFormat="1" x14ac:dyDescent="0.2">
      <c r="B322" s="88" t="s">
        <v>227</v>
      </c>
      <c r="C322" s="124" t="s">
        <v>123</v>
      </c>
      <c r="D322" s="87"/>
      <c r="E322" s="87"/>
      <c r="F322" s="87"/>
      <c r="G322" s="87"/>
      <c r="H322" s="87"/>
      <c r="I322" s="87"/>
      <c r="J322" s="87"/>
      <c r="K322" s="87"/>
      <c r="L322" s="87"/>
      <c r="M322" s="87"/>
      <c r="N322" s="87"/>
      <c r="O322" s="87"/>
      <c r="P322" s="87"/>
      <c r="Q322" s="87">
        <v>590.16</v>
      </c>
      <c r="R322" s="87"/>
      <c r="S322" s="87"/>
      <c r="T322" s="87"/>
      <c r="U322" s="87"/>
      <c r="V322" s="87"/>
      <c r="W322" s="87"/>
      <c r="X322" s="87"/>
      <c r="Y322" s="87"/>
      <c r="Z322" s="87"/>
      <c r="AA322" s="87"/>
      <c r="AB322" s="87"/>
      <c r="AC322" s="87"/>
      <c r="AD322" s="87"/>
      <c r="AE322" s="87"/>
      <c r="AF322" s="87"/>
      <c r="AG322" s="87"/>
      <c r="AH322" s="87"/>
    </row>
    <row r="323" spans="2:34" x14ac:dyDescent="0.2">
      <c r="B323" s="148" t="s">
        <v>363</v>
      </c>
      <c r="C323" s="7" t="s">
        <v>123</v>
      </c>
      <c r="D323" s="24"/>
      <c r="E323" s="24"/>
      <c r="F323" s="24"/>
      <c r="G323" s="24"/>
      <c r="H323" s="24"/>
      <c r="I323" s="24"/>
      <c r="J323" s="24"/>
      <c r="K323" s="24"/>
      <c r="L323" s="24"/>
      <c r="M323" s="24"/>
      <c r="N323" s="24"/>
      <c r="O323" s="24"/>
      <c r="P323" s="24"/>
      <c r="Q323" s="24">
        <v>1.29</v>
      </c>
      <c r="R323" s="24"/>
      <c r="S323" s="24"/>
      <c r="T323" s="24"/>
      <c r="U323" s="24"/>
      <c r="V323" s="24"/>
      <c r="W323" s="24"/>
      <c r="X323" s="24"/>
      <c r="Y323" s="24"/>
      <c r="Z323" s="24"/>
      <c r="AA323" s="24"/>
      <c r="AB323" s="24"/>
      <c r="AC323" s="24"/>
      <c r="AD323" s="24"/>
      <c r="AE323" s="24"/>
      <c r="AF323" s="24"/>
      <c r="AG323" s="24"/>
      <c r="AH323" s="24"/>
    </row>
    <row r="324" spans="2:34" x14ac:dyDescent="0.2">
      <c r="B324" s="148" t="s">
        <v>31</v>
      </c>
      <c r="C324" s="124" t="s">
        <v>123</v>
      </c>
      <c r="D324" s="87"/>
      <c r="E324" s="87"/>
      <c r="F324" s="87"/>
      <c r="G324" s="87"/>
      <c r="H324" s="87"/>
      <c r="I324" s="87"/>
      <c r="J324" s="87"/>
      <c r="K324" s="87"/>
      <c r="L324" s="87"/>
      <c r="M324" s="87"/>
      <c r="N324" s="87"/>
      <c r="O324" s="87"/>
      <c r="P324" s="87"/>
      <c r="Q324" s="87">
        <v>4.87</v>
      </c>
      <c r="R324" s="87"/>
      <c r="S324" s="87"/>
      <c r="T324" s="87"/>
      <c r="U324" s="87"/>
      <c r="V324" s="87"/>
      <c r="W324" s="87"/>
      <c r="X324" s="87"/>
      <c r="Y324" s="87"/>
      <c r="Z324" s="87"/>
      <c r="AA324" s="87"/>
      <c r="AB324" s="87"/>
      <c r="AC324" s="87"/>
      <c r="AD324" s="87"/>
      <c r="AE324" s="87"/>
      <c r="AF324" s="87"/>
      <c r="AG324" s="87"/>
      <c r="AH324" s="87"/>
    </row>
    <row r="325" spans="2:34" x14ac:dyDescent="0.2">
      <c r="B325" s="148" t="s">
        <v>223</v>
      </c>
      <c r="C325" s="124" t="s">
        <v>123</v>
      </c>
      <c r="D325" s="87"/>
      <c r="E325" s="87"/>
      <c r="F325" s="87"/>
      <c r="G325" s="87"/>
      <c r="H325" s="87"/>
      <c r="I325" s="87"/>
      <c r="J325" s="87"/>
      <c r="K325" s="87"/>
      <c r="L325" s="87"/>
      <c r="M325" s="87"/>
      <c r="N325" s="87"/>
      <c r="O325" s="87"/>
      <c r="P325" s="87"/>
      <c r="Q325" s="87">
        <v>4.3899999999999997</v>
      </c>
      <c r="R325" s="87"/>
      <c r="S325" s="87"/>
      <c r="T325" s="87"/>
      <c r="U325" s="87"/>
      <c r="V325" s="87"/>
      <c r="W325" s="87"/>
      <c r="X325" s="87"/>
      <c r="Y325" s="87"/>
      <c r="Z325" s="87"/>
      <c r="AA325" s="87"/>
      <c r="AB325" s="87"/>
      <c r="AC325" s="87"/>
      <c r="AD325" s="87"/>
      <c r="AE325" s="87"/>
      <c r="AF325" s="87"/>
      <c r="AG325" s="87"/>
      <c r="AH325" s="87"/>
    </row>
    <row r="326" spans="2:34" x14ac:dyDescent="0.2">
      <c r="B326" s="148" t="s">
        <v>362</v>
      </c>
      <c r="C326" s="7" t="s">
        <v>123</v>
      </c>
      <c r="D326" s="24"/>
      <c r="E326" s="24"/>
      <c r="F326" s="24"/>
      <c r="G326" s="24"/>
      <c r="H326" s="24"/>
      <c r="I326" s="24"/>
      <c r="J326" s="24"/>
      <c r="K326" s="24"/>
      <c r="L326" s="24"/>
      <c r="M326" s="24"/>
      <c r="N326" s="24"/>
      <c r="O326" s="24"/>
      <c r="P326" s="24"/>
      <c r="Q326" s="24">
        <v>9.26</v>
      </c>
      <c r="R326" s="24"/>
      <c r="S326" s="24"/>
      <c r="T326" s="24"/>
      <c r="U326" s="24"/>
      <c r="V326" s="24"/>
      <c r="W326" s="24"/>
      <c r="X326" s="24"/>
      <c r="Y326" s="24"/>
      <c r="Z326" s="24"/>
      <c r="AA326" s="24"/>
      <c r="AB326" s="24"/>
      <c r="AC326" s="24"/>
      <c r="AD326" s="24"/>
      <c r="AE326" s="24"/>
      <c r="AF326" s="24"/>
      <c r="AG326" s="24"/>
      <c r="AH326" s="24"/>
    </row>
    <row r="327" spans="2:34" s="66" customFormat="1" x14ac:dyDescent="0.2">
      <c r="B327" s="88" t="s">
        <v>364</v>
      </c>
      <c r="C327" s="124" t="s">
        <v>123</v>
      </c>
      <c r="D327" s="87"/>
      <c r="E327" s="87"/>
      <c r="F327" s="87"/>
      <c r="G327" s="87"/>
      <c r="H327" s="87"/>
      <c r="I327" s="87"/>
      <c r="J327" s="87"/>
      <c r="K327" s="87"/>
      <c r="L327" s="87"/>
      <c r="M327" s="87"/>
      <c r="N327" s="87"/>
      <c r="O327" s="87"/>
      <c r="P327" s="87"/>
      <c r="Q327" s="87">
        <v>10.55</v>
      </c>
      <c r="R327" s="87"/>
      <c r="S327" s="87"/>
      <c r="T327" s="87"/>
      <c r="U327" s="87"/>
      <c r="V327" s="87"/>
      <c r="W327" s="87"/>
      <c r="X327" s="87"/>
      <c r="Y327" s="87"/>
      <c r="Z327" s="87"/>
      <c r="AA327" s="87"/>
      <c r="AB327" s="87"/>
      <c r="AC327" s="87"/>
      <c r="AD327" s="87"/>
      <c r="AE327" s="87"/>
      <c r="AF327" s="87"/>
      <c r="AG327" s="87"/>
      <c r="AH327" s="87"/>
    </row>
    <row r="328" spans="2:34" s="67" customFormat="1" x14ac:dyDescent="0.2">
      <c r="B328" s="72" t="s">
        <v>365</v>
      </c>
      <c r="C328" s="79" t="s">
        <v>123</v>
      </c>
      <c r="D328" s="69"/>
      <c r="E328" s="69"/>
      <c r="F328" s="69"/>
      <c r="G328" s="69"/>
      <c r="H328" s="69"/>
      <c r="I328" s="69"/>
      <c r="J328" s="69"/>
      <c r="K328" s="69"/>
      <c r="L328" s="69"/>
      <c r="M328" s="69"/>
      <c r="N328" s="69"/>
      <c r="O328" s="69"/>
      <c r="P328" s="69"/>
      <c r="Q328" s="69">
        <v>600.71</v>
      </c>
      <c r="R328" s="69"/>
      <c r="S328" s="69"/>
      <c r="T328" s="69"/>
      <c r="U328" s="69"/>
      <c r="V328" s="69"/>
      <c r="W328" s="69"/>
      <c r="X328" s="69"/>
      <c r="Y328" s="69"/>
      <c r="Z328" s="69"/>
      <c r="AA328" s="69"/>
      <c r="AB328" s="69"/>
      <c r="AC328" s="69"/>
      <c r="AD328" s="69"/>
      <c r="AE328" s="69"/>
      <c r="AF328" s="69"/>
      <c r="AG328" s="69"/>
      <c r="AH328" s="69"/>
    </row>
    <row r="329" spans="2:34" s="66" customFormat="1" x14ac:dyDescent="0.2">
      <c r="B329" s="86"/>
      <c r="C329" s="124"/>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row>
    <row r="330" spans="2:34" x14ac:dyDescent="0.2">
      <c r="B330" s="21" t="s">
        <v>370</v>
      </c>
      <c r="E330" s="21"/>
    </row>
    <row r="331" spans="2:34" x14ac:dyDescent="0.2">
      <c r="B331" s="148" t="s">
        <v>361</v>
      </c>
      <c r="C331" s="7" t="s">
        <v>123</v>
      </c>
      <c r="D331" s="24"/>
      <c r="E331" s="24"/>
      <c r="F331" s="24"/>
      <c r="G331" s="24"/>
      <c r="H331" s="24"/>
      <c r="I331" s="24"/>
      <c r="J331" s="24"/>
      <c r="K331" s="24"/>
      <c r="L331" s="24"/>
      <c r="M331" s="24"/>
      <c r="N331" s="24"/>
      <c r="O331" s="24"/>
      <c r="P331" s="24"/>
      <c r="Q331" s="24">
        <v>54.67</v>
      </c>
      <c r="R331" s="24"/>
      <c r="S331" s="24"/>
      <c r="T331" s="24"/>
      <c r="U331" s="24"/>
      <c r="V331" s="24"/>
      <c r="W331" s="24"/>
      <c r="X331" s="24"/>
      <c r="Y331" s="24"/>
      <c r="Z331" s="24"/>
      <c r="AA331" s="24"/>
      <c r="AB331" s="24"/>
      <c r="AC331" s="24"/>
      <c r="AD331" s="24"/>
      <c r="AE331" s="24"/>
      <c r="AF331" s="24"/>
      <c r="AG331" s="24"/>
      <c r="AH331" s="24"/>
    </row>
    <row r="332" spans="2:34" x14ac:dyDescent="0.2">
      <c r="B332" s="148" t="s">
        <v>28</v>
      </c>
      <c r="C332" s="7" t="s">
        <v>123</v>
      </c>
      <c r="D332" s="24"/>
      <c r="E332" s="24"/>
      <c r="F332" s="24"/>
      <c r="G332" s="24"/>
      <c r="H332" s="24"/>
      <c r="I332" s="24"/>
      <c r="J332" s="24"/>
      <c r="K332" s="24"/>
      <c r="L332" s="24"/>
      <c r="M332" s="24"/>
      <c r="N332" s="24"/>
      <c r="O332" s="24"/>
      <c r="P332" s="24"/>
      <c r="Q332" s="24">
        <v>602.88</v>
      </c>
      <c r="R332" s="24"/>
      <c r="S332" s="24"/>
      <c r="T332" s="24"/>
      <c r="U332" s="24"/>
      <c r="V332" s="24"/>
      <c r="W332" s="24"/>
      <c r="X332" s="24"/>
      <c r="Y332" s="24"/>
      <c r="Z332" s="24"/>
      <c r="AA332" s="24"/>
      <c r="AB332" s="24"/>
      <c r="AC332" s="24"/>
      <c r="AD332" s="24"/>
      <c r="AE332" s="24"/>
      <c r="AF332" s="24"/>
      <c r="AG332" s="24"/>
      <c r="AH332" s="24"/>
    </row>
    <row r="333" spans="2:34" x14ac:dyDescent="0.2">
      <c r="B333" s="148" t="s">
        <v>31</v>
      </c>
      <c r="C333" s="7" t="s">
        <v>123</v>
      </c>
      <c r="D333" s="24"/>
      <c r="E333" s="24"/>
      <c r="F333" s="24"/>
      <c r="G333" s="24"/>
      <c r="H333" s="24"/>
      <c r="I333" s="24"/>
      <c r="J333" s="24"/>
      <c r="K333" s="24"/>
      <c r="L333" s="24"/>
      <c r="M333" s="24"/>
      <c r="N333" s="24"/>
      <c r="O333" s="24"/>
      <c r="P333" s="24"/>
      <c r="Q333" s="24">
        <v>31.73</v>
      </c>
      <c r="R333" s="24"/>
      <c r="S333" s="24"/>
      <c r="T333" s="24"/>
      <c r="U333" s="24"/>
      <c r="V333" s="24"/>
      <c r="W333" s="24"/>
      <c r="X333" s="24"/>
      <c r="Y333" s="24"/>
      <c r="Z333" s="24"/>
      <c r="AA333" s="24"/>
      <c r="AB333" s="24"/>
      <c r="AC333" s="24"/>
      <c r="AD333" s="24"/>
      <c r="AE333" s="24"/>
      <c r="AF333" s="24"/>
      <c r="AG333" s="24"/>
      <c r="AH333" s="24"/>
    </row>
    <row r="334" spans="2:34" x14ac:dyDescent="0.2">
      <c r="B334" s="148" t="s">
        <v>223</v>
      </c>
      <c r="C334" s="7" t="s">
        <v>123</v>
      </c>
      <c r="D334" s="24"/>
      <c r="E334" s="24"/>
      <c r="F334" s="24"/>
      <c r="G334" s="24"/>
      <c r="H334" s="24"/>
      <c r="I334" s="24"/>
      <c r="J334" s="24"/>
      <c r="K334" s="24"/>
      <c r="L334" s="24"/>
      <c r="M334" s="24"/>
      <c r="N334" s="24"/>
      <c r="O334" s="24"/>
      <c r="P334" s="24"/>
      <c r="Q334" s="24">
        <v>198.52</v>
      </c>
      <c r="R334" s="24"/>
      <c r="S334" s="24"/>
      <c r="T334" s="24"/>
      <c r="U334" s="24"/>
      <c r="V334" s="24"/>
      <c r="W334" s="24"/>
      <c r="X334" s="24"/>
      <c r="Y334" s="24"/>
      <c r="Z334" s="24"/>
      <c r="AA334" s="24"/>
      <c r="AB334" s="24"/>
      <c r="AC334" s="24"/>
      <c r="AD334" s="24"/>
      <c r="AE334" s="24"/>
      <c r="AF334" s="24"/>
      <c r="AG334" s="24"/>
      <c r="AH334" s="24"/>
    </row>
    <row r="335" spans="2:34" x14ac:dyDescent="0.2">
      <c r="B335" s="149" t="s">
        <v>362</v>
      </c>
      <c r="C335" s="124" t="s">
        <v>123</v>
      </c>
      <c r="D335" s="87"/>
      <c r="E335" s="87"/>
      <c r="F335" s="87"/>
      <c r="G335" s="87"/>
      <c r="H335" s="87"/>
      <c r="I335" s="87"/>
      <c r="J335" s="87"/>
      <c r="K335" s="87"/>
      <c r="L335" s="87"/>
      <c r="M335" s="87"/>
      <c r="N335" s="87"/>
      <c r="O335" s="87"/>
      <c r="P335" s="87"/>
      <c r="Q335" s="87">
        <v>833.13</v>
      </c>
      <c r="R335" s="87"/>
      <c r="S335" s="87"/>
      <c r="T335" s="87"/>
      <c r="U335" s="87"/>
      <c r="V335" s="87"/>
      <c r="W335" s="87"/>
      <c r="X335" s="87"/>
      <c r="Y335" s="87"/>
      <c r="Z335" s="87"/>
      <c r="AA335" s="87"/>
      <c r="AB335" s="87"/>
      <c r="AC335" s="87"/>
      <c r="AD335" s="87"/>
      <c r="AE335" s="87"/>
      <c r="AF335" s="87"/>
      <c r="AG335" s="87"/>
      <c r="AH335" s="87"/>
    </row>
    <row r="336" spans="2:34" x14ac:dyDescent="0.2">
      <c r="B336" s="149" t="s">
        <v>225</v>
      </c>
      <c r="C336" s="124" t="s">
        <v>123</v>
      </c>
      <c r="D336" s="87"/>
      <c r="E336" s="87"/>
      <c r="F336" s="87"/>
      <c r="G336" s="87"/>
      <c r="H336" s="87"/>
      <c r="I336" s="87"/>
      <c r="J336" s="87"/>
      <c r="K336" s="87"/>
      <c r="L336" s="87"/>
      <c r="M336" s="87"/>
      <c r="N336" s="87"/>
      <c r="O336" s="87"/>
      <c r="P336" s="87"/>
      <c r="Q336" s="87">
        <v>887.8</v>
      </c>
      <c r="R336" s="87"/>
      <c r="S336" s="87"/>
      <c r="T336" s="87"/>
      <c r="U336" s="87"/>
      <c r="V336" s="87"/>
      <c r="W336" s="87"/>
      <c r="X336" s="87"/>
      <c r="Y336" s="87"/>
      <c r="Z336" s="87"/>
      <c r="AA336" s="87"/>
      <c r="AB336" s="87"/>
      <c r="AC336" s="87"/>
      <c r="AD336" s="87"/>
      <c r="AE336" s="87"/>
      <c r="AF336" s="87"/>
      <c r="AG336" s="87"/>
      <c r="AH336" s="87"/>
    </row>
    <row r="337" spans="2:34" x14ac:dyDescent="0.2">
      <c r="B337" s="85" t="s">
        <v>296</v>
      </c>
      <c r="C337" s="7" t="s">
        <v>123</v>
      </c>
      <c r="D337" s="24"/>
      <c r="E337" s="24"/>
      <c r="F337" s="24"/>
      <c r="G337" s="24"/>
      <c r="H337" s="24"/>
      <c r="I337" s="24"/>
      <c r="J337" s="24"/>
      <c r="K337" s="24"/>
      <c r="L337" s="24"/>
      <c r="M337" s="24"/>
      <c r="N337" s="24"/>
      <c r="O337" s="24"/>
      <c r="P337" s="24"/>
      <c r="Q337" s="24">
        <v>115.75</v>
      </c>
      <c r="R337" s="24"/>
      <c r="S337" s="24"/>
      <c r="T337" s="24"/>
      <c r="U337" s="24"/>
      <c r="V337" s="24"/>
      <c r="W337" s="24"/>
      <c r="X337" s="24"/>
      <c r="Y337" s="24"/>
      <c r="Z337" s="24"/>
      <c r="AA337" s="24"/>
      <c r="AB337" s="24"/>
      <c r="AC337" s="24"/>
      <c r="AD337" s="24"/>
      <c r="AE337" s="24"/>
      <c r="AF337" s="24"/>
      <c r="AG337" s="24"/>
      <c r="AH337" s="24"/>
    </row>
    <row r="338" spans="2:34" s="66" customFormat="1" x14ac:dyDescent="0.2">
      <c r="B338" s="88" t="s">
        <v>227</v>
      </c>
      <c r="C338" s="124" t="s">
        <v>123</v>
      </c>
      <c r="D338" s="87"/>
      <c r="E338" s="87"/>
      <c r="F338" s="87"/>
      <c r="G338" s="87"/>
      <c r="H338" s="87"/>
      <c r="I338" s="87"/>
      <c r="J338" s="87"/>
      <c r="K338" s="87"/>
      <c r="L338" s="87"/>
      <c r="M338" s="87"/>
      <c r="N338" s="87"/>
      <c r="O338" s="87"/>
      <c r="P338" s="87"/>
      <c r="Q338" s="87">
        <v>1003.55</v>
      </c>
      <c r="R338" s="87"/>
      <c r="S338" s="87"/>
      <c r="T338" s="87"/>
      <c r="U338" s="87"/>
      <c r="V338" s="87"/>
      <c r="W338" s="87"/>
      <c r="X338" s="87"/>
      <c r="Y338" s="87"/>
      <c r="Z338" s="87"/>
      <c r="AA338" s="87"/>
      <c r="AB338" s="87"/>
      <c r="AC338" s="87"/>
      <c r="AD338" s="87"/>
      <c r="AE338" s="87"/>
      <c r="AF338" s="87"/>
      <c r="AG338" s="87"/>
      <c r="AH338" s="87"/>
    </row>
    <row r="339" spans="2:34" x14ac:dyDescent="0.2">
      <c r="B339" s="148" t="s">
        <v>363</v>
      </c>
      <c r="C339" s="7" t="s">
        <v>123</v>
      </c>
      <c r="D339" s="24"/>
      <c r="E339" s="24"/>
      <c r="F339" s="24"/>
      <c r="G339" s="24"/>
      <c r="H339" s="24"/>
      <c r="I339" s="24"/>
      <c r="J339" s="24"/>
      <c r="K339" s="24"/>
      <c r="L339" s="24"/>
      <c r="M339" s="24"/>
      <c r="N339" s="24"/>
      <c r="O339" s="24"/>
      <c r="P339" s="24"/>
      <c r="Q339" s="24">
        <v>7.39</v>
      </c>
      <c r="R339" s="24"/>
      <c r="S339" s="24"/>
      <c r="T339" s="24"/>
      <c r="U339" s="24"/>
      <c r="V339" s="24"/>
      <c r="W339" s="24"/>
      <c r="X339" s="24"/>
      <c r="Y339" s="24"/>
      <c r="Z339" s="24"/>
      <c r="AA339" s="24"/>
      <c r="AB339" s="24"/>
      <c r="AC339" s="24"/>
      <c r="AD339" s="24"/>
      <c r="AE339" s="24"/>
      <c r="AF339" s="24"/>
      <c r="AG339" s="24"/>
      <c r="AH339" s="24"/>
    </row>
    <row r="340" spans="2:34" x14ac:dyDescent="0.2">
      <c r="B340" s="148" t="s">
        <v>31</v>
      </c>
      <c r="C340" s="124" t="s">
        <v>123</v>
      </c>
      <c r="D340" s="87"/>
      <c r="E340" s="87"/>
      <c r="F340" s="87"/>
      <c r="G340" s="87"/>
      <c r="H340" s="87"/>
      <c r="I340" s="87"/>
      <c r="J340" s="87"/>
      <c r="K340" s="87"/>
      <c r="L340" s="87"/>
      <c r="M340" s="87"/>
      <c r="N340" s="87"/>
      <c r="O340" s="87"/>
      <c r="P340" s="87"/>
      <c r="Q340" s="87">
        <v>4.5599999999999996</v>
      </c>
      <c r="R340" s="87"/>
      <c r="S340" s="87"/>
      <c r="T340" s="87"/>
      <c r="U340" s="87"/>
      <c r="V340" s="87"/>
      <c r="W340" s="87"/>
      <c r="X340" s="87"/>
      <c r="Y340" s="87"/>
      <c r="Z340" s="87"/>
      <c r="AA340" s="87"/>
      <c r="AB340" s="87"/>
      <c r="AC340" s="87"/>
      <c r="AD340" s="87"/>
      <c r="AE340" s="87"/>
      <c r="AF340" s="87"/>
      <c r="AG340" s="87"/>
      <c r="AH340" s="87"/>
    </row>
    <row r="341" spans="2:34" x14ac:dyDescent="0.2">
      <c r="B341" s="148" t="s">
        <v>223</v>
      </c>
      <c r="C341" s="124" t="s">
        <v>123</v>
      </c>
      <c r="D341" s="87"/>
      <c r="E341" s="87"/>
      <c r="F341" s="87"/>
      <c r="G341" s="87"/>
      <c r="H341" s="87"/>
      <c r="I341" s="87"/>
      <c r="J341" s="87"/>
      <c r="K341" s="87"/>
      <c r="L341" s="87"/>
      <c r="M341" s="87"/>
      <c r="N341" s="87"/>
      <c r="O341" s="87"/>
      <c r="P341" s="87"/>
      <c r="Q341" s="87">
        <v>4.45</v>
      </c>
      <c r="R341" s="87"/>
      <c r="S341" s="87"/>
      <c r="T341" s="87"/>
      <c r="U341" s="87"/>
      <c r="V341" s="87"/>
      <c r="W341" s="87"/>
      <c r="X341" s="87"/>
      <c r="Y341" s="87"/>
      <c r="Z341" s="87"/>
      <c r="AA341" s="87"/>
      <c r="AB341" s="87"/>
      <c r="AC341" s="87"/>
      <c r="AD341" s="87"/>
      <c r="AE341" s="87"/>
      <c r="AF341" s="87"/>
      <c r="AG341" s="87"/>
      <c r="AH341" s="87"/>
    </row>
    <row r="342" spans="2:34" x14ac:dyDescent="0.2">
      <c r="B342" s="148" t="s">
        <v>362</v>
      </c>
      <c r="C342" s="7" t="s">
        <v>123</v>
      </c>
      <c r="D342" s="24"/>
      <c r="E342" s="24"/>
      <c r="F342" s="24"/>
      <c r="G342" s="24"/>
      <c r="H342" s="24"/>
      <c r="I342" s="24"/>
      <c r="J342" s="24"/>
      <c r="K342" s="24"/>
      <c r="L342" s="24"/>
      <c r="M342" s="24"/>
      <c r="N342" s="24"/>
      <c r="O342" s="24"/>
      <c r="P342" s="24"/>
      <c r="Q342" s="24">
        <v>9.01</v>
      </c>
      <c r="R342" s="24"/>
      <c r="S342" s="24"/>
      <c r="T342" s="24"/>
      <c r="U342" s="24"/>
      <c r="V342" s="24"/>
      <c r="W342" s="24"/>
      <c r="X342" s="24"/>
      <c r="Y342" s="24"/>
      <c r="Z342" s="24"/>
      <c r="AA342" s="24"/>
      <c r="AB342" s="24"/>
      <c r="AC342" s="24"/>
      <c r="AD342" s="24"/>
      <c r="AE342" s="24"/>
      <c r="AF342" s="24"/>
      <c r="AG342" s="24"/>
      <c r="AH342" s="24"/>
    </row>
    <row r="343" spans="2:34" s="66" customFormat="1" x14ac:dyDescent="0.2">
      <c r="B343" s="88" t="s">
        <v>364</v>
      </c>
      <c r="C343" s="124" t="s">
        <v>123</v>
      </c>
      <c r="D343" s="87"/>
      <c r="E343" s="87"/>
      <c r="F343" s="87"/>
      <c r="G343" s="87"/>
      <c r="H343" s="87"/>
      <c r="I343" s="87"/>
      <c r="J343" s="87"/>
      <c r="K343" s="87"/>
      <c r="L343" s="87"/>
      <c r="M343" s="87"/>
      <c r="N343" s="87"/>
      <c r="O343" s="87"/>
      <c r="P343" s="87"/>
      <c r="Q343" s="87">
        <v>11.83</v>
      </c>
      <c r="R343" s="87"/>
      <c r="S343" s="87"/>
      <c r="T343" s="87"/>
      <c r="U343" s="87"/>
      <c r="V343" s="87"/>
      <c r="W343" s="87"/>
      <c r="X343" s="87"/>
      <c r="Y343" s="87"/>
      <c r="Z343" s="87"/>
      <c r="AA343" s="87"/>
      <c r="AB343" s="87"/>
      <c r="AC343" s="87"/>
      <c r="AD343" s="87"/>
      <c r="AE343" s="87"/>
      <c r="AF343" s="87"/>
      <c r="AG343" s="87"/>
      <c r="AH343" s="87"/>
    </row>
    <row r="344" spans="2:34" s="67" customFormat="1" x14ac:dyDescent="0.2">
      <c r="B344" s="72" t="s">
        <v>365</v>
      </c>
      <c r="C344" s="79" t="s">
        <v>123</v>
      </c>
      <c r="D344" s="69"/>
      <c r="E344" s="69"/>
      <c r="F344" s="69"/>
      <c r="G344" s="69"/>
      <c r="H344" s="69"/>
      <c r="I344" s="69"/>
      <c r="J344" s="69"/>
      <c r="K344" s="69"/>
      <c r="L344" s="69"/>
      <c r="M344" s="69"/>
      <c r="N344" s="69"/>
      <c r="O344" s="69"/>
      <c r="P344" s="69"/>
      <c r="Q344" s="69">
        <v>1015.38</v>
      </c>
      <c r="R344" s="69"/>
      <c r="S344" s="69"/>
      <c r="T344" s="69"/>
      <c r="U344" s="69"/>
      <c r="V344" s="69"/>
      <c r="W344" s="69"/>
      <c r="X344" s="69"/>
      <c r="Y344" s="69"/>
      <c r="Z344" s="69"/>
      <c r="AA344" s="69"/>
      <c r="AB344" s="69"/>
      <c r="AC344" s="69"/>
      <c r="AD344" s="69"/>
      <c r="AE344" s="69"/>
      <c r="AF344" s="69"/>
      <c r="AG344" s="69"/>
      <c r="AH344" s="69"/>
    </row>
    <row r="345" spans="2:34" s="66" customFormat="1" x14ac:dyDescent="0.2">
      <c r="B345" s="86"/>
      <c r="C345" s="124"/>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row>
    <row r="346" spans="2:34" x14ac:dyDescent="0.2">
      <c r="B346" s="21" t="s">
        <v>372</v>
      </c>
      <c r="E346" s="21"/>
    </row>
    <row r="347" spans="2:34" x14ac:dyDescent="0.2">
      <c r="B347" s="148" t="s">
        <v>230</v>
      </c>
      <c r="C347" s="7" t="s">
        <v>123</v>
      </c>
      <c r="D347" s="24"/>
      <c r="E347" s="24"/>
      <c r="F347" s="24"/>
      <c r="G347" s="24"/>
      <c r="H347" s="24"/>
      <c r="I347" s="24"/>
      <c r="J347" s="24"/>
      <c r="K347" s="24"/>
      <c r="L347" s="24"/>
      <c r="M347" s="24"/>
      <c r="N347" s="24"/>
      <c r="O347" s="24"/>
      <c r="P347" s="24"/>
      <c r="Q347" s="24">
        <v>431.42</v>
      </c>
      <c r="R347" s="24"/>
      <c r="S347" s="24"/>
      <c r="T347" s="24"/>
      <c r="U347" s="24"/>
      <c r="V347" s="24"/>
      <c r="W347" s="24"/>
      <c r="X347" s="24"/>
      <c r="Y347" s="24"/>
      <c r="Z347" s="24"/>
      <c r="AA347" s="24"/>
      <c r="AB347" s="24"/>
      <c r="AC347" s="24"/>
      <c r="AD347" s="24"/>
      <c r="AE347" s="24"/>
      <c r="AF347" s="24"/>
      <c r="AG347" s="24"/>
      <c r="AH347" s="24"/>
    </row>
    <row r="348" spans="2:34" x14ac:dyDescent="0.2">
      <c r="B348" s="148" t="s">
        <v>31</v>
      </c>
      <c r="C348" s="7" t="s">
        <v>123</v>
      </c>
      <c r="D348" s="24"/>
      <c r="E348" s="24"/>
      <c r="F348" s="24"/>
      <c r="G348" s="24"/>
      <c r="H348" s="24"/>
      <c r="I348" s="24"/>
      <c r="J348" s="24"/>
      <c r="K348" s="24"/>
      <c r="L348" s="24"/>
      <c r="M348" s="24"/>
      <c r="N348" s="24"/>
      <c r="O348" s="24"/>
      <c r="P348" s="24"/>
      <c r="Q348" s="24">
        <v>91.65</v>
      </c>
      <c r="R348" s="24"/>
      <c r="S348" s="24"/>
      <c r="T348" s="24"/>
      <c r="U348" s="24"/>
      <c r="V348" s="24"/>
      <c r="W348" s="24"/>
      <c r="X348" s="24"/>
      <c r="Y348" s="24"/>
      <c r="Z348" s="24"/>
      <c r="AA348" s="24"/>
      <c r="AB348" s="24"/>
      <c r="AC348" s="24"/>
      <c r="AD348" s="24"/>
      <c r="AE348" s="24"/>
      <c r="AF348" s="24"/>
      <c r="AG348" s="24"/>
      <c r="AH348" s="24"/>
    </row>
    <row r="349" spans="2:34" x14ac:dyDescent="0.2">
      <c r="B349" s="148" t="s">
        <v>223</v>
      </c>
      <c r="C349" s="7" t="s">
        <v>123</v>
      </c>
      <c r="D349" s="24"/>
      <c r="E349" s="24"/>
      <c r="F349" s="24"/>
      <c r="G349" s="24"/>
      <c r="H349" s="24"/>
      <c r="I349" s="24"/>
      <c r="J349" s="24"/>
      <c r="K349" s="24"/>
      <c r="L349" s="24"/>
      <c r="M349" s="24"/>
      <c r="N349" s="24"/>
      <c r="O349" s="24"/>
      <c r="P349" s="24"/>
      <c r="Q349" s="24">
        <v>255.06</v>
      </c>
      <c r="R349" s="24"/>
      <c r="S349" s="24"/>
      <c r="T349" s="24"/>
      <c r="U349" s="24"/>
      <c r="V349" s="24"/>
      <c r="W349" s="24"/>
      <c r="X349" s="24"/>
      <c r="Y349" s="24"/>
      <c r="Z349" s="24"/>
      <c r="AA349" s="24"/>
      <c r="AB349" s="24"/>
      <c r="AC349" s="24"/>
      <c r="AD349" s="24"/>
      <c r="AE349" s="24"/>
      <c r="AF349" s="24"/>
      <c r="AG349" s="24"/>
      <c r="AH349" s="24"/>
    </row>
    <row r="350" spans="2:34" s="66" customFormat="1" x14ac:dyDescent="0.2">
      <c r="B350" s="88" t="s">
        <v>227</v>
      </c>
      <c r="C350" s="124" t="s">
        <v>123</v>
      </c>
      <c r="D350" s="87"/>
      <c r="E350" s="87"/>
      <c r="F350" s="87"/>
      <c r="G350" s="87"/>
      <c r="H350" s="87"/>
      <c r="I350" s="87"/>
      <c r="J350" s="87"/>
      <c r="K350" s="87"/>
      <c r="L350" s="87"/>
      <c r="M350" s="87"/>
      <c r="N350" s="87"/>
      <c r="O350" s="87"/>
      <c r="P350" s="87"/>
      <c r="Q350" s="87">
        <v>778.14</v>
      </c>
      <c r="R350" s="87"/>
      <c r="S350" s="87"/>
      <c r="T350" s="87"/>
      <c r="U350" s="87"/>
      <c r="V350" s="87"/>
      <c r="W350" s="87"/>
      <c r="X350" s="87"/>
      <c r="Y350" s="87"/>
      <c r="Z350" s="87"/>
      <c r="AA350" s="87"/>
      <c r="AB350" s="87"/>
      <c r="AC350" s="87"/>
      <c r="AD350" s="87"/>
      <c r="AE350" s="87"/>
      <c r="AF350" s="87"/>
      <c r="AG350" s="87"/>
      <c r="AH350" s="87"/>
    </row>
    <row r="351" spans="2:34" x14ac:dyDescent="0.2">
      <c r="B351" s="148" t="s">
        <v>363</v>
      </c>
      <c r="C351" s="7" t="s">
        <v>123</v>
      </c>
      <c r="D351" s="24"/>
      <c r="E351" s="24"/>
      <c r="F351" s="24"/>
      <c r="G351" s="24"/>
      <c r="H351" s="24"/>
      <c r="I351" s="24"/>
      <c r="J351" s="24"/>
      <c r="K351" s="24"/>
      <c r="L351" s="24"/>
      <c r="M351" s="24"/>
      <c r="N351" s="24"/>
      <c r="O351" s="24"/>
      <c r="P351" s="24"/>
      <c r="Q351" s="24">
        <v>51.35</v>
      </c>
      <c r="R351" s="24"/>
      <c r="S351" s="24"/>
      <c r="T351" s="24"/>
      <c r="U351" s="24"/>
      <c r="V351" s="24"/>
      <c r="W351" s="24"/>
      <c r="X351" s="24"/>
      <c r="Y351" s="24"/>
      <c r="Z351" s="24"/>
      <c r="AA351" s="24"/>
      <c r="AB351" s="24"/>
      <c r="AC351" s="24"/>
      <c r="AD351" s="24"/>
      <c r="AE351" s="24"/>
      <c r="AF351" s="24"/>
      <c r="AG351" s="24"/>
      <c r="AH351" s="24"/>
    </row>
    <row r="352" spans="2:34" x14ac:dyDescent="0.2">
      <c r="B352" s="148" t="s">
        <v>31</v>
      </c>
      <c r="C352" s="124" t="s">
        <v>123</v>
      </c>
      <c r="D352" s="87"/>
      <c r="E352" s="87"/>
      <c r="F352" s="87"/>
      <c r="G352" s="87"/>
      <c r="H352" s="87"/>
      <c r="I352" s="87"/>
      <c r="J352" s="87"/>
      <c r="K352" s="87"/>
      <c r="L352" s="87"/>
      <c r="M352" s="87"/>
      <c r="N352" s="87"/>
      <c r="O352" s="87"/>
      <c r="P352" s="87"/>
      <c r="Q352" s="87">
        <v>38.93</v>
      </c>
      <c r="R352" s="87"/>
      <c r="S352" s="87"/>
      <c r="T352" s="87"/>
      <c r="U352" s="87"/>
      <c r="V352" s="87"/>
      <c r="W352" s="87"/>
      <c r="X352" s="87"/>
      <c r="Y352" s="87"/>
      <c r="Z352" s="87"/>
      <c r="AA352" s="87"/>
      <c r="AB352" s="87"/>
      <c r="AC352" s="87"/>
      <c r="AD352" s="87"/>
      <c r="AE352" s="87"/>
      <c r="AF352" s="87"/>
      <c r="AG352" s="87"/>
      <c r="AH352" s="87"/>
    </row>
    <row r="353" spans="2:34" x14ac:dyDescent="0.2">
      <c r="B353" s="148" t="s">
        <v>223</v>
      </c>
      <c r="C353" s="124" t="s">
        <v>123</v>
      </c>
      <c r="D353" s="87"/>
      <c r="E353" s="87"/>
      <c r="F353" s="87"/>
      <c r="G353" s="87"/>
      <c r="H353" s="87"/>
      <c r="I353" s="87"/>
      <c r="J353" s="87"/>
      <c r="K353" s="87"/>
      <c r="L353" s="87"/>
      <c r="M353" s="87"/>
      <c r="N353" s="87"/>
      <c r="O353" s="87"/>
      <c r="P353" s="87"/>
      <c r="Q353" s="87">
        <v>0</v>
      </c>
      <c r="R353" s="87"/>
      <c r="S353" s="87"/>
      <c r="T353" s="87"/>
      <c r="U353" s="87"/>
      <c r="V353" s="87"/>
      <c r="W353" s="87"/>
      <c r="X353" s="87"/>
      <c r="Y353" s="87"/>
      <c r="Z353" s="87"/>
      <c r="AA353" s="87"/>
      <c r="AB353" s="87"/>
      <c r="AC353" s="87"/>
      <c r="AD353" s="87"/>
      <c r="AE353" s="87"/>
      <c r="AF353" s="87"/>
      <c r="AG353" s="87"/>
      <c r="AH353" s="87"/>
    </row>
    <row r="354" spans="2:34" s="66" customFormat="1" x14ac:dyDescent="0.2">
      <c r="B354" s="88" t="s">
        <v>364</v>
      </c>
      <c r="C354" s="124" t="s">
        <v>123</v>
      </c>
      <c r="D354" s="87"/>
      <c r="E354" s="87"/>
      <c r="F354" s="87"/>
      <c r="G354" s="87"/>
      <c r="H354" s="87"/>
      <c r="I354" s="87"/>
      <c r="J354" s="87"/>
      <c r="K354" s="87"/>
      <c r="L354" s="87"/>
      <c r="M354" s="87"/>
      <c r="N354" s="87"/>
      <c r="O354" s="87"/>
      <c r="P354" s="87"/>
      <c r="Q354" s="87">
        <v>90.29</v>
      </c>
      <c r="R354" s="87"/>
      <c r="S354" s="87"/>
      <c r="T354" s="87"/>
      <c r="U354" s="87"/>
      <c r="V354" s="87"/>
      <c r="W354" s="87"/>
      <c r="X354" s="87"/>
      <c r="Y354" s="87"/>
      <c r="Z354" s="87"/>
      <c r="AA354" s="87"/>
      <c r="AB354" s="87"/>
      <c r="AC354" s="87"/>
      <c r="AD354" s="87"/>
      <c r="AE354" s="87"/>
      <c r="AF354" s="87"/>
      <c r="AG354" s="87"/>
      <c r="AH354" s="87"/>
    </row>
    <row r="355" spans="2:34" s="67" customFormat="1" x14ac:dyDescent="0.2">
      <c r="B355" s="72" t="s">
        <v>365</v>
      </c>
      <c r="C355" s="79" t="s">
        <v>123</v>
      </c>
      <c r="D355" s="69"/>
      <c r="E355" s="69"/>
      <c r="F355" s="69"/>
      <c r="G355" s="69"/>
      <c r="H355" s="69"/>
      <c r="I355" s="69"/>
      <c r="J355" s="69"/>
      <c r="K355" s="69"/>
      <c r="L355" s="69"/>
      <c r="M355" s="69"/>
      <c r="N355" s="69"/>
      <c r="O355" s="69"/>
      <c r="P355" s="69"/>
      <c r="Q355" s="69">
        <v>868.43</v>
      </c>
      <c r="R355" s="69"/>
      <c r="S355" s="69"/>
      <c r="T355" s="69"/>
      <c r="U355" s="69"/>
      <c r="V355" s="69"/>
      <c r="W355" s="69"/>
      <c r="X355" s="69"/>
      <c r="Y355" s="69"/>
      <c r="Z355" s="69"/>
      <c r="AA355" s="69"/>
      <c r="AB355" s="69"/>
      <c r="AC355" s="69"/>
      <c r="AD355" s="69"/>
      <c r="AE355" s="69"/>
      <c r="AF355" s="69"/>
      <c r="AG355" s="69"/>
      <c r="AH355" s="69"/>
    </row>
    <row r="356" spans="2:34" s="66" customFormat="1" x14ac:dyDescent="0.2">
      <c r="B356" s="86"/>
      <c r="C356" s="124"/>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row>
    <row r="357" spans="2:34" s="66" customFormat="1" x14ac:dyDescent="0.2">
      <c r="B357" s="86"/>
      <c r="C357" s="124"/>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row>
    <row r="358" spans="2:34" s="66" customFormat="1" x14ac:dyDescent="0.2">
      <c r="B358" s="86"/>
      <c r="C358" s="124"/>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row>
    <row r="359" spans="2:34" s="66" customFormat="1" x14ac:dyDescent="0.2">
      <c r="B359" s="86"/>
      <c r="C359" s="124"/>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row>
    <row r="360" spans="2:34" s="66" customFormat="1" x14ac:dyDescent="0.2">
      <c r="B360" s="86"/>
      <c r="C360" s="124"/>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row>
    <row r="361" spans="2:34" x14ac:dyDescent="0.2">
      <c r="B361" s="21" t="s">
        <v>367</v>
      </c>
      <c r="E361" s="21"/>
    </row>
    <row r="362" spans="2:34" x14ac:dyDescent="0.2">
      <c r="B362" s="148" t="s">
        <v>361</v>
      </c>
      <c r="C362" s="7" t="s">
        <v>123</v>
      </c>
      <c r="D362" s="24"/>
      <c r="E362" s="24"/>
      <c r="F362" s="24"/>
      <c r="G362" s="24"/>
      <c r="H362" s="24"/>
      <c r="I362" s="24"/>
      <c r="J362" s="24"/>
      <c r="K362" s="24">
        <v>11.12</v>
      </c>
      <c r="L362" s="24">
        <v>9.82</v>
      </c>
      <c r="M362" s="24">
        <v>12.68</v>
      </c>
      <c r="N362" s="24">
        <v>13.67</v>
      </c>
      <c r="O362" s="24">
        <v>12.6</v>
      </c>
      <c r="P362" s="24">
        <v>13.24</v>
      </c>
      <c r="Q362" s="24">
        <v>12.9</v>
      </c>
      <c r="R362" s="24"/>
      <c r="S362" s="24"/>
      <c r="T362" s="24"/>
      <c r="U362" s="24"/>
      <c r="V362" s="24"/>
      <c r="W362" s="24"/>
      <c r="X362" s="24"/>
      <c r="Y362" s="24"/>
      <c r="Z362" s="24"/>
      <c r="AA362" s="24"/>
      <c r="AB362" s="24"/>
      <c r="AC362" s="24"/>
      <c r="AD362" s="24"/>
      <c r="AE362" s="24"/>
      <c r="AF362" s="24"/>
      <c r="AG362" s="24"/>
      <c r="AH362" s="24"/>
    </row>
    <row r="363" spans="2:34" x14ac:dyDescent="0.2">
      <c r="B363" s="148" t="s">
        <v>28</v>
      </c>
      <c r="C363" s="7" t="s">
        <v>123</v>
      </c>
      <c r="D363" s="24"/>
      <c r="E363" s="24"/>
      <c r="F363" s="24"/>
      <c r="G363" s="24"/>
      <c r="H363" s="24"/>
      <c r="I363" s="24"/>
      <c r="J363" s="24"/>
      <c r="K363" s="24">
        <v>65.099999999999994</v>
      </c>
      <c r="L363" s="24">
        <v>61.29</v>
      </c>
      <c r="M363" s="24">
        <v>70.680000000000007</v>
      </c>
      <c r="N363" s="24">
        <v>67.11</v>
      </c>
      <c r="O363" s="24">
        <v>59.8</v>
      </c>
      <c r="P363" s="24">
        <v>52.38</v>
      </c>
      <c r="Q363" s="24">
        <v>50.49</v>
      </c>
      <c r="R363" s="24"/>
      <c r="S363" s="24"/>
      <c r="T363" s="24"/>
      <c r="U363" s="24"/>
      <c r="V363" s="24"/>
      <c r="W363" s="24"/>
      <c r="X363" s="24"/>
      <c r="Y363" s="24"/>
      <c r="Z363" s="24"/>
      <c r="AA363" s="24"/>
      <c r="AB363" s="24"/>
      <c r="AC363" s="24"/>
      <c r="AD363" s="24"/>
      <c r="AE363" s="24"/>
      <c r="AF363" s="24"/>
      <c r="AG363" s="24"/>
      <c r="AH363" s="24"/>
    </row>
    <row r="364" spans="2:34" x14ac:dyDescent="0.2">
      <c r="B364" s="148" t="s">
        <v>31</v>
      </c>
      <c r="C364" s="7" t="s">
        <v>123</v>
      </c>
      <c r="D364" s="24"/>
      <c r="E364" s="24"/>
      <c r="F364" s="24"/>
      <c r="G364" s="24"/>
      <c r="H364" s="24"/>
      <c r="I364" s="24"/>
      <c r="J364" s="24"/>
      <c r="K364" s="24">
        <v>7.8</v>
      </c>
      <c r="L364" s="24">
        <v>7.66</v>
      </c>
      <c r="M364" s="24">
        <v>7.01</v>
      </c>
      <c r="N364" s="24">
        <v>6.09</v>
      </c>
      <c r="O364" s="24">
        <v>4.8899999999999997</v>
      </c>
      <c r="P364" s="24">
        <v>5.34</v>
      </c>
      <c r="Q364" s="24">
        <v>4.43</v>
      </c>
      <c r="R364" s="24"/>
      <c r="S364" s="24"/>
      <c r="T364" s="24"/>
      <c r="U364" s="24"/>
      <c r="V364" s="24"/>
      <c r="W364" s="24"/>
      <c r="X364" s="24"/>
      <c r="Y364" s="24"/>
      <c r="Z364" s="24"/>
      <c r="AA364" s="24"/>
      <c r="AB364" s="24"/>
      <c r="AC364" s="24"/>
      <c r="AD364" s="24"/>
      <c r="AE364" s="24"/>
      <c r="AF364" s="24"/>
      <c r="AG364" s="24"/>
      <c r="AH364" s="24"/>
    </row>
    <row r="365" spans="2:34" x14ac:dyDescent="0.2">
      <c r="B365" s="148" t="s">
        <v>223</v>
      </c>
      <c r="C365" s="7" t="s">
        <v>123</v>
      </c>
      <c r="D365" s="24"/>
      <c r="E365" s="24"/>
      <c r="F365" s="24"/>
      <c r="G365" s="24"/>
      <c r="H365" s="24"/>
      <c r="I365" s="24"/>
      <c r="J365" s="24"/>
      <c r="K365" s="24">
        <v>20</v>
      </c>
      <c r="L365" s="24">
        <v>25.21</v>
      </c>
      <c r="M365" s="24">
        <v>28.19</v>
      </c>
      <c r="N365" s="24">
        <v>19.98</v>
      </c>
      <c r="O365" s="24">
        <v>12.28</v>
      </c>
      <c r="P365" s="24">
        <v>13.72</v>
      </c>
      <c r="Q365" s="24">
        <v>11.86</v>
      </c>
      <c r="R365" s="24"/>
      <c r="S365" s="24"/>
      <c r="T365" s="24"/>
      <c r="U365" s="24"/>
      <c r="V365" s="24"/>
      <c r="W365" s="24"/>
      <c r="X365" s="24"/>
      <c r="Y365" s="24"/>
      <c r="Z365" s="24"/>
      <c r="AA365" s="24"/>
      <c r="AB365" s="24"/>
      <c r="AC365" s="24"/>
      <c r="AD365" s="24"/>
      <c r="AE365" s="24"/>
      <c r="AF365" s="24"/>
      <c r="AG365" s="24"/>
      <c r="AH365" s="24"/>
    </row>
    <row r="366" spans="2:34" x14ac:dyDescent="0.2">
      <c r="B366" s="149" t="s">
        <v>362</v>
      </c>
      <c r="C366" s="124" t="s">
        <v>123</v>
      </c>
      <c r="D366" s="87"/>
      <c r="E366" s="87"/>
      <c r="F366" s="87"/>
      <c r="G366" s="87"/>
      <c r="H366" s="87"/>
      <c r="I366" s="87"/>
      <c r="J366" s="87"/>
      <c r="K366" s="87">
        <v>92.9</v>
      </c>
      <c r="L366" s="87">
        <v>94.16</v>
      </c>
      <c r="M366" s="87">
        <v>105.88</v>
      </c>
      <c r="N366" s="87">
        <v>93.18</v>
      </c>
      <c r="O366" s="87">
        <v>76.97</v>
      </c>
      <c r="P366" s="87">
        <v>71.44</v>
      </c>
      <c r="Q366" s="87">
        <v>66.78</v>
      </c>
      <c r="R366" s="87"/>
      <c r="S366" s="87"/>
      <c r="T366" s="87"/>
      <c r="U366" s="87"/>
      <c r="V366" s="87"/>
      <c r="W366" s="87"/>
      <c r="X366" s="87"/>
      <c r="Y366" s="87"/>
      <c r="Z366" s="87"/>
      <c r="AA366" s="87"/>
      <c r="AB366" s="87"/>
      <c r="AC366" s="87"/>
      <c r="AD366" s="87"/>
      <c r="AE366" s="87"/>
      <c r="AF366" s="87"/>
      <c r="AG366" s="87"/>
      <c r="AH366" s="87"/>
    </row>
    <row r="367" spans="2:34" x14ac:dyDescent="0.2">
      <c r="B367" s="149" t="s">
        <v>225</v>
      </c>
      <c r="C367" s="124" t="s">
        <v>123</v>
      </c>
      <c r="D367" s="87"/>
      <c r="E367" s="87"/>
      <c r="F367" s="87"/>
      <c r="G367" s="87"/>
      <c r="H367" s="87"/>
      <c r="I367" s="87"/>
      <c r="J367" s="87"/>
      <c r="K367" s="87">
        <v>104.02</v>
      </c>
      <c r="L367" s="87">
        <v>103.98</v>
      </c>
      <c r="M367" s="87">
        <v>118.56</v>
      </c>
      <c r="N367" s="87">
        <v>106.85</v>
      </c>
      <c r="O367" s="87">
        <v>89.57</v>
      </c>
      <c r="P367" s="87">
        <v>84.68</v>
      </c>
      <c r="Q367" s="87">
        <v>79.67</v>
      </c>
      <c r="R367" s="87"/>
      <c r="S367" s="87"/>
      <c r="T367" s="87"/>
      <c r="U367" s="87"/>
      <c r="V367" s="87"/>
      <c r="W367" s="87"/>
      <c r="X367" s="87"/>
      <c r="Y367" s="87"/>
      <c r="Z367" s="87"/>
      <c r="AA367" s="87"/>
      <c r="AB367" s="87"/>
      <c r="AC367" s="87"/>
      <c r="AD367" s="87"/>
      <c r="AE367" s="87"/>
      <c r="AF367" s="87"/>
      <c r="AG367" s="87"/>
      <c r="AH367" s="87"/>
    </row>
    <row r="368" spans="2:34" x14ac:dyDescent="0.2">
      <c r="B368" s="85" t="s">
        <v>296</v>
      </c>
      <c r="C368" s="7" t="s">
        <v>123</v>
      </c>
      <c r="D368" s="24"/>
      <c r="E368" s="24"/>
      <c r="F368" s="24"/>
      <c r="G368" s="24"/>
      <c r="H368" s="24"/>
      <c r="I368" s="24"/>
      <c r="J368" s="24"/>
      <c r="K368" s="24">
        <v>1.93</v>
      </c>
      <c r="L368" s="24">
        <v>1.66</v>
      </c>
      <c r="M368" s="24">
        <v>2.2799999999999998</v>
      </c>
      <c r="N368" s="24">
        <v>17.100000000000001</v>
      </c>
      <c r="O368" s="24">
        <v>48.67</v>
      </c>
      <c r="P368" s="24">
        <v>52.13</v>
      </c>
      <c r="Q368" s="24">
        <v>59.63</v>
      </c>
      <c r="R368" s="24"/>
      <c r="S368" s="24"/>
      <c r="T368" s="24"/>
      <c r="U368" s="24"/>
      <c r="V368" s="24"/>
      <c r="W368" s="24"/>
      <c r="X368" s="24"/>
      <c r="Y368" s="24"/>
      <c r="Z368" s="24"/>
      <c r="AA368" s="24"/>
      <c r="AB368" s="24"/>
      <c r="AC368" s="24"/>
      <c r="AD368" s="24"/>
      <c r="AE368" s="24"/>
      <c r="AF368" s="24"/>
      <c r="AG368" s="24"/>
      <c r="AH368" s="24"/>
    </row>
    <row r="369" spans="2:34" s="66" customFormat="1" x14ac:dyDescent="0.2">
      <c r="B369" s="88" t="s">
        <v>227</v>
      </c>
      <c r="C369" s="124" t="s">
        <v>123</v>
      </c>
      <c r="D369" s="87"/>
      <c r="E369" s="87"/>
      <c r="F369" s="87"/>
      <c r="G369" s="87"/>
      <c r="H369" s="87"/>
      <c r="I369" s="87"/>
      <c r="J369" s="87"/>
      <c r="K369" s="87">
        <v>105.95</v>
      </c>
      <c r="L369" s="87">
        <v>105.64</v>
      </c>
      <c r="M369" s="87">
        <v>120.84</v>
      </c>
      <c r="N369" s="87">
        <v>123.95</v>
      </c>
      <c r="O369" s="87">
        <v>138.24</v>
      </c>
      <c r="P369" s="87">
        <v>136.81</v>
      </c>
      <c r="Q369" s="87">
        <v>139.30000000000001</v>
      </c>
      <c r="R369" s="87"/>
      <c r="S369" s="87"/>
      <c r="T369" s="87"/>
      <c r="U369" s="87"/>
      <c r="V369" s="87"/>
      <c r="W369" s="87"/>
      <c r="X369" s="87"/>
      <c r="Y369" s="87"/>
      <c r="Z369" s="87"/>
      <c r="AA369" s="87"/>
      <c r="AB369" s="87"/>
      <c r="AC369" s="87"/>
      <c r="AD369" s="87"/>
      <c r="AE369" s="87"/>
      <c r="AF369" s="87"/>
      <c r="AG369" s="87"/>
      <c r="AH369" s="87"/>
    </row>
    <row r="370" spans="2:34" x14ac:dyDescent="0.2">
      <c r="B370" s="148" t="s">
        <v>363</v>
      </c>
      <c r="C370" s="7" t="s">
        <v>123</v>
      </c>
      <c r="D370" s="24"/>
      <c r="E370" s="24"/>
      <c r="F370" s="24"/>
      <c r="G370" s="24"/>
      <c r="H370" s="24"/>
      <c r="I370" s="24"/>
      <c r="J370" s="24"/>
      <c r="K370" s="24">
        <v>14.28</v>
      </c>
      <c r="L370" s="24">
        <v>9.99</v>
      </c>
      <c r="M370" s="24">
        <v>9.4499999999999993</v>
      </c>
      <c r="N370" s="24">
        <v>8.24</v>
      </c>
      <c r="O370" s="24">
        <v>7.28</v>
      </c>
      <c r="P370" s="24">
        <v>6.69</v>
      </c>
      <c r="Q370" s="24">
        <v>4.7</v>
      </c>
      <c r="R370" s="24"/>
      <c r="S370" s="24"/>
      <c r="T370" s="24"/>
      <c r="U370" s="24"/>
      <c r="V370" s="24"/>
      <c r="W370" s="24"/>
      <c r="X370" s="24"/>
      <c r="Y370" s="24"/>
      <c r="Z370" s="24"/>
      <c r="AA370" s="24"/>
      <c r="AB370" s="24"/>
      <c r="AC370" s="24"/>
      <c r="AD370" s="24"/>
      <c r="AE370" s="24"/>
      <c r="AF370" s="24"/>
      <c r="AG370" s="24"/>
      <c r="AH370" s="24"/>
    </row>
    <row r="371" spans="2:34" x14ac:dyDescent="0.2">
      <c r="B371" s="148" t="s">
        <v>31</v>
      </c>
      <c r="C371" s="124" t="s">
        <v>123</v>
      </c>
      <c r="D371" s="87"/>
      <c r="E371" s="87"/>
      <c r="F371" s="87"/>
      <c r="G371" s="87"/>
      <c r="H371" s="87"/>
      <c r="I371" s="87"/>
      <c r="J371" s="87"/>
      <c r="K371" s="87"/>
      <c r="L371" s="87"/>
      <c r="M371" s="87"/>
      <c r="N371" s="87">
        <v>1286.96</v>
      </c>
      <c r="O371" s="87">
        <v>1085.49</v>
      </c>
      <c r="P371" s="87">
        <v>948.93</v>
      </c>
      <c r="Q371" s="87">
        <v>847.97</v>
      </c>
      <c r="R371" s="87"/>
      <c r="S371" s="87"/>
      <c r="T371" s="87"/>
      <c r="U371" s="87"/>
      <c r="V371" s="87"/>
      <c r="W371" s="87"/>
      <c r="X371" s="87"/>
      <c r="Y371" s="87"/>
      <c r="Z371" s="87"/>
      <c r="AA371" s="87"/>
      <c r="AB371" s="87"/>
      <c r="AC371" s="87"/>
      <c r="AD371" s="87"/>
      <c r="AE371" s="87"/>
      <c r="AF371" s="87"/>
      <c r="AG371" s="87"/>
      <c r="AH371" s="87"/>
    </row>
    <row r="372" spans="2:34" x14ac:dyDescent="0.2">
      <c r="B372" s="148" t="s">
        <v>223</v>
      </c>
      <c r="C372" s="124" t="s">
        <v>123</v>
      </c>
      <c r="D372" s="87"/>
      <c r="E372" s="87"/>
      <c r="F372" s="87"/>
      <c r="G372" s="87"/>
      <c r="H372" s="87"/>
      <c r="I372" s="87"/>
      <c r="J372" s="87"/>
      <c r="K372" s="87"/>
      <c r="L372" s="87"/>
      <c r="M372" s="87"/>
      <c r="N372" s="87">
        <v>1946.6</v>
      </c>
      <c r="O372" s="87">
        <v>2151.88</v>
      </c>
      <c r="P372" s="87">
        <v>2253.14</v>
      </c>
      <c r="Q372" s="87">
        <v>2838.84</v>
      </c>
      <c r="R372" s="87"/>
      <c r="S372" s="87"/>
      <c r="T372" s="87"/>
      <c r="U372" s="87"/>
      <c r="V372" s="87"/>
      <c r="W372" s="87"/>
      <c r="X372" s="87"/>
      <c r="Y372" s="87"/>
      <c r="Z372" s="87"/>
      <c r="AA372" s="87"/>
      <c r="AB372" s="87"/>
      <c r="AC372" s="87"/>
      <c r="AD372" s="87"/>
      <c r="AE372" s="87"/>
      <c r="AF372" s="87"/>
      <c r="AG372" s="87"/>
      <c r="AH372" s="87"/>
    </row>
    <row r="373" spans="2:34" x14ac:dyDescent="0.2">
      <c r="B373" s="148" t="s">
        <v>362</v>
      </c>
      <c r="C373" s="7" t="s">
        <v>123</v>
      </c>
      <c r="D373" s="24"/>
      <c r="E373" s="24"/>
      <c r="F373" s="24"/>
      <c r="G373" s="24"/>
      <c r="H373" s="24"/>
      <c r="I373" s="24"/>
      <c r="J373" s="24"/>
      <c r="K373" s="24">
        <v>2265.7199999999998</v>
      </c>
      <c r="L373" s="24">
        <v>2573.91</v>
      </c>
      <c r="M373" s="24">
        <v>3081.32</v>
      </c>
      <c r="N373" s="24">
        <v>3233.56</v>
      </c>
      <c r="O373" s="24">
        <v>3237.37</v>
      </c>
      <c r="P373" s="24">
        <v>3202.07</v>
      </c>
      <c r="Q373" s="24">
        <v>3686.81</v>
      </c>
      <c r="R373" s="24"/>
      <c r="S373" s="24"/>
      <c r="T373" s="24"/>
      <c r="U373" s="24"/>
      <c r="V373" s="24"/>
      <c r="W373" s="24"/>
      <c r="X373" s="24"/>
      <c r="Y373" s="24"/>
      <c r="Z373" s="24"/>
      <c r="AA373" s="24"/>
      <c r="AB373" s="24"/>
      <c r="AC373" s="24"/>
      <c r="AD373" s="24"/>
      <c r="AE373" s="24"/>
      <c r="AF373" s="24"/>
      <c r="AG373" s="24"/>
      <c r="AH373" s="24"/>
    </row>
    <row r="374" spans="2:34" s="66" customFormat="1" x14ac:dyDescent="0.2">
      <c r="B374" s="88" t="s">
        <v>364</v>
      </c>
      <c r="C374" s="124" t="s">
        <v>123</v>
      </c>
      <c r="D374" s="87"/>
      <c r="E374" s="87"/>
      <c r="F374" s="87"/>
      <c r="G374" s="87"/>
      <c r="H374" s="87"/>
      <c r="I374" s="87"/>
      <c r="J374" s="87"/>
      <c r="K374" s="87">
        <v>2280</v>
      </c>
      <c r="L374" s="87">
        <v>2583.9</v>
      </c>
      <c r="M374" s="87">
        <v>3090.77</v>
      </c>
      <c r="N374" s="87">
        <v>3241.8</v>
      </c>
      <c r="O374" s="87">
        <v>3244.65</v>
      </c>
      <c r="P374" s="87">
        <v>3208.76</v>
      </c>
      <c r="Q374" s="87">
        <v>3691.51</v>
      </c>
      <c r="R374" s="87"/>
      <c r="S374" s="87"/>
      <c r="T374" s="87"/>
      <c r="U374" s="87"/>
      <c r="V374" s="87"/>
      <c r="W374" s="87"/>
      <c r="X374" s="87"/>
      <c r="Y374" s="87"/>
      <c r="Z374" s="87"/>
      <c r="AA374" s="87"/>
      <c r="AB374" s="87"/>
      <c r="AC374" s="87"/>
      <c r="AD374" s="87"/>
      <c r="AE374" s="87"/>
      <c r="AF374" s="87"/>
      <c r="AG374" s="87"/>
      <c r="AH374" s="87"/>
    </row>
    <row r="375" spans="2:34" s="67" customFormat="1" x14ac:dyDescent="0.2">
      <c r="B375" s="72" t="s">
        <v>365</v>
      </c>
      <c r="C375" s="79" t="s">
        <v>123</v>
      </c>
      <c r="D375" s="69"/>
      <c r="E375" s="69"/>
      <c r="F375" s="69"/>
      <c r="G375" s="69"/>
      <c r="H375" s="69"/>
      <c r="I375" s="69"/>
      <c r="J375" s="69"/>
      <c r="K375" s="69">
        <v>2385.9499999999998</v>
      </c>
      <c r="L375" s="69">
        <v>2689.54</v>
      </c>
      <c r="M375" s="69">
        <v>3211.61</v>
      </c>
      <c r="N375" s="69">
        <v>3365.75</v>
      </c>
      <c r="O375" s="69">
        <v>3382.89</v>
      </c>
      <c r="P375" s="69">
        <v>3345.57</v>
      </c>
      <c r="Q375" s="69">
        <v>3830.81</v>
      </c>
      <c r="R375" s="69"/>
      <c r="S375" s="69"/>
      <c r="T375" s="69"/>
      <c r="U375" s="69"/>
      <c r="V375" s="69"/>
      <c r="W375" s="69"/>
      <c r="X375" s="69"/>
      <c r="Y375" s="69"/>
      <c r="Z375" s="69"/>
      <c r="AA375" s="69"/>
      <c r="AB375" s="69"/>
      <c r="AC375" s="69"/>
      <c r="AD375" s="69"/>
      <c r="AE375" s="69"/>
      <c r="AF375" s="69"/>
      <c r="AG375" s="69"/>
      <c r="AH375" s="69"/>
    </row>
    <row r="377" spans="2:34" x14ac:dyDescent="0.2">
      <c r="B377" s="21" t="s">
        <v>373</v>
      </c>
      <c r="E377" s="21"/>
    </row>
    <row r="378" spans="2:34" x14ac:dyDescent="0.2">
      <c r="B378" s="148" t="s">
        <v>361</v>
      </c>
      <c r="C378" s="7" t="s">
        <v>123</v>
      </c>
      <c r="D378" s="24"/>
      <c r="E378" s="24"/>
      <c r="F378" s="24"/>
      <c r="G378" s="24"/>
      <c r="H378" s="24"/>
      <c r="I378" s="24"/>
      <c r="J378" s="24"/>
      <c r="K378" s="24"/>
      <c r="L378" s="24"/>
      <c r="M378" s="24"/>
      <c r="N378" s="24"/>
      <c r="O378" s="24"/>
      <c r="P378" s="24"/>
      <c r="Q378" s="24">
        <v>0.96</v>
      </c>
      <c r="R378" s="24"/>
      <c r="S378" s="24"/>
      <c r="T378" s="24"/>
      <c r="U378" s="24"/>
      <c r="V378" s="24"/>
      <c r="W378" s="24"/>
      <c r="X378" s="24"/>
      <c r="Y378" s="24"/>
      <c r="Z378" s="24"/>
      <c r="AA378" s="24"/>
      <c r="AB378" s="24"/>
      <c r="AC378" s="24"/>
      <c r="AD378" s="24"/>
      <c r="AE378" s="24"/>
      <c r="AF378" s="24"/>
      <c r="AG378" s="24"/>
      <c r="AH378" s="24"/>
    </row>
    <row r="379" spans="2:34" x14ac:dyDescent="0.2">
      <c r="B379" s="148" t="s">
        <v>28</v>
      </c>
      <c r="C379" s="7" t="s">
        <v>123</v>
      </c>
      <c r="D379" s="24"/>
      <c r="E379" s="24"/>
      <c r="F379" s="24"/>
      <c r="G379" s="24"/>
      <c r="H379" s="24"/>
      <c r="I379" s="24"/>
      <c r="J379" s="24"/>
      <c r="K379" s="24"/>
      <c r="L379" s="24"/>
      <c r="M379" s="24"/>
      <c r="N379" s="24"/>
      <c r="O379" s="24"/>
      <c r="P379" s="24"/>
      <c r="Q379" s="24">
        <v>9.69</v>
      </c>
      <c r="R379" s="24"/>
      <c r="S379" s="24"/>
      <c r="T379" s="24"/>
      <c r="U379" s="24"/>
      <c r="V379" s="24"/>
      <c r="W379" s="24"/>
      <c r="X379" s="24"/>
      <c r="Y379" s="24"/>
      <c r="Z379" s="24"/>
      <c r="AA379" s="24"/>
      <c r="AB379" s="24"/>
      <c r="AC379" s="24"/>
      <c r="AD379" s="24"/>
      <c r="AE379" s="24"/>
      <c r="AF379" s="24"/>
      <c r="AG379" s="24"/>
      <c r="AH379" s="24"/>
    </row>
    <row r="380" spans="2:34" x14ac:dyDescent="0.2">
      <c r="B380" s="148" t="s">
        <v>31</v>
      </c>
      <c r="C380" s="7" t="s">
        <v>123</v>
      </c>
      <c r="D380" s="24"/>
      <c r="E380" s="24"/>
      <c r="F380" s="24"/>
      <c r="G380" s="24"/>
      <c r="H380" s="24"/>
      <c r="I380" s="24"/>
      <c r="J380" s="24"/>
      <c r="K380" s="24"/>
      <c r="L380" s="24"/>
      <c r="M380" s="24"/>
      <c r="N380" s="24"/>
      <c r="O380" s="24"/>
      <c r="P380" s="24"/>
      <c r="Q380" s="24">
        <v>0.56999999999999995</v>
      </c>
      <c r="R380" s="24"/>
      <c r="S380" s="24"/>
      <c r="T380" s="24"/>
      <c r="U380" s="24"/>
      <c r="V380" s="24"/>
      <c r="W380" s="24"/>
      <c r="X380" s="24"/>
      <c r="Y380" s="24"/>
      <c r="Z380" s="24"/>
      <c r="AA380" s="24"/>
      <c r="AB380" s="24"/>
      <c r="AC380" s="24"/>
      <c r="AD380" s="24"/>
      <c r="AE380" s="24"/>
      <c r="AF380" s="24"/>
      <c r="AG380" s="24"/>
      <c r="AH380" s="24"/>
    </row>
    <row r="381" spans="2:34" x14ac:dyDescent="0.2">
      <c r="B381" s="148" t="s">
        <v>223</v>
      </c>
      <c r="C381" s="7" t="s">
        <v>123</v>
      </c>
      <c r="D381" s="24"/>
      <c r="E381" s="24"/>
      <c r="F381" s="24"/>
      <c r="G381" s="24"/>
      <c r="H381" s="24"/>
      <c r="I381" s="24"/>
      <c r="J381" s="24"/>
      <c r="K381" s="24"/>
      <c r="L381" s="24"/>
      <c r="M381" s="24"/>
      <c r="N381" s="24"/>
      <c r="O381" s="24"/>
      <c r="P381" s="24"/>
      <c r="Q381" s="24">
        <v>3.59</v>
      </c>
      <c r="R381" s="24"/>
      <c r="S381" s="24"/>
      <c r="T381" s="24"/>
      <c r="U381" s="24"/>
      <c r="V381" s="24"/>
      <c r="W381" s="24"/>
      <c r="X381" s="24"/>
      <c r="Y381" s="24"/>
      <c r="Z381" s="24"/>
      <c r="AA381" s="24"/>
      <c r="AB381" s="24"/>
      <c r="AC381" s="24"/>
      <c r="AD381" s="24"/>
      <c r="AE381" s="24"/>
      <c r="AF381" s="24"/>
      <c r="AG381" s="24"/>
      <c r="AH381" s="24"/>
    </row>
    <row r="382" spans="2:34" x14ac:dyDescent="0.2">
      <c r="B382" s="149" t="s">
        <v>362</v>
      </c>
      <c r="C382" s="124" t="s">
        <v>123</v>
      </c>
      <c r="D382" s="87"/>
      <c r="E382" s="87"/>
      <c r="F382" s="87"/>
      <c r="G382" s="87"/>
      <c r="H382" s="87"/>
      <c r="I382" s="87"/>
      <c r="J382" s="87"/>
      <c r="K382" s="87"/>
      <c r="L382" s="87"/>
      <c r="M382" s="87"/>
      <c r="N382" s="87"/>
      <c r="O382" s="87"/>
      <c r="P382" s="87"/>
      <c r="Q382" s="87">
        <v>13.86</v>
      </c>
      <c r="R382" s="87"/>
      <c r="S382" s="87"/>
      <c r="T382" s="87"/>
      <c r="U382" s="87"/>
      <c r="V382" s="87"/>
      <c r="W382" s="87"/>
      <c r="X382" s="87"/>
      <c r="Y382" s="87"/>
      <c r="Z382" s="87"/>
      <c r="AA382" s="87"/>
      <c r="AB382" s="87"/>
      <c r="AC382" s="87"/>
      <c r="AD382" s="87"/>
      <c r="AE382" s="87"/>
      <c r="AF382" s="87"/>
      <c r="AG382" s="87"/>
      <c r="AH382" s="87"/>
    </row>
    <row r="383" spans="2:34" x14ac:dyDescent="0.2">
      <c r="B383" s="149" t="s">
        <v>225</v>
      </c>
      <c r="C383" s="124" t="s">
        <v>123</v>
      </c>
      <c r="D383" s="87"/>
      <c r="E383" s="87"/>
      <c r="F383" s="87"/>
      <c r="G383" s="87"/>
      <c r="H383" s="87"/>
      <c r="I383" s="87"/>
      <c r="J383" s="87"/>
      <c r="K383" s="87"/>
      <c r="L383" s="87"/>
      <c r="M383" s="87"/>
      <c r="N383" s="87"/>
      <c r="O383" s="87"/>
      <c r="P383" s="87"/>
      <c r="Q383" s="87">
        <v>14.82</v>
      </c>
      <c r="R383" s="87"/>
      <c r="S383" s="87"/>
      <c r="T383" s="87"/>
      <c r="U383" s="87"/>
      <c r="V383" s="87"/>
      <c r="W383" s="87"/>
      <c r="X383" s="87"/>
      <c r="Y383" s="87"/>
      <c r="Z383" s="87"/>
      <c r="AA383" s="87"/>
      <c r="AB383" s="87"/>
      <c r="AC383" s="87"/>
      <c r="AD383" s="87"/>
      <c r="AE383" s="87"/>
      <c r="AF383" s="87"/>
      <c r="AG383" s="87"/>
      <c r="AH383" s="87"/>
    </row>
    <row r="384" spans="2:34" x14ac:dyDescent="0.2">
      <c r="B384" s="85" t="s">
        <v>296</v>
      </c>
      <c r="C384" s="7" t="s">
        <v>123</v>
      </c>
      <c r="D384" s="24"/>
      <c r="E384" s="24"/>
      <c r="F384" s="24"/>
      <c r="G384" s="24"/>
      <c r="H384" s="24"/>
      <c r="I384" s="24"/>
      <c r="J384" s="24"/>
      <c r="K384" s="24"/>
      <c r="L384" s="24"/>
      <c r="M384" s="24"/>
      <c r="N384" s="24"/>
      <c r="O384" s="24"/>
      <c r="P384" s="24"/>
      <c r="Q384" s="24">
        <v>1.97</v>
      </c>
      <c r="R384" s="24"/>
      <c r="S384" s="24"/>
      <c r="T384" s="24"/>
      <c r="U384" s="24"/>
      <c r="V384" s="24"/>
      <c r="W384" s="24"/>
      <c r="X384" s="24"/>
      <c r="Y384" s="24"/>
      <c r="Z384" s="24"/>
      <c r="AA384" s="24"/>
      <c r="AB384" s="24"/>
      <c r="AC384" s="24"/>
      <c r="AD384" s="24"/>
      <c r="AE384" s="24"/>
      <c r="AF384" s="24"/>
      <c r="AG384" s="24"/>
      <c r="AH384" s="24"/>
    </row>
    <row r="385" spans="2:34" s="66" customFormat="1" x14ac:dyDescent="0.2">
      <c r="B385" s="88" t="s">
        <v>227</v>
      </c>
      <c r="C385" s="124" t="s">
        <v>123</v>
      </c>
      <c r="D385" s="87"/>
      <c r="E385" s="87"/>
      <c r="F385" s="87"/>
      <c r="G385" s="87"/>
      <c r="H385" s="87"/>
      <c r="I385" s="87"/>
      <c r="J385" s="87"/>
      <c r="K385" s="87"/>
      <c r="L385" s="87"/>
      <c r="M385" s="87"/>
      <c r="N385" s="87"/>
      <c r="O385" s="87"/>
      <c r="P385" s="87"/>
      <c r="Q385" s="87">
        <v>16.79</v>
      </c>
      <c r="R385" s="87"/>
      <c r="S385" s="87"/>
      <c r="T385" s="87"/>
      <c r="U385" s="87"/>
      <c r="V385" s="87"/>
      <c r="W385" s="87"/>
      <c r="X385" s="87"/>
      <c r="Y385" s="87"/>
      <c r="Z385" s="87"/>
      <c r="AA385" s="87"/>
      <c r="AB385" s="87"/>
      <c r="AC385" s="87"/>
      <c r="AD385" s="87"/>
      <c r="AE385" s="87"/>
      <c r="AF385" s="87"/>
      <c r="AG385" s="87"/>
      <c r="AH385" s="87"/>
    </row>
    <row r="386" spans="2:34" x14ac:dyDescent="0.2">
      <c r="B386" s="148" t="s">
        <v>363</v>
      </c>
      <c r="C386" s="7" t="s">
        <v>123</v>
      </c>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row>
    <row r="387" spans="2:34" x14ac:dyDescent="0.2">
      <c r="B387" s="148" t="s">
        <v>31</v>
      </c>
      <c r="C387" s="124" t="s">
        <v>123</v>
      </c>
      <c r="D387" s="87"/>
      <c r="E387" s="87"/>
      <c r="F387" s="87"/>
      <c r="G387" s="87"/>
      <c r="H387" s="87"/>
      <c r="I387" s="87"/>
      <c r="J387" s="87"/>
      <c r="K387" s="87"/>
      <c r="L387" s="87"/>
      <c r="M387" s="87"/>
      <c r="N387" s="87"/>
      <c r="O387" s="87"/>
      <c r="P387" s="87"/>
      <c r="Q387" s="87">
        <v>110.5</v>
      </c>
      <c r="R387" s="87"/>
      <c r="S387" s="87"/>
      <c r="T387" s="87"/>
      <c r="U387" s="87"/>
      <c r="V387" s="87"/>
      <c r="W387" s="87"/>
      <c r="X387" s="87"/>
      <c r="Y387" s="87"/>
      <c r="Z387" s="87"/>
      <c r="AA387" s="87"/>
      <c r="AB387" s="87"/>
      <c r="AC387" s="87"/>
      <c r="AD387" s="87"/>
      <c r="AE387" s="87"/>
      <c r="AF387" s="87"/>
      <c r="AG387" s="87"/>
      <c r="AH387" s="87"/>
    </row>
    <row r="388" spans="2:34" x14ac:dyDescent="0.2">
      <c r="B388" s="148" t="s">
        <v>223</v>
      </c>
      <c r="C388" s="124" t="s">
        <v>123</v>
      </c>
      <c r="D388" s="87"/>
      <c r="E388" s="87"/>
      <c r="F388" s="87"/>
      <c r="G388" s="87"/>
      <c r="H388" s="87"/>
      <c r="I388" s="87"/>
      <c r="J388" s="87"/>
      <c r="K388" s="87"/>
      <c r="L388" s="87"/>
      <c r="M388" s="87"/>
      <c r="N388" s="87"/>
      <c r="O388" s="87"/>
      <c r="P388" s="87"/>
      <c r="Q388" s="87">
        <v>369.94</v>
      </c>
      <c r="R388" s="87"/>
      <c r="S388" s="87"/>
      <c r="T388" s="87"/>
      <c r="U388" s="87"/>
      <c r="V388" s="87"/>
      <c r="W388" s="87"/>
      <c r="X388" s="87"/>
      <c r="Y388" s="87"/>
      <c r="Z388" s="87"/>
      <c r="AA388" s="87"/>
      <c r="AB388" s="87"/>
      <c r="AC388" s="87"/>
      <c r="AD388" s="87"/>
      <c r="AE388" s="87"/>
      <c r="AF388" s="87"/>
      <c r="AG388" s="87"/>
      <c r="AH388" s="87"/>
    </row>
    <row r="389" spans="2:34" x14ac:dyDescent="0.2">
      <c r="B389" s="148" t="s">
        <v>362</v>
      </c>
      <c r="C389" s="7" t="s">
        <v>123</v>
      </c>
      <c r="D389" s="24"/>
      <c r="E389" s="24"/>
      <c r="F389" s="24"/>
      <c r="G389" s="24"/>
      <c r="H389" s="24"/>
      <c r="I389" s="24"/>
      <c r="J389" s="24"/>
      <c r="K389" s="24"/>
      <c r="L389" s="24"/>
      <c r="M389" s="24"/>
      <c r="N389" s="24"/>
      <c r="O389" s="24"/>
      <c r="P389" s="24"/>
      <c r="Q389" s="24">
        <v>480.44</v>
      </c>
      <c r="R389" s="24"/>
      <c r="S389" s="24"/>
      <c r="T389" s="24"/>
      <c r="U389" s="24"/>
      <c r="V389" s="24"/>
      <c r="W389" s="24"/>
      <c r="X389" s="24"/>
      <c r="Y389" s="24"/>
      <c r="Z389" s="24"/>
      <c r="AA389" s="24"/>
      <c r="AB389" s="24"/>
      <c r="AC389" s="24"/>
      <c r="AD389" s="24"/>
      <c r="AE389" s="24"/>
      <c r="AF389" s="24"/>
      <c r="AG389" s="24"/>
      <c r="AH389" s="24"/>
    </row>
    <row r="390" spans="2:34" s="66" customFormat="1" x14ac:dyDescent="0.2">
      <c r="B390" s="88" t="s">
        <v>364</v>
      </c>
      <c r="C390" s="124" t="s">
        <v>123</v>
      </c>
      <c r="D390" s="87"/>
      <c r="E390" s="87"/>
      <c r="F390" s="87"/>
      <c r="G390" s="87"/>
      <c r="H390" s="87"/>
      <c r="I390" s="87"/>
      <c r="J390" s="87"/>
      <c r="K390" s="87"/>
      <c r="L390" s="87"/>
      <c r="M390" s="87"/>
      <c r="N390" s="87"/>
      <c r="O390" s="87"/>
      <c r="P390" s="87"/>
      <c r="Q390" s="87">
        <v>480.44</v>
      </c>
      <c r="R390" s="87"/>
      <c r="S390" s="87"/>
      <c r="T390" s="87"/>
      <c r="U390" s="87"/>
      <c r="V390" s="87"/>
      <c r="W390" s="87"/>
      <c r="X390" s="87"/>
      <c r="Y390" s="87"/>
      <c r="Z390" s="87"/>
      <c r="AA390" s="87"/>
      <c r="AB390" s="87"/>
      <c r="AC390" s="87"/>
      <c r="AD390" s="87"/>
      <c r="AE390" s="87"/>
      <c r="AF390" s="87"/>
      <c r="AG390" s="87"/>
      <c r="AH390" s="87"/>
    </row>
    <row r="391" spans="2:34" s="67" customFormat="1" x14ac:dyDescent="0.2">
      <c r="B391" s="72" t="s">
        <v>365</v>
      </c>
      <c r="C391" s="79" t="s">
        <v>123</v>
      </c>
      <c r="D391" s="69"/>
      <c r="E391" s="69"/>
      <c r="F391" s="69"/>
      <c r="G391" s="69"/>
      <c r="H391" s="69"/>
      <c r="I391" s="69"/>
      <c r="J391" s="69"/>
      <c r="K391" s="69"/>
      <c r="L391" s="69"/>
      <c r="M391" s="69"/>
      <c r="N391" s="69"/>
      <c r="O391" s="69"/>
      <c r="P391" s="69"/>
      <c r="Q391" s="69">
        <v>497.23</v>
      </c>
      <c r="R391" s="69"/>
      <c r="S391" s="69"/>
      <c r="T391" s="69"/>
      <c r="U391" s="69"/>
      <c r="V391" s="69"/>
      <c r="W391" s="69"/>
      <c r="X391" s="69"/>
      <c r="Y391" s="69"/>
      <c r="Z391" s="69"/>
      <c r="AA391" s="69"/>
      <c r="AB391" s="69"/>
      <c r="AC391" s="69"/>
      <c r="AD391" s="69"/>
      <c r="AE391" s="69"/>
      <c r="AF391" s="69"/>
      <c r="AG391" s="69"/>
      <c r="AH391" s="69"/>
    </row>
    <row r="392" spans="2:34" s="66" customFormat="1" x14ac:dyDescent="0.2">
      <c r="B392" s="86"/>
      <c r="C392" s="124"/>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row>
    <row r="393" spans="2:34" x14ac:dyDescent="0.2">
      <c r="B393" s="21" t="s">
        <v>374</v>
      </c>
      <c r="E393" s="21"/>
    </row>
    <row r="394" spans="2:34" x14ac:dyDescent="0.2">
      <c r="B394" s="148" t="s">
        <v>361</v>
      </c>
      <c r="C394" s="7" t="s">
        <v>123</v>
      </c>
      <c r="D394" s="24"/>
      <c r="E394" s="24"/>
      <c r="F394" s="24"/>
      <c r="G394" s="24"/>
      <c r="H394" s="24"/>
      <c r="I394" s="24"/>
      <c r="J394" s="24"/>
      <c r="K394" s="24"/>
      <c r="L394" s="24"/>
      <c r="M394" s="24"/>
      <c r="N394" s="24"/>
      <c r="O394" s="24"/>
      <c r="P394" s="24"/>
      <c r="Q394" s="24">
        <v>1.62</v>
      </c>
      <c r="R394" s="24"/>
      <c r="S394" s="24"/>
      <c r="T394" s="24"/>
      <c r="U394" s="24"/>
      <c r="V394" s="24"/>
      <c r="W394" s="24"/>
      <c r="X394" s="24"/>
      <c r="Y394" s="24"/>
      <c r="Z394" s="24"/>
      <c r="AA394" s="24"/>
      <c r="AB394" s="24"/>
      <c r="AC394" s="24"/>
      <c r="AD394" s="24"/>
      <c r="AE394" s="24"/>
      <c r="AF394" s="24"/>
      <c r="AG394" s="24"/>
      <c r="AH394" s="24"/>
    </row>
    <row r="395" spans="2:34" x14ac:dyDescent="0.2">
      <c r="B395" s="148" t="s">
        <v>28</v>
      </c>
      <c r="C395" s="7" t="s">
        <v>123</v>
      </c>
      <c r="D395" s="24"/>
      <c r="E395" s="24"/>
      <c r="F395" s="24"/>
      <c r="G395" s="24"/>
      <c r="H395" s="24"/>
      <c r="I395" s="24"/>
      <c r="J395" s="24"/>
      <c r="K395" s="24"/>
      <c r="L395" s="24"/>
      <c r="M395" s="24"/>
      <c r="N395" s="24"/>
      <c r="O395" s="24"/>
      <c r="P395" s="24"/>
      <c r="Q395" s="24">
        <v>15.89</v>
      </c>
      <c r="R395" s="24"/>
      <c r="S395" s="24"/>
      <c r="T395" s="24"/>
      <c r="U395" s="24"/>
      <c r="V395" s="24"/>
      <c r="W395" s="24"/>
      <c r="X395" s="24"/>
      <c r="Y395" s="24"/>
      <c r="Z395" s="24"/>
      <c r="AA395" s="24"/>
      <c r="AB395" s="24"/>
      <c r="AC395" s="24"/>
      <c r="AD395" s="24"/>
      <c r="AE395" s="24"/>
      <c r="AF395" s="24"/>
      <c r="AG395" s="24"/>
      <c r="AH395" s="24"/>
    </row>
    <row r="396" spans="2:34" x14ac:dyDescent="0.2">
      <c r="B396" s="148" t="s">
        <v>31</v>
      </c>
      <c r="C396" s="7" t="s">
        <v>123</v>
      </c>
      <c r="D396" s="24"/>
      <c r="E396" s="24"/>
      <c r="F396" s="24"/>
      <c r="G396" s="24"/>
      <c r="H396" s="24"/>
      <c r="I396" s="24"/>
      <c r="J396" s="24"/>
      <c r="K396" s="24"/>
      <c r="L396" s="24"/>
      <c r="M396" s="24"/>
      <c r="N396" s="24"/>
      <c r="O396" s="24"/>
      <c r="P396" s="24"/>
      <c r="Q396" s="24">
        <v>1.37</v>
      </c>
      <c r="R396" s="24"/>
      <c r="S396" s="24"/>
      <c r="T396" s="24"/>
      <c r="U396" s="24"/>
      <c r="V396" s="24"/>
      <c r="W396" s="24"/>
      <c r="X396" s="24"/>
      <c r="Y396" s="24"/>
      <c r="Z396" s="24"/>
      <c r="AA396" s="24"/>
      <c r="AB396" s="24"/>
      <c r="AC396" s="24"/>
      <c r="AD396" s="24"/>
      <c r="AE396" s="24"/>
      <c r="AF396" s="24"/>
      <c r="AG396" s="24"/>
      <c r="AH396" s="24"/>
    </row>
    <row r="397" spans="2:34" x14ac:dyDescent="0.2">
      <c r="B397" s="148" t="s">
        <v>223</v>
      </c>
      <c r="C397" s="7" t="s">
        <v>123</v>
      </c>
      <c r="D397" s="24"/>
      <c r="E397" s="24"/>
      <c r="F397" s="24"/>
      <c r="G397" s="24"/>
      <c r="H397" s="24"/>
      <c r="I397" s="24"/>
      <c r="J397" s="24"/>
      <c r="K397" s="24"/>
      <c r="L397" s="24"/>
      <c r="M397" s="24"/>
      <c r="N397" s="24"/>
      <c r="O397" s="24"/>
      <c r="P397" s="24"/>
      <c r="Q397" s="24">
        <v>8.11</v>
      </c>
      <c r="R397" s="24"/>
      <c r="S397" s="24"/>
      <c r="T397" s="24"/>
      <c r="U397" s="24"/>
      <c r="V397" s="24"/>
      <c r="W397" s="24"/>
      <c r="X397" s="24"/>
      <c r="Y397" s="24"/>
      <c r="Z397" s="24"/>
      <c r="AA397" s="24"/>
      <c r="AB397" s="24"/>
      <c r="AC397" s="24"/>
      <c r="AD397" s="24"/>
      <c r="AE397" s="24"/>
      <c r="AF397" s="24"/>
      <c r="AG397" s="24"/>
      <c r="AH397" s="24"/>
    </row>
    <row r="398" spans="2:34" x14ac:dyDescent="0.2">
      <c r="B398" s="149" t="s">
        <v>362</v>
      </c>
      <c r="C398" s="124" t="s">
        <v>123</v>
      </c>
      <c r="D398" s="87"/>
      <c r="E398" s="87"/>
      <c r="F398" s="87"/>
      <c r="G398" s="87"/>
      <c r="H398" s="87"/>
      <c r="I398" s="87"/>
      <c r="J398" s="87"/>
      <c r="K398" s="87"/>
      <c r="L398" s="87"/>
      <c r="M398" s="87"/>
      <c r="N398" s="87"/>
      <c r="O398" s="87"/>
      <c r="P398" s="87"/>
      <c r="Q398" s="87">
        <v>25.37</v>
      </c>
      <c r="R398" s="87"/>
      <c r="S398" s="87"/>
      <c r="T398" s="87"/>
      <c r="U398" s="87"/>
      <c r="V398" s="87"/>
      <c r="W398" s="87"/>
      <c r="X398" s="87"/>
      <c r="Y398" s="87"/>
      <c r="Z398" s="87"/>
      <c r="AA398" s="87"/>
      <c r="AB398" s="87"/>
      <c r="AC398" s="87"/>
      <c r="AD398" s="87"/>
      <c r="AE398" s="87"/>
      <c r="AF398" s="87"/>
      <c r="AG398" s="87"/>
      <c r="AH398" s="87"/>
    </row>
    <row r="399" spans="2:34" x14ac:dyDescent="0.2">
      <c r="B399" s="149" t="s">
        <v>225</v>
      </c>
      <c r="C399" s="124" t="s">
        <v>123</v>
      </c>
      <c r="D399" s="87"/>
      <c r="E399" s="87"/>
      <c r="F399" s="87"/>
      <c r="G399" s="87"/>
      <c r="H399" s="87"/>
      <c r="I399" s="87"/>
      <c r="J399" s="87"/>
      <c r="K399" s="87"/>
      <c r="L399" s="87"/>
      <c r="M399" s="87"/>
      <c r="N399" s="87"/>
      <c r="O399" s="87"/>
      <c r="P399" s="87"/>
      <c r="Q399" s="87">
        <v>26.99</v>
      </c>
      <c r="R399" s="87"/>
      <c r="S399" s="87"/>
      <c r="T399" s="87"/>
      <c r="U399" s="87"/>
      <c r="V399" s="87"/>
      <c r="W399" s="87"/>
      <c r="X399" s="87"/>
      <c r="Y399" s="87"/>
      <c r="Z399" s="87"/>
      <c r="AA399" s="87"/>
      <c r="AB399" s="87"/>
      <c r="AC399" s="87"/>
      <c r="AD399" s="87"/>
      <c r="AE399" s="87"/>
      <c r="AF399" s="87"/>
      <c r="AG399" s="87"/>
      <c r="AH399" s="87"/>
    </row>
    <row r="400" spans="2:34" x14ac:dyDescent="0.2">
      <c r="B400" s="85" t="s">
        <v>296</v>
      </c>
      <c r="C400" s="7" t="s">
        <v>123</v>
      </c>
      <c r="D400" s="24"/>
      <c r="E400" s="24"/>
      <c r="F400" s="24"/>
      <c r="G400" s="24"/>
      <c r="H400" s="24"/>
      <c r="I400" s="24"/>
      <c r="J400" s="24"/>
      <c r="K400" s="24"/>
      <c r="L400" s="24"/>
      <c r="M400" s="24"/>
      <c r="N400" s="24"/>
      <c r="O400" s="24"/>
      <c r="P400" s="24"/>
      <c r="Q400" s="24">
        <v>0.09</v>
      </c>
      <c r="R400" s="24"/>
      <c r="S400" s="24"/>
      <c r="T400" s="24"/>
      <c r="U400" s="24"/>
      <c r="V400" s="24"/>
      <c r="W400" s="24"/>
      <c r="X400" s="24"/>
      <c r="Y400" s="24"/>
      <c r="Z400" s="24"/>
      <c r="AA400" s="24"/>
      <c r="AB400" s="24"/>
      <c r="AC400" s="24"/>
      <c r="AD400" s="24"/>
      <c r="AE400" s="24"/>
      <c r="AF400" s="24"/>
      <c r="AG400" s="24"/>
      <c r="AH400" s="24"/>
    </row>
    <row r="401" spans="2:34" s="66" customFormat="1" x14ac:dyDescent="0.2">
      <c r="B401" s="88" t="s">
        <v>227</v>
      </c>
      <c r="C401" s="124" t="s">
        <v>123</v>
      </c>
      <c r="D401" s="87"/>
      <c r="E401" s="87"/>
      <c r="F401" s="87"/>
      <c r="G401" s="87"/>
      <c r="H401" s="87"/>
      <c r="I401" s="87"/>
      <c r="J401" s="87"/>
      <c r="K401" s="87"/>
      <c r="L401" s="87"/>
      <c r="M401" s="87"/>
      <c r="N401" s="87"/>
      <c r="O401" s="87"/>
      <c r="P401" s="87"/>
      <c r="Q401" s="87">
        <v>27.08</v>
      </c>
      <c r="R401" s="87"/>
      <c r="S401" s="87"/>
      <c r="T401" s="87"/>
      <c r="U401" s="87"/>
      <c r="V401" s="87"/>
      <c r="W401" s="87"/>
      <c r="X401" s="87"/>
      <c r="Y401" s="87"/>
      <c r="Z401" s="87"/>
      <c r="AA401" s="87"/>
      <c r="AB401" s="87"/>
      <c r="AC401" s="87"/>
      <c r="AD401" s="87"/>
      <c r="AE401" s="87"/>
      <c r="AF401" s="87"/>
      <c r="AG401" s="87"/>
      <c r="AH401" s="87"/>
    </row>
    <row r="402" spans="2:34" x14ac:dyDescent="0.2">
      <c r="B402" s="148" t="s">
        <v>363</v>
      </c>
      <c r="C402" s="7" t="s">
        <v>123</v>
      </c>
      <c r="D402" s="24"/>
      <c r="E402" s="24"/>
      <c r="F402" s="24"/>
      <c r="G402" s="24"/>
      <c r="H402" s="24"/>
      <c r="I402" s="24"/>
      <c r="J402" s="24"/>
      <c r="K402" s="24"/>
      <c r="L402" s="24"/>
      <c r="M402" s="24"/>
      <c r="N402" s="24"/>
      <c r="O402" s="24"/>
      <c r="P402" s="24"/>
      <c r="Q402" s="24" t="s">
        <v>380</v>
      </c>
      <c r="R402" s="24"/>
      <c r="S402" s="24"/>
      <c r="T402" s="24"/>
      <c r="U402" s="24"/>
      <c r="V402" s="24"/>
      <c r="W402" s="24"/>
      <c r="X402" s="24"/>
      <c r="Y402" s="24"/>
      <c r="Z402" s="24"/>
      <c r="AA402" s="24"/>
      <c r="AB402" s="24"/>
      <c r="AC402" s="24"/>
      <c r="AD402" s="24"/>
      <c r="AE402" s="24"/>
      <c r="AF402" s="24"/>
      <c r="AG402" s="24"/>
      <c r="AH402" s="24"/>
    </row>
    <row r="403" spans="2:34" x14ac:dyDescent="0.2">
      <c r="B403" s="148" t="s">
        <v>31</v>
      </c>
      <c r="C403" s="124" t="s">
        <v>123</v>
      </c>
      <c r="D403" s="87"/>
      <c r="E403" s="87"/>
      <c r="F403" s="87"/>
      <c r="G403" s="87"/>
      <c r="H403" s="87"/>
      <c r="I403" s="87"/>
      <c r="J403" s="87"/>
      <c r="K403" s="87"/>
      <c r="L403" s="87"/>
      <c r="M403" s="87"/>
      <c r="N403" s="87"/>
      <c r="O403" s="87"/>
      <c r="P403" s="87"/>
      <c r="Q403" s="87">
        <v>180.54</v>
      </c>
      <c r="R403" s="87"/>
      <c r="S403" s="87"/>
      <c r="T403" s="87"/>
      <c r="U403" s="87"/>
      <c r="V403" s="87"/>
      <c r="W403" s="87"/>
      <c r="X403" s="87"/>
      <c r="Y403" s="87"/>
      <c r="Z403" s="87"/>
      <c r="AA403" s="87"/>
      <c r="AB403" s="87"/>
      <c r="AC403" s="87"/>
      <c r="AD403" s="87"/>
      <c r="AE403" s="87"/>
      <c r="AF403" s="87"/>
      <c r="AG403" s="87"/>
      <c r="AH403" s="87"/>
    </row>
    <row r="404" spans="2:34" x14ac:dyDescent="0.2">
      <c r="B404" s="148" t="s">
        <v>223</v>
      </c>
      <c r="C404" s="124" t="s">
        <v>123</v>
      </c>
      <c r="D404" s="87"/>
      <c r="E404" s="87"/>
      <c r="F404" s="87"/>
      <c r="G404" s="87"/>
      <c r="H404" s="87"/>
      <c r="I404" s="87"/>
      <c r="J404" s="87"/>
      <c r="K404" s="87"/>
      <c r="L404" s="87"/>
      <c r="M404" s="87"/>
      <c r="N404" s="87"/>
      <c r="O404" s="87"/>
      <c r="P404" s="87"/>
      <c r="Q404" s="87">
        <v>604.42999999999995</v>
      </c>
      <c r="R404" s="87"/>
      <c r="S404" s="87"/>
      <c r="T404" s="87"/>
      <c r="U404" s="87"/>
      <c r="V404" s="87"/>
      <c r="W404" s="87"/>
      <c r="X404" s="87"/>
      <c r="Y404" s="87"/>
      <c r="Z404" s="87"/>
      <c r="AA404" s="87"/>
      <c r="AB404" s="87"/>
      <c r="AC404" s="87"/>
      <c r="AD404" s="87"/>
      <c r="AE404" s="87"/>
      <c r="AF404" s="87"/>
      <c r="AG404" s="87"/>
      <c r="AH404" s="87"/>
    </row>
    <row r="405" spans="2:34" x14ac:dyDescent="0.2">
      <c r="B405" s="148" t="s">
        <v>362</v>
      </c>
      <c r="C405" s="7" t="s">
        <v>123</v>
      </c>
      <c r="D405" s="24"/>
      <c r="E405" s="24"/>
      <c r="F405" s="24"/>
      <c r="G405" s="24"/>
      <c r="H405" s="24"/>
      <c r="I405" s="24"/>
      <c r="J405" s="24"/>
      <c r="K405" s="24"/>
      <c r="L405" s="24"/>
      <c r="M405" s="24"/>
      <c r="N405" s="24"/>
      <c r="O405" s="24"/>
      <c r="P405" s="24"/>
      <c r="Q405" s="24">
        <v>784.97</v>
      </c>
      <c r="R405" s="24"/>
      <c r="S405" s="24"/>
      <c r="T405" s="24"/>
      <c r="U405" s="24"/>
      <c r="V405" s="24"/>
      <c r="W405" s="24"/>
      <c r="X405" s="24"/>
      <c r="Y405" s="24"/>
      <c r="Z405" s="24"/>
      <c r="AA405" s="24"/>
      <c r="AB405" s="24"/>
      <c r="AC405" s="24"/>
      <c r="AD405" s="24"/>
      <c r="AE405" s="24"/>
      <c r="AF405" s="24"/>
      <c r="AG405" s="24"/>
      <c r="AH405" s="24"/>
    </row>
    <row r="406" spans="2:34" s="66" customFormat="1" x14ac:dyDescent="0.2">
      <c r="B406" s="88" t="s">
        <v>364</v>
      </c>
      <c r="C406" s="124" t="s">
        <v>123</v>
      </c>
      <c r="D406" s="87"/>
      <c r="E406" s="87"/>
      <c r="F406" s="87"/>
      <c r="G406" s="87"/>
      <c r="H406" s="87"/>
      <c r="I406" s="87"/>
      <c r="J406" s="87"/>
      <c r="K406" s="87"/>
      <c r="L406" s="87"/>
      <c r="M406" s="87"/>
      <c r="N406" s="87"/>
      <c r="O406" s="87"/>
      <c r="P406" s="87"/>
      <c r="Q406" s="87">
        <v>784.97</v>
      </c>
      <c r="R406" s="87"/>
      <c r="S406" s="87"/>
      <c r="T406" s="87"/>
      <c r="U406" s="87"/>
      <c r="V406" s="87"/>
      <c r="W406" s="87"/>
      <c r="X406" s="87"/>
      <c r="Y406" s="87"/>
      <c r="Z406" s="87"/>
      <c r="AA406" s="87"/>
      <c r="AB406" s="87"/>
      <c r="AC406" s="87"/>
      <c r="AD406" s="87"/>
      <c r="AE406" s="87"/>
      <c r="AF406" s="87"/>
      <c r="AG406" s="87"/>
      <c r="AH406" s="87"/>
    </row>
    <row r="407" spans="2:34" s="67" customFormat="1" x14ac:dyDescent="0.2">
      <c r="B407" s="72" t="s">
        <v>365</v>
      </c>
      <c r="C407" s="79" t="s">
        <v>123</v>
      </c>
      <c r="D407" s="69"/>
      <c r="E407" s="69"/>
      <c r="F407" s="69"/>
      <c r="G407" s="69"/>
      <c r="H407" s="69"/>
      <c r="I407" s="69"/>
      <c r="J407" s="69"/>
      <c r="K407" s="69"/>
      <c r="L407" s="69"/>
      <c r="M407" s="69"/>
      <c r="N407" s="69"/>
      <c r="O407" s="69"/>
      <c r="P407" s="69"/>
      <c r="Q407" s="69">
        <v>812.05</v>
      </c>
      <c r="R407" s="69"/>
      <c r="S407" s="69"/>
      <c r="T407" s="69"/>
      <c r="U407" s="69"/>
      <c r="V407" s="69"/>
      <c r="W407" s="69"/>
      <c r="X407" s="69"/>
      <c r="Y407" s="69"/>
      <c r="Z407" s="69"/>
      <c r="AA407" s="69"/>
      <c r="AB407" s="69"/>
      <c r="AC407" s="69"/>
      <c r="AD407" s="69"/>
      <c r="AE407" s="69"/>
      <c r="AF407" s="69"/>
      <c r="AG407" s="69"/>
      <c r="AH407" s="69"/>
    </row>
    <row r="408" spans="2:34" s="66" customFormat="1" x14ac:dyDescent="0.2">
      <c r="B408" s="86"/>
      <c r="C408" s="124"/>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row>
    <row r="409" spans="2:34" x14ac:dyDescent="0.2">
      <c r="B409" s="21" t="s">
        <v>375</v>
      </c>
      <c r="E409" s="21"/>
    </row>
    <row r="410" spans="2:34" x14ac:dyDescent="0.2">
      <c r="B410" s="148" t="s">
        <v>230</v>
      </c>
      <c r="C410" s="7" t="s">
        <v>123</v>
      </c>
      <c r="D410" s="24"/>
      <c r="E410" s="24"/>
      <c r="F410" s="24"/>
      <c r="G410" s="24"/>
      <c r="H410" s="24"/>
      <c r="I410" s="24"/>
      <c r="J410" s="24"/>
      <c r="K410" s="24"/>
      <c r="L410" s="24"/>
      <c r="M410" s="24"/>
      <c r="N410" s="24"/>
      <c r="O410" s="24"/>
      <c r="P410" s="24"/>
      <c r="Q410" s="24">
        <v>4.57</v>
      </c>
      <c r="R410" s="24"/>
      <c r="S410" s="24"/>
      <c r="T410" s="24"/>
      <c r="U410" s="24"/>
      <c r="V410" s="24"/>
      <c r="W410" s="24"/>
      <c r="X410" s="24"/>
      <c r="Y410" s="24"/>
      <c r="Z410" s="24"/>
      <c r="AA410" s="24"/>
      <c r="AB410" s="24"/>
      <c r="AC410" s="24"/>
      <c r="AD410" s="24"/>
      <c r="AE410" s="24"/>
      <c r="AF410" s="24"/>
      <c r="AG410" s="24"/>
      <c r="AH410" s="24"/>
    </row>
    <row r="411" spans="2:34" x14ac:dyDescent="0.2">
      <c r="B411" s="148" t="s">
        <v>31</v>
      </c>
      <c r="C411" s="7" t="s">
        <v>123</v>
      </c>
      <c r="D411" s="24"/>
      <c r="E411" s="24"/>
      <c r="F411" s="24"/>
      <c r="G411" s="24"/>
      <c r="H411" s="24"/>
      <c r="I411" s="24"/>
      <c r="J411" s="24"/>
      <c r="K411" s="24"/>
      <c r="L411" s="24"/>
      <c r="M411" s="24"/>
      <c r="N411" s="24"/>
      <c r="O411" s="24"/>
      <c r="P411" s="24"/>
      <c r="Q411" s="24">
        <v>0.79</v>
      </c>
      <c r="R411" s="24"/>
      <c r="S411" s="24"/>
      <c r="T411" s="24"/>
      <c r="U411" s="24"/>
      <c r="V411" s="24"/>
      <c r="W411" s="24"/>
      <c r="X411" s="24"/>
      <c r="Y411" s="24"/>
      <c r="Z411" s="24"/>
      <c r="AA411" s="24"/>
      <c r="AB411" s="24"/>
      <c r="AC411" s="24"/>
      <c r="AD411" s="24"/>
      <c r="AE411" s="24"/>
      <c r="AF411" s="24"/>
      <c r="AG411" s="24"/>
      <c r="AH411" s="24"/>
    </row>
    <row r="412" spans="2:34" x14ac:dyDescent="0.2">
      <c r="B412" s="148" t="s">
        <v>223</v>
      </c>
      <c r="C412" s="7" t="s">
        <v>123</v>
      </c>
      <c r="D412" s="24"/>
      <c r="E412" s="24"/>
      <c r="F412" s="24"/>
      <c r="G412" s="24"/>
      <c r="H412" s="24"/>
      <c r="I412" s="24"/>
      <c r="J412" s="24"/>
      <c r="K412" s="24"/>
      <c r="L412" s="24"/>
      <c r="M412" s="24"/>
      <c r="N412" s="24"/>
      <c r="O412" s="24"/>
      <c r="P412" s="24"/>
      <c r="Q412" s="24">
        <v>5.85</v>
      </c>
      <c r="R412" s="24"/>
      <c r="S412" s="24"/>
      <c r="T412" s="24"/>
      <c r="U412" s="24"/>
      <c r="V412" s="24"/>
      <c r="W412" s="24"/>
      <c r="X412" s="24"/>
      <c r="Y412" s="24"/>
      <c r="Z412" s="24"/>
      <c r="AA412" s="24"/>
      <c r="AB412" s="24"/>
      <c r="AC412" s="24"/>
      <c r="AD412" s="24"/>
      <c r="AE412" s="24"/>
      <c r="AF412" s="24"/>
      <c r="AG412" s="24"/>
      <c r="AH412" s="24"/>
    </row>
    <row r="413" spans="2:34" s="66" customFormat="1" x14ac:dyDescent="0.2">
      <c r="B413" s="88" t="s">
        <v>227</v>
      </c>
      <c r="C413" s="124" t="s">
        <v>123</v>
      </c>
      <c r="D413" s="87"/>
      <c r="E413" s="87"/>
      <c r="F413" s="87"/>
      <c r="G413" s="87"/>
      <c r="H413" s="87"/>
      <c r="I413" s="87"/>
      <c r="J413" s="87"/>
      <c r="K413" s="87"/>
      <c r="L413" s="87"/>
      <c r="M413" s="87"/>
      <c r="N413" s="87"/>
      <c r="O413" s="87"/>
      <c r="P413" s="87"/>
      <c r="Q413" s="87">
        <v>11.21</v>
      </c>
      <c r="R413" s="87"/>
      <c r="S413" s="87"/>
      <c r="T413" s="87"/>
      <c r="U413" s="87"/>
      <c r="V413" s="87"/>
      <c r="W413" s="87"/>
      <c r="X413" s="87"/>
      <c r="Y413" s="87"/>
      <c r="Z413" s="87"/>
      <c r="AA413" s="87"/>
      <c r="AB413" s="87"/>
      <c r="AC413" s="87"/>
      <c r="AD413" s="87"/>
      <c r="AE413" s="87"/>
      <c r="AF413" s="87"/>
      <c r="AG413" s="87"/>
      <c r="AH413" s="87"/>
    </row>
    <row r="414" spans="2:34" x14ac:dyDescent="0.2">
      <c r="B414" s="148" t="s">
        <v>363</v>
      </c>
      <c r="C414" s="7" t="s">
        <v>123</v>
      </c>
      <c r="D414" s="24"/>
      <c r="E414" s="24"/>
      <c r="F414" s="24"/>
      <c r="G414" s="24"/>
      <c r="H414" s="24"/>
      <c r="I414" s="24"/>
      <c r="J414" s="24"/>
      <c r="K414" s="24"/>
      <c r="L414" s="24"/>
      <c r="M414" s="24"/>
      <c r="N414" s="24"/>
      <c r="O414" s="24"/>
      <c r="P414" s="24"/>
      <c r="Q414" s="24" t="s">
        <v>380</v>
      </c>
      <c r="R414" s="24"/>
      <c r="S414" s="24"/>
      <c r="T414" s="24"/>
      <c r="U414" s="24"/>
      <c r="V414" s="24"/>
      <c r="W414" s="24"/>
      <c r="X414" s="24"/>
      <c r="Y414" s="24"/>
      <c r="Z414" s="24"/>
      <c r="AA414" s="24"/>
      <c r="AB414" s="24"/>
      <c r="AC414" s="24"/>
      <c r="AD414" s="24"/>
      <c r="AE414" s="24"/>
      <c r="AF414" s="24"/>
      <c r="AG414" s="24"/>
      <c r="AH414" s="24"/>
    </row>
    <row r="415" spans="2:34" x14ac:dyDescent="0.2">
      <c r="B415" s="148" t="s">
        <v>31</v>
      </c>
      <c r="C415" s="124" t="s">
        <v>123</v>
      </c>
      <c r="D415" s="87"/>
      <c r="E415" s="87"/>
      <c r="F415" s="87"/>
      <c r="G415" s="87"/>
      <c r="H415" s="87"/>
      <c r="I415" s="87"/>
      <c r="J415" s="87"/>
      <c r="K415" s="87"/>
      <c r="L415" s="87"/>
      <c r="M415" s="87"/>
      <c r="N415" s="87"/>
      <c r="O415" s="87"/>
      <c r="P415" s="87"/>
      <c r="Q415" s="87">
        <v>519.99</v>
      </c>
      <c r="R415" s="87"/>
      <c r="S415" s="87"/>
      <c r="T415" s="87"/>
      <c r="U415" s="87"/>
      <c r="V415" s="87"/>
      <c r="W415" s="87"/>
      <c r="X415" s="87"/>
      <c r="Y415" s="87"/>
      <c r="Z415" s="87"/>
      <c r="AA415" s="87"/>
      <c r="AB415" s="87"/>
      <c r="AC415" s="87"/>
      <c r="AD415" s="87"/>
      <c r="AE415" s="87"/>
      <c r="AF415" s="87"/>
      <c r="AG415" s="87"/>
      <c r="AH415" s="87"/>
    </row>
    <row r="416" spans="2:34" x14ac:dyDescent="0.2">
      <c r="B416" s="148" t="s">
        <v>223</v>
      </c>
      <c r="C416" s="124" t="s">
        <v>123</v>
      </c>
      <c r="D416" s="87"/>
      <c r="E416" s="87"/>
      <c r="F416" s="87"/>
      <c r="G416" s="87"/>
      <c r="H416" s="87"/>
      <c r="I416" s="87"/>
      <c r="J416" s="87"/>
      <c r="K416" s="87"/>
      <c r="L416" s="87"/>
      <c r="M416" s="87"/>
      <c r="N416" s="87"/>
      <c r="O416" s="87"/>
      <c r="P416" s="87"/>
      <c r="Q416" s="87">
        <v>1740.83</v>
      </c>
      <c r="R416" s="87"/>
      <c r="S416" s="87"/>
      <c r="T416" s="87"/>
      <c r="U416" s="87"/>
      <c r="V416" s="87"/>
      <c r="W416" s="87"/>
      <c r="X416" s="87"/>
      <c r="Y416" s="87"/>
      <c r="Z416" s="87"/>
      <c r="AA416" s="87"/>
      <c r="AB416" s="87"/>
      <c r="AC416" s="87"/>
      <c r="AD416" s="87"/>
      <c r="AE416" s="87"/>
      <c r="AF416" s="87"/>
      <c r="AG416" s="87"/>
      <c r="AH416" s="87"/>
    </row>
    <row r="417" spans="2:34" s="66" customFormat="1" x14ac:dyDescent="0.2">
      <c r="B417" s="88" t="s">
        <v>364</v>
      </c>
      <c r="C417" s="124" t="s">
        <v>123</v>
      </c>
      <c r="D417" s="87"/>
      <c r="E417" s="87"/>
      <c r="F417" s="87"/>
      <c r="G417" s="87"/>
      <c r="H417" s="87"/>
      <c r="I417" s="87"/>
      <c r="J417" s="87"/>
      <c r="K417" s="87"/>
      <c r="L417" s="87"/>
      <c r="M417" s="87"/>
      <c r="N417" s="87"/>
      <c r="O417" s="87"/>
      <c r="P417" s="87"/>
      <c r="Q417" s="87">
        <v>2260.8200000000002</v>
      </c>
      <c r="R417" s="87"/>
      <c r="S417" s="87"/>
      <c r="T417" s="87"/>
      <c r="U417" s="87"/>
      <c r="V417" s="87"/>
      <c r="W417" s="87"/>
      <c r="X417" s="87"/>
      <c r="Y417" s="87"/>
      <c r="Z417" s="87"/>
      <c r="AA417" s="87"/>
      <c r="AB417" s="87"/>
      <c r="AC417" s="87"/>
      <c r="AD417" s="87"/>
      <c r="AE417" s="87"/>
      <c r="AF417" s="87"/>
      <c r="AG417" s="87"/>
      <c r="AH417" s="87"/>
    </row>
    <row r="418" spans="2:34" s="67" customFormat="1" x14ac:dyDescent="0.2">
      <c r="B418" s="72" t="s">
        <v>365</v>
      </c>
      <c r="C418" s="79" t="s">
        <v>123</v>
      </c>
      <c r="D418" s="69"/>
      <c r="E418" s="69"/>
      <c r="F418" s="69"/>
      <c r="G418" s="69"/>
      <c r="H418" s="69"/>
      <c r="I418" s="69"/>
      <c r="J418" s="69"/>
      <c r="K418" s="69"/>
      <c r="L418" s="69"/>
      <c r="M418" s="69"/>
      <c r="N418" s="69"/>
      <c r="O418" s="69"/>
      <c r="P418" s="69"/>
      <c r="Q418" s="69">
        <v>2272.0300000000002</v>
      </c>
      <c r="R418" s="69"/>
      <c r="S418" s="69"/>
      <c r="T418" s="69"/>
      <c r="U418" s="69"/>
      <c r="V418" s="69"/>
      <c r="W418" s="69"/>
      <c r="X418" s="69"/>
      <c r="Y418" s="69"/>
      <c r="Z418" s="69"/>
      <c r="AA418" s="69"/>
      <c r="AB418" s="69"/>
      <c r="AC418" s="69"/>
      <c r="AD418" s="69"/>
      <c r="AE418" s="69"/>
      <c r="AF418" s="69"/>
      <c r="AG418" s="69"/>
      <c r="AH418" s="69"/>
    </row>
    <row r="419" spans="2:34" s="66" customFormat="1" x14ac:dyDescent="0.2">
      <c r="B419" s="86"/>
      <c r="C419" s="124"/>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row>
    <row r="420" spans="2:34" s="66" customFormat="1" x14ac:dyDescent="0.2">
      <c r="B420" s="86"/>
      <c r="C420" s="124"/>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row>
    <row r="421" spans="2:34" s="66" customFormat="1" x14ac:dyDescent="0.2">
      <c r="B421" s="86"/>
      <c r="C421" s="124"/>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row>
    <row r="422" spans="2:34" s="66" customFormat="1" x14ac:dyDescent="0.2">
      <c r="B422" s="86"/>
      <c r="C422" s="124"/>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row>
    <row r="423" spans="2:34" s="66" customFormat="1" x14ac:dyDescent="0.2">
      <c r="B423" s="86"/>
      <c r="C423" s="124"/>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row>
    <row r="424" spans="2:34" s="66" customFormat="1" x14ac:dyDescent="0.2">
      <c r="B424" s="86"/>
      <c r="C424" s="124"/>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row>
    <row r="425" spans="2:34" x14ac:dyDescent="0.2">
      <c r="B425" s="21" t="s">
        <v>369</v>
      </c>
      <c r="E425" s="21"/>
    </row>
    <row r="426" spans="2:34" x14ac:dyDescent="0.2">
      <c r="B426" s="148" t="s">
        <v>361</v>
      </c>
      <c r="C426" s="7" t="s">
        <v>123</v>
      </c>
      <c r="D426" s="24"/>
      <c r="E426" s="24"/>
      <c r="F426" s="24"/>
      <c r="G426" s="24"/>
      <c r="H426" s="24"/>
      <c r="I426" s="24"/>
      <c r="J426" s="24"/>
      <c r="K426" s="24"/>
      <c r="L426" s="24"/>
      <c r="M426" s="24"/>
      <c r="N426" s="24"/>
      <c r="O426" s="24"/>
      <c r="P426" s="24"/>
      <c r="Q426" s="24">
        <v>758.64</v>
      </c>
      <c r="R426" s="24"/>
      <c r="S426" s="24"/>
      <c r="T426" s="24"/>
      <c r="U426" s="24"/>
      <c r="V426" s="24"/>
      <c r="W426" s="24"/>
      <c r="X426" s="24"/>
      <c r="Y426" s="24"/>
      <c r="Z426" s="24"/>
      <c r="AA426" s="24"/>
      <c r="AB426" s="24"/>
      <c r="AC426" s="24"/>
      <c r="AD426" s="24"/>
      <c r="AE426" s="24"/>
      <c r="AF426" s="24"/>
      <c r="AG426" s="24"/>
      <c r="AH426" s="24"/>
    </row>
    <row r="427" spans="2:34" x14ac:dyDescent="0.2">
      <c r="B427" s="148" t="s">
        <v>28</v>
      </c>
      <c r="C427" s="7" t="s">
        <v>123</v>
      </c>
      <c r="D427" s="24"/>
      <c r="E427" s="24"/>
      <c r="F427" s="24"/>
      <c r="G427" s="24"/>
      <c r="H427" s="24"/>
      <c r="I427" s="24"/>
      <c r="J427" s="24"/>
      <c r="K427" s="24"/>
      <c r="L427" s="24"/>
      <c r="M427" s="24"/>
      <c r="N427" s="24"/>
      <c r="O427" s="24"/>
      <c r="P427" s="24"/>
      <c r="Q427" s="24">
        <v>4870.21</v>
      </c>
      <c r="R427" s="24"/>
      <c r="S427" s="24"/>
      <c r="T427" s="24"/>
      <c r="U427" s="24"/>
      <c r="V427" s="24"/>
      <c r="W427" s="24"/>
      <c r="X427" s="24"/>
      <c r="Y427" s="24"/>
      <c r="Z427" s="24"/>
      <c r="AA427" s="24"/>
      <c r="AB427" s="24"/>
      <c r="AC427" s="24"/>
      <c r="AD427" s="24"/>
      <c r="AE427" s="24"/>
      <c r="AF427" s="24"/>
      <c r="AG427" s="24"/>
      <c r="AH427" s="24"/>
    </row>
    <row r="428" spans="2:34" x14ac:dyDescent="0.2">
      <c r="B428" s="148" t="s">
        <v>31</v>
      </c>
      <c r="C428" s="7" t="s">
        <v>123</v>
      </c>
      <c r="D428" s="24"/>
      <c r="E428" s="24"/>
      <c r="F428" s="24"/>
      <c r="G428" s="24"/>
      <c r="H428" s="24"/>
      <c r="I428" s="24"/>
      <c r="J428" s="24"/>
      <c r="K428" s="24"/>
      <c r="L428" s="24"/>
      <c r="M428" s="24"/>
      <c r="N428" s="24"/>
      <c r="O428" s="24"/>
      <c r="P428" s="24"/>
      <c r="Q428" s="24">
        <v>553.32000000000005</v>
      </c>
      <c r="R428" s="24"/>
      <c r="S428" s="24"/>
      <c r="T428" s="24"/>
      <c r="U428" s="24"/>
      <c r="V428" s="24"/>
      <c r="W428" s="24"/>
      <c r="X428" s="24"/>
      <c r="Y428" s="24"/>
      <c r="Z428" s="24"/>
      <c r="AA428" s="24"/>
      <c r="AB428" s="24"/>
      <c r="AC428" s="24"/>
      <c r="AD428" s="24"/>
      <c r="AE428" s="24"/>
      <c r="AF428" s="24"/>
      <c r="AG428" s="24"/>
      <c r="AH428" s="24"/>
    </row>
    <row r="429" spans="2:34" x14ac:dyDescent="0.2">
      <c r="B429" s="148" t="s">
        <v>376</v>
      </c>
      <c r="C429" s="7" t="s">
        <v>123</v>
      </c>
      <c r="D429" s="24"/>
      <c r="E429" s="24"/>
      <c r="F429" s="24"/>
      <c r="G429" s="24"/>
      <c r="H429" s="24"/>
      <c r="I429" s="24"/>
      <c r="J429" s="24"/>
      <c r="K429" s="24"/>
      <c r="L429" s="24"/>
      <c r="M429" s="24"/>
      <c r="N429" s="24"/>
      <c r="O429" s="24"/>
      <c r="P429" s="24"/>
      <c r="Q429" s="24">
        <v>1403.91</v>
      </c>
      <c r="R429" s="24"/>
      <c r="S429" s="24"/>
      <c r="T429" s="24"/>
      <c r="U429" s="24"/>
      <c r="V429" s="24"/>
      <c r="W429" s="24"/>
      <c r="X429" s="24"/>
      <c r="Y429" s="24"/>
      <c r="Z429" s="24"/>
      <c r="AA429" s="24"/>
      <c r="AB429" s="24"/>
      <c r="AC429" s="24"/>
      <c r="AD429" s="24"/>
      <c r="AE429" s="24"/>
      <c r="AF429" s="24"/>
      <c r="AG429" s="24"/>
      <c r="AH429" s="24"/>
    </row>
    <row r="430" spans="2:34" x14ac:dyDescent="0.2">
      <c r="B430" s="149" t="s">
        <v>362</v>
      </c>
      <c r="C430" s="124" t="s">
        <v>123</v>
      </c>
      <c r="D430" s="87"/>
      <c r="E430" s="87"/>
      <c r="F430" s="87"/>
      <c r="G430" s="87"/>
      <c r="H430" s="87"/>
      <c r="I430" s="87"/>
      <c r="J430" s="87"/>
      <c r="K430" s="87"/>
      <c r="L430" s="87"/>
      <c r="M430" s="87"/>
      <c r="N430" s="87"/>
      <c r="O430" s="87"/>
      <c r="P430" s="87"/>
      <c r="Q430" s="87">
        <v>6827.42</v>
      </c>
      <c r="R430" s="87"/>
      <c r="S430" s="87"/>
      <c r="T430" s="87"/>
      <c r="U430" s="87"/>
      <c r="V430" s="87"/>
      <c r="W430" s="87"/>
      <c r="X430" s="87"/>
      <c r="Y430" s="87"/>
      <c r="Z430" s="87"/>
      <c r="AA430" s="87"/>
      <c r="AB430" s="87"/>
      <c r="AC430" s="87"/>
      <c r="AD430" s="87"/>
      <c r="AE430" s="87"/>
      <c r="AF430" s="87"/>
      <c r="AG430" s="87"/>
      <c r="AH430" s="87"/>
    </row>
    <row r="431" spans="2:34" x14ac:dyDescent="0.2">
      <c r="B431" s="149" t="s">
        <v>225</v>
      </c>
      <c r="C431" s="124" t="s">
        <v>123</v>
      </c>
      <c r="D431" s="87"/>
      <c r="E431" s="87"/>
      <c r="F431" s="87"/>
      <c r="G431" s="87"/>
      <c r="H431" s="87"/>
      <c r="I431" s="87"/>
      <c r="J431" s="87"/>
      <c r="K431" s="87"/>
      <c r="L431" s="87"/>
      <c r="M431" s="87"/>
      <c r="N431" s="87"/>
      <c r="O431" s="87"/>
      <c r="P431" s="87"/>
      <c r="Q431" s="87">
        <v>7586.05</v>
      </c>
      <c r="R431" s="87"/>
      <c r="S431" s="87"/>
      <c r="T431" s="87"/>
      <c r="U431" s="87"/>
      <c r="V431" s="87"/>
      <c r="W431" s="87"/>
      <c r="X431" s="87"/>
      <c r="Y431" s="87"/>
      <c r="Z431" s="87"/>
      <c r="AA431" s="87"/>
      <c r="AB431" s="87"/>
      <c r="AC431" s="87"/>
      <c r="AD431" s="87"/>
      <c r="AE431" s="87"/>
      <c r="AF431" s="87"/>
      <c r="AG431" s="87"/>
      <c r="AH431" s="87"/>
    </row>
    <row r="432" spans="2:34" x14ac:dyDescent="0.2">
      <c r="B432" s="85" t="s">
        <v>296</v>
      </c>
      <c r="C432" s="7" t="s">
        <v>123</v>
      </c>
      <c r="D432" s="24"/>
      <c r="E432" s="24"/>
      <c r="F432" s="24"/>
      <c r="G432" s="24"/>
      <c r="H432" s="24"/>
      <c r="I432" s="24"/>
      <c r="J432" s="24"/>
      <c r="K432" s="24"/>
      <c r="L432" s="24"/>
      <c r="M432" s="24"/>
      <c r="N432" s="24"/>
      <c r="O432" s="24"/>
      <c r="P432" s="24"/>
      <c r="Q432" s="24">
        <v>2227.38</v>
      </c>
      <c r="R432" s="24"/>
      <c r="S432" s="24"/>
      <c r="T432" s="24"/>
      <c r="U432" s="24"/>
      <c r="V432" s="24"/>
      <c r="W432" s="24"/>
      <c r="X432" s="24"/>
      <c r="Y432" s="24"/>
      <c r="Z432" s="24"/>
      <c r="AA432" s="24"/>
      <c r="AB432" s="24"/>
      <c r="AC432" s="24"/>
      <c r="AD432" s="24"/>
      <c r="AE432" s="24"/>
      <c r="AF432" s="24"/>
      <c r="AG432" s="24"/>
      <c r="AH432" s="24"/>
    </row>
    <row r="433" spans="2:34" s="66" customFormat="1" x14ac:dyDescent="0.2">
      <c r="B433" s="88" t="s">
        <v>227</v>
      </c>
      <c r="C433" s="124" t="s">
        <v>123</v>
      </c>
      <c r="D433" s="87"/>
      <c r="E433" s="87"/>
      <c r="F433" s="87"/>
      <c r="G433" s="87"/>
      <c r="H433" s="87"/>
      <c r="I433" s="87"/>
      <c r="J433" s="87"/>
      <c r="K433" s="87"/>
      <c r="L433" s="87"/>
      <c r="M433" s="87"/>
      <c r="N433" s="87"/>
      <c r="O433" s="87"/>
      <c r="P433" s="87"/>
      <c r="Q433" s="87">
        <v>9813.44</v>
      </c>
      <c r="R433" s="87"/>
      <c r="S433" s="87"/>
      <c r="T433" s="87"/>
      <c r="U433" s="87"/>
      <c r="V433" s="87"/>
      <c r="W433" s="87"/>
      <c r="X433" s="87"/>
      <c r="Y433" s="87"/>
      <c r="Z433" s="87"/>
      <c r="AA433" s="87"/>
      <c r="AB433" s="87"/>
      <c r="AC433" s="87"/>
      <c r="AD433" s="87"/>
      <c r="AE433" s="87"/>
      <c r="AF433" s="87"/>
      <c r="AG433" s="87"/>
      <c r="AH433" s="87"/>
    </row>
    <row r="434" spans="2:34" x14ac:dyDescent="0.2">
      <c r="B434" s="148" t="s">
        <v>363</v>
      </c>
      <c r="C434" s="7" t="s">
        <v>123</v>
      </c>
      <c r="D434" s="24"/>
      <c r="E434" s="24"/>
      <c r="F434" s="24"/>
      <c r="G434" s="24"/>
      <c r="H434" s="24"/>
      <c r="I434" s="24"/>
      <c r="J434" s="24"/>
      <c r="K434" s="24"/>
      <c r="L434" s="24"/>
      <c r="M434" s="24"/>
      <c r="N434" s="24"/>
      <c r="O434" s="24"/>
      <c r="P434" s="24"/>
      <c r="Q434" s="24">
        <v>386.77</v>
      </c>
      <c r="R434" s="24"/>
      <c r="S434" s="24"/>
      <c r="T434" s="24"/>
      <c r="U434" s="24"/>
      <c r="V434" s="24"/>
      <c r="W434" s="24"/>
      <c r="X434" s="24"/>
      <c r="Y434" s="24"/>
      <c r="Z434" s="24"/>
      <c r="AA434" s="24"/>
      <c r="AB434" s="24"/>
      <c r="AC434" s="24"/>
      <c r="AD434" s="24"/>
      <c r="AE434" s="24"/>
      <c r="AF434" s="24"/>
      <c r="AG434" s="24"/>
      <c r="AH434" s="24"/>
    </row>
    <row r="435" spans="2:34" x14ac:dyDescent="0.2">
      <c r="B435" s="148" t="s">
        <v>31</v>
      </c>
      <c r="C435" s="124" t="s">
        <v>123</v>
      </c>
      <c r="D435" s="87"/>
      <c r="E435" s="87"/>
      <c r="F435" s="87"/>
      <c r="G435" s="87"/>
      <c r="H435" s="87"/>
      <c r="I435" s="87"/>
      <c r="J435" s="87"/>
      <c r="K435" s="87"/>
      <c r="L435" s="87"/>
      <c r="M435" s="87"/>
      <c r="N435" s="87"/>
      <c r="O435" s="87"/>
      <c r="P435" s="87"/>
      <c r="Q435" s="87">
        <v>1211.0999999999999</v>
      </c>
      <c r="R435" s="87"/>
      <c r="S435" s="87"/>
      <c r="T435" s="87"/>
      <c r="U435" s="87"/>
      <c r="V435" s="87"/>
      <c r="W435" s="87"/>
      <c r="X435" s="87"/>
      <c r="Y435" s="87"/>
      <c r="Z435" s="87"/>
      <c r="AA435" s="87"/>
      <c r="AB435" s="87"/>
      <c r="AC435" s="87"/>
      <c r="AD435" s="87"/>
      <c r="AE435" s="87"/>
      <c r="AF435" s="87"/>
      <c r="AG435" s="87"/>
      <c r="AH435" s="87"/>
    </row>
    <row r="436" spans="2:34" x14ac:dyDescent="0.2">
      <c r="B436" s="148" t="s">
        <v>376</v>
      </c>
      <c r="C436" s="124" t="s">
        <v>123</v>
      </c>
      <c r="D436" s="87"/>
      <c r="E436" s="87"/>
      <c r="F436" s="87"/>
      <c r="G436" s="87"/>
      <c r="H436" s="87"/>
      <c r="I436" s="87"/>
      <c r="J436" s="87"/>
      <c r="K436" s="87"/>
      <c r="L436" s="87"/>
      <c r="M436" s="87"/>
      <c r="N436" s="87"/>
      <c r="O436" s="87"/>
      <c r="P436" s="87"/>
      <c r="Q436" s="87">
        <v>3050.35</v>
      </c>
      <c r="R436" s="87"/>
      <c r="S436" s="87"/>
      <c r="T436" s="87"/>
      <c r="U436" s="87"/>
      <c r="V436" s="87"/>
      <c r="W436" s="87"/>
      <c r="X436" s="87"/>
      <c r="Y436" s="87"/>
      <c r="Z436" s="87"/>
      <c r="AA436" s="87"/>
      <c r="AB436" s="87"/>
      <c r="AC436" s="87"/>
      <c r="AD436" s="87"/>
      <c r="AE436" s="87"/>
      <c r="AF436" s="87"/>
      <c r="AG436" s="87"/>
      <c r="AH436" s="87"/>
    </row>
    <row r="437" spans="2:34" x14ac:dyDescent="0.2">
      <c r="B437" s="148" t="s">
        <v>362</v>
      </c>
      <c r="C437" s="7" t="s">
        <v>123</v>
      </c>
      <c r="D437" s="24"/>
      <c r="E437" s="24"/>
      <c r="F437" s="24"/>
      <c r="G437" s="24"/>
      <c r="H437" s="24"/>
      <c r="I437" s="24"/>
      <c r="J437" s="24"/>
      <c r="K437" s="24"/>
      <c r="L437" s="24"/>
      <c r="M437" s="24"/>
      <c r="N437" s="24"/>
      <c r="O437" s="24"/>
      <c r="P437" s="24"/>
      <c r="Q437" s="24">
        <v>4261.45</v>
      </c>
      <c r="R437" s="24"/>
      <c r="S437" s="24"/>
      <c r="T437" s="24"/>
      <c r="U437" s="24"/>
      <c r="V437" s="24"/>
      <c r="W437" s="24"/>
      <c r="X437" s="24"/>
      <c r="Y437" s="24"/>
      <c r="Z437" s="24"/>
      <c r="AA437" s="24"/>
      <c r="AB437" s="24"/>
      <c r="AC437" s="24"/>
      <c r="AD437" s="24"/>
      <c r="AE437" s="24"/>
      <c r="AF437" s="24"/>
      <c r="AG437" s="24"/>
      <c r="AH437" s="24"/>
    </row>
    <row r="438" spans="2:34" s="66" customFormat="1" x14ac:dyDescent="0.2">
      <c r="B438" s="88" t="s">
        <v>364</v>
      </c>
      <c r="C438" s="124" t="s">
        <v>123</v>
      </c>
      <c r="D438" s="87"/>
      <c r="E438" s="87"/>
      <c r="F438" s="87"/>
      <c r="G438" s="87"/>
      <c r="H438" s="87"/>
      <c r="I438" s="87"/>
      <c r="J438" s="87"/>
      <c r="K438" s="87"/>
      <c r="L438" s="87"/>
      <c r="M438" s="87"/>
      <c r="N438" s="87"/>
      <c r="O438" s="87"/>
      <c r="P438" s="87"/>
      <c r="Q438" s="87">
        <v>4648.21</v>
      </c>
      <c r="R438" s="87"/>
      <c r="S438" s="87"/>
      <c r="T438" s="87"/>
      <c r="U438" s="87"/>
      <c r="V438" s="87"/>
      <c r="W438" s="87"/>
      <c r="X438" s="87"/>
      <c r="Y438" s="87"/>
      <c r="Z438" s="87"/>
      <c r="AA438" s="87"/>
      <c r="AB438" s="87"/>
      <c r="AC438" s="87"/>
      <c r="AD438" s="87"/>
      <c r="AE438" s="87"/>
      <c r="AF438" s="87"/>
      <c r="AG438" s="87"/>
      <c r="AH438" s="87"/>
    </row>
    <row r="439" spans="2:34" s="67" customFormat="1" x14ac:dyDescent="0.2">
      <c r="B439" s="72" t="s">
        <v>365</v>
      </c>
      <c r="C439" s="79" t="s">
        <v>123</v>
      </c>
      <c r="D439" s="69"/>
      <c r="E439" s="69"/>
      <c r="F439" s="69"/>
      <c r="G439" s="69"/>
      <c r="H439" s="69"/>
      <c r="I439" s="69"/>
      <c r="J439" s="69"/>
      <c r="K439" s="69"/>
      <c r="L439" s="69"/>
      <c r="M439" s="69"/>
      <c r="N439" s="69"/>
      <c r="O439" s="69"/>
      <c r="P439" s="69"/>
      <c r="Q439" s="69">
        <v>14461.65</v>
      </c>
      <c r="R439" s="69"/>
      <c r="S439" s="69"/>
      <c r="T439" s="69"/>
      <c r="U439" s="69"/>
      <c r="V439" s="69"/>
      <c r="W439" s="69"/>
      <c r="X439" s="69"/>
      <c r="Y439" s="69"/>
      <c r="Z439" s="69"/>
      <c r="AA439" s="69"/>
      <c r="AB439" s="69"/>
      <c r="AC439" s="69"/>
      <c r="AD439" s="69"/>
      <c r="AE439" s="69"/>
      <c r="AF439" s="69"/>
      <c r="AG439" s="69"/>
      <c r="AH439" s="69"/>
    </row>
    <row r="441" spans="2:34" x14ac:dyDescent="0.2">
      <c r="B441" s="21" t="s">
        <v>377</v>
      </c>
      <c r="E441" s="21"/>
    </row>
    <row r="442" spans="2:34" x14ac:dyDescent="0.2">
      <c r="B442" s="148" t="s">
        <v>361</v>
      </c>
      <c r="C442" s="7" t="s">
        <v>123</v>
      </c>
      <c r="D442" s="24"/>
      <c r="E442" s="24"/>
      <c r="F442" s="24"/>
      <c r="G442" s="24"/>
      <c r="H442" s="24"/>
      <c r="I442" s="24"/>
      <c r="J442" s="24"/>
      <c r="K442" s="24"/>
      <c r="L442" s="24"/>
      <c r="M442" s="24"/>
      <c r="N442" s="24"/>
      <c r="O442" s="24"/>
      <c r="P442" s="24"/>
      <c r="Q442" s="24">
        <v>96.47</v>
      </c>
      <c r="R442" s="24"/>
      <c r="S442" s="24"/>
      <c r="T442" s="24"/>
      <c r="U442" s="24"/>
      <c r="V442" s="24"/>
      <c r="W442" s="24"/>
      <c r="X442" s="24"/>
      <c r="Y442" s="24"/>
      <c r="Z442" s="24"/>
      <c r="AA442" s="24"/>
      <c r="AB442" s="24"/>
      <c r="AC442" s="24"/>
      <c r="AD442" s="24"/>
      <c r="AE442" s="24"/>
      <c r="AF442" s="24"/>
      <c r="AG442" s="24"/>
      <c r="AH442" s="24"/>
    </row>
    <row r="443" spans="2:34" x14ac:dyDescent="0.2">
      <c r="B443" s="148" t="s">
        <v>28</v>
      </c>
      <c r="C443" s="7" t="s">
        <v>123</v>
      </c>
      <c r="D443" s="24"/>
      <c r="E443" s="24"/>
      <c r="F443" s="24"/>
      <c r="G443" s="24"/>
      <c r="H443" s="24"/>
      <c r="I443" s="24"/>
      <c r="J443" s="24"/>
      <c r="K443" s="24"/>
      <c r="L443" s="24"/>
      <c r="M443" s="24"/>
      <c r="N443" s="24"/>
      <c r="O443" s="24"/>
      <c r="P443" s="24"/>
      <c r="Q443" s="24">
        <v>1054.01</v>
      </c>
      <c r="R443" s="24"/>
      <c r="S443" s="24"/>
      <c r="T443" s="24"/>
      <c r="U443" s="24"/>
      <c r="V443" s="24"/>
      <c r="W443" s="24"/>
      <c r="X443" s="24"/>
      <c r="Y443" s="24"/>
      <c r="Z443" s="24"/>
      <c r="AA443" s="24"/>
      <c r="AB443" s="24"/>
      <c r="AC443" s="24"/>
      <c r="AD443" s="24"/>
      <c r="AE443" s="24"/>
      <c r="AF443" s="24"/>
      <c r="AG443" s="24"/>
      <c r="AH443" s="24"/>
    </row>
    <row r="444" spans="2:34" x14ac:dyDescent="0.2">
      <c r="B444" s="148" t="s">
        <v>31</v>
      </c>
      <c r="C444" s="7" t="s">
        <v>123</v>
      </c>
      <c r="D444" s="24"/>
      <c r="E444" s="24"/>
      <c r="F444" s="24"/>
      <c r="G444" s="24"/>
      <c r="H444" s="24"/>
      <c r="I444" s="24"/>
      <c r="J444" s="24"/>
      <c r="K444" s="24"/>
      <c r="L444" s="24"/>
      <c r="M444" s="24"/>
      <c r="N444" s="24"/>
      <c r="O444" s="24"/>
      <c r="P444" s="24"/>
      <c r="Q444" s="24">
        <v>98.1</v>
      </c>
      <c r="R444" s="24"/>
      <c r="S444" s="24"/>
      <c r="T444" s="24"/>
      <c r="U444" s="24"/>
      <c r="V444" s="24"/>
      <c r="W444" s="24"/>
      <c r="X444" s="24"/>
      <c r="Y444" s="24"/>
      <c r="Z444" s="24"/>
      <c r="AA444" s="24"/>
      <c r="AB444" s="24"/>
      <c r="AC444" s="24"/>
      <c r="AD444" s="24"/>
      <c r="AE444" s="24"/>
      <c r="AF444" s="24"/>
      <c r="AG444" s="24"/>
      <c r="AH444" s="24"/>
    </row>
    <row r="445" spans="2:34" x14ac:dyDescent="0.2">
      <c r="B445" s="148" t="s">
        <v>376</v>
      </c>
      <c r="C445" s="7" t="s">
        <v>123</v>
      </c>
      <c r="D445" s="24"/>
      <c r="E445" s="24"/>
      <c r="F445" s="24"/>
      <c r="G445" s="24"/>
      <c r="H445" s="24"/>
      <c r="I445" s="24"/>
      <c r="J445" s="24"/>
      <c r="K445" s="24"/>
      <c r="L445" s="24"/>
      <c r="M445" s="24"/>
      <c r="N445" s="24"/>
      <c r="O445" s="24"/>
      <c r="P445" s="24"/>
      <c r="Q445" s="24">
        <v>367.01</v>
      </c>
      <c r="R445" s="24"/>
      <c r="S445" s="24"/>
      <c r="T445" s="24"/>
      <c r="U445" s="24"/>
      <c r="V445" s="24"/>
      <c r="W445" s="24"/>
      <c r="X445" s="24"/>
      <c r="Y445" s="24"/>
      <c r="Z445" s="24"/>
      <c r="AA445" s="24"/>
      <c r="AB445" s="24"/>
      <c r="AC445" s="24"/>
      <c r="AD445" s="24"/>
      <c r="AE445" s="24"/>
      <c r="AF445" s="24"/>
      <c r="AG445" s="24"/>
      <c r="AH445" s="24"/>
    </row>
    <row r="446" spans="2:34" x14ac:dyDescent="0.2">
      <c r="B446" s="149" t="s">
        <v>362</v>
      </c>
      <c r="C446" s="124" t="s">
        <v>123</v>
      </c>
      <c r="D446" s="87"/>
      <c r="E446" s="87"/>
      <c r="F446" s="87"/>
      <c r="G446" s="87"/>
      <c r="H446" s="87"/>
      <c r="I446" s="87"/>
      <c r="J446" s="87"/>
      <c r="K446" s="87"/>
      <c r="L446" s="87"/>
      <c r="M446" s="87"/>
      <c r="N446" s="87"/>
      <c r="O446" s="87"/>
      <c r="P446" s="87"/>
      <c r="Q446" s="87">
        <v>1519.13</v>
      </c>
      <c r="R446" s="87"/>
      <c r="S446" s="87"/>
      <c r="T446" s="87"/>
      <c r="U446" s="87"/>
      <c r="V446" s="87"/>
      <c r="W446" s="87"/>
      <c r="X446" s="87"/>
      <c r="Y446" s="87"/>
      <c r="Z446" s="87"/>
      <c r="AA446" s="87"/>
      <c r="AB446" s="87"/>
      <c r="AC446" s="87"/>
      <c r="AD446" s="87"/>
      <c r="AE446" s="87"/>
      <c r="AF446" s="87"/>
      <c r="AG446" s="87"/>
      <c r="AH446" s="87"/>
    </row>
    <row r="447" spans="2:34" x14ac:dyDescent="0.2">
      <c r="B447" s="149" t="s">
        <v>225</v>
      </c>
      <c r="C447" s="124" t="s">
        <v>123</v>
      </c>
      <c r="D447" s="87"/>
      <c r="E447" s="87"/>
      <c r="F447" s="87"/>
      <c r="G447" s="87"/>
      <c r="H447" s="87"/>
      <c r="I447" s="87"/>
      <c r="J447" s="87"/>
      <c r="K447" s="87"/>
      <c r="L447" s="87"/>
      <c r="M447" s="87"/>
      <c r="N447" s="87"/>
      <c r="O447" s="87"/>
      <c r="P447" s="87"/>
      <c r="Q447" s="87">
        <v>1615.6</v>
      </c>
      <c r="R447" s="87"/>
      <c r="S447" s="87"/>
      <c r="T447" s="87"/>
      <c r="U447" s="87"/>
      <c r="V447" s="87"/>
      <c r="W447" s="87"/>
      <c r="X447" s="87"/>
      <c r="Y447" s="87"/>
      <c r="Z447" s="87"/>
      <c r="AA447" s="87"/>
      <c r="AB447" s="87"/>
      <c r="AC447" s="87"/>
      <c r="AD447" s="87"/>
      <c r="AE447" s="87"/>
      <c r="AF447" s="87"/>
      <c r="AG447" s="87"/>
      <c r="AH447" s="87"/>
    </row>
    <row r="448" spans="2:34" x14ac:dyDescent="0.2">
      <c r="B448" s="85" t="s">
        <v>296</v>
      </c>
      <c r="C448" s="7" t="s">
        <v>123</v>
      </c>
      <c r="D448" s="24"/>
      <c r="E448" s="24"/>
      <c r="F448" s="24"/>
      <c r="G448" s="24"/>
      <c r="H448" s="24"/>
      <c r="I448" s="24"/>
      <c r="J448" s="24"/>
      <c r="K448" s="24"/>
      <c r="L448" s="24"/>
      <c r="M448" s="24"/>
      <c r="N448" s="24"/>
      <c r="O448" s="24"/>
      <c r="P448" s="24"/>
      <c r="Q448" s="24">
        <v>205.34</v>
      </c>
      <c r="R448" s="24"/>
      <c r="S448" s="24"/>
      <c r="T448" s="24"/>
      <c r="U448" s="24"/>
      <c r="V448" s="24"/>
      <c r="W448" s="24"/>
      <c r="X448" s="24"/>
      <c r="Y448" s="24"/>
      <c r="Z448" s="24"/>
      <c r="AA448" s="24"/>
      <c r="AB448" s="24"/>
      <c r="AC448" s="24"/>
      <c r="AD448" s="24"/>
      <c r="AE448" s="24"/>
      <c r="AF448" s="24"/>
      <c r="AG448" s="24"/>
      <c r="AH448" s="24"/>
    </row>
    <row r="449" spans="2:34" s="66" customFormat="1" x14ac:dyDescent="0.2">
      <c r="B449" s="88" t="s">
        <v>227</v>
      </c>
      <c r="C449" s="124" t="s">
        <v>123</v>
      </c>
      <c r="D449" s="87"/>
      <c r="E449" s="87"/>
      <c r="F449" s="87"/>
      <c r="G449" s="87"/>
      <c r="H449" s="87"/>
      <c r="I449" s="87"/>
      <c r="J449" s="87"/>
      <c r="K449" s="87"/>
      <c r="L449" s="87"/>
      <c r="M449" s="87"/>
      <c r="N449" s="87"/>
      <c r="O449" s="87"/>
      <c r="P449" s="87"/>
      <c r="Q449" s="87">
        <v>1820.94</v>
      </c>
      <c r="R449" s="87"/>
      <c r="S449" s="87"/>
      <c r="T449" s="87"/>
      <c r="U449" s="87"/>
      <c r="V449" s="87"/>
      <c r="W449" s="87"/>
      <c r="X449" s="87"/>
      <c r="Y449" s="87"/>
      <c r="Z449" s="87"/>
      <c r="AA449" s="87"/>
      <c r="AB449" s="87"/>
      <c r="AC449" s="87"/>
      <c r="AD449" s="87"/>
      <c r="AE449" s="87"/>
      <c r="AF449" s="87"/>
      <c r="AG449" s="87"/>
      <c r="AH449" s="87"/>
    </row>
    <row r="450" spans="2:34" x14ac:dyDescent="0.2">
      <c r="B450" s="148" t="s">
        <v>363</v>
      </c>
      <c r="C450" s="7" t="s">
        <v>123</v>
      </c>
      <c r="D450" s="24"/>
      <c r="E450" s="24"/>
      <c r="F450" s="24"/>
      <c r="G450" s="24"/>
      <c r="H450" s="24"/>
      <c r="I450" s="24"/>
      <c r="J450" s="24"/>
      <c r="K450" s="24"/>
      <c r="L450" s="24"/>
      <c r="M450" s="24"/>
      <c r="N450" s="24"/>
      <c r="O450" s="24"/>
      <c r="P450" s="24"/>
      <c r="Q450" s="24">
        <v>4.9800000000000004</v>
      </c>
      <c r="R450" s="24"/>
      <c r="S450" s="24"/>
      <c r="T450" s="24"/>
      <c r="U450" s="24"/>
      <c r="V450" s="24"/>
      <c r="W450" s="24"/>
      <c r="X450" s="24"/>
      <c r="Y450" s="24"/>
      <c r="Z450" s="24"/>
      <c r="AA450" s="24"/>
      <c r="AB450" s="24"/>
      <c r="AC450" s="24"/>
      <c r="AD450" s="24"/>
      <c r="AE450" s="24"/>
      <c r="AF450" s="24"/>
      <c r="AG450" s="24"/>
      <c r="AH450" s="24"/>
    </row>
    <row r="451" spans="2:34" x14ac:dyDescent="0.2">
      <c r="B451" s="148" t="s">
        <v>31</v>
      </c>
      <c r="C451" s="124" t="s">
        <v>123</v>
      </c>
      <c r="D451" s="87"/>
      <c r="E451" s="87"/>
      <c r="F451" s="87"/>
      <c r="G451" s="87"/>
      <c r="H451" s="87"/>
      <c r="I451" s="87"/>
      <c r="J451" s="87"/>
      <c r="K451" s="87"/>
      <c r="L451" s="87"/>
      <c r="M451" s="87"/>
      <c r="N451" s="87"/>
      <c r="O451" s="87"/>
      <c r="P451" s="87"/>
      <c r="Q451" s="87">
        <v>115.39</v>
      </c>
      <c r="R451" s="87"/>
      <c r="S451" s="87"/>
      <c r="T451" s="87"/>
      <c r="U451" s="87"/>
      <c r="V451" s="87"/>
      <c r="W451" s="87"/>
      <c r="X451" s="87"/>
      <c r="Y451" s="87"/>
      <c r="Z451" s="87"/>
      <c r="AA451" s="87"/>
      <c r="AB451" s="87"/>
      <c r="AC451" s="87"/>
      <c r="AD451" s="87"/>
      <c r="AE451" s="87"/>
      <c r="AF451" s="87"/>
      <c r="AG451" s="87"/>
      <c r="AH451" s="87"/>
    </row>
    <row r="452" spans="2:34" x14ac:dyDescent="0.2">
      <c r="B452" s="148" t="s">
        <v>376</v>
      </c>
      <c r="C452" s="124" t="s">
        <v>123</v>
      </c>
      <c r="D452" s="87"/>
      <c r="E452" s="87"/>
      <c r="F452" s="87"/>
      <c r="G452" s="87"/>
      <c r="H452" s="87"/>
      <c r="I452" s="87"/>
      <c r="J452" s="87"/>
      <c r="K452" s="87"/>
      <c r="L452" s="87"/>
      <c r="M452" s="87"/>
      <c r="N452" s="87"/>
      <c r="O452" s="87"/>
      <c r="P452" s="87"/>
      <c r="Q452" s="87">
        <v>374.38</v>
      </c>
      <c r="R452" s="87"/>
      <c r="S452" s="87"/>
      <c r="T452" s="87"/>
      <c r="U452" s="87"/>
      <c r="V452" s="87"/>
      <c r="W452" s="87"/>
      <c r="X452" s="87"/>
      <c r="Y452" s="87"/>
      <c r="Z452" s="87"/>
      <c r="AA452" s="87"/>
      <c r="AB452" s="87"/>
      <c r="AC452" s="87"/>
      <c r="AD452" s="87"/>
      <c r="AE452" s="87"/>
      <c r="AF452" s="87"/>
      <c r="AG452" s="87"/>
      <c r="AH452" s="87"/>
    </row>
    <row r="453" spans="2:34" x14ac:dyDescent="0.2">
      <c r="B453" s="148" t="s">
        <v>362</v>
      </c>
      <c r="C453" s="7" t="s">
        <v>123</v>
      </c>
      <c r="D453" s="24"/>
      <c r="E453" s="24"/>
      <c r="F453" s="24"/>
      <c r="G453" s="24"/>
      <c r="H453" s="24"/>
      <c r="I453" s="24"/>
      <c r="J453" s="24"/>
      <c r="K453" s="24"/>
      <c r="L453" s="24"/>
      <c r="M453" s="24"/>
      <c r="N453" s="24"/>
      <c r="O453" s="24"/>
      <c r="P453" s="24"/>
      <c r="Q453" s="24">
        <v>489.77</v>
      </c>
      <c r="R453" s="24"/>
      <c r="S453" s="24"/>
      <c r="T453" s="24"/>
      <c r="U453" s="24"/>
      <c r="V453" s="24"/>
      <c r="W453" s="24"/>
      <c r="X453" s="24"/>
      <c r="Y453" s="24"/>
      <c r="Z453" s="24"/>
      <c r="AA453" s="24"/>
      <c r="AB453" s="24"/>
      <c r="AC453" s="24"/>
      <c r="AD453" s="24"/>
      <c r="AE453" s="24"/>
      <c r="AF453" s="24"/>
      <c r="AG453" s="24"/>
      <c r="AH453" s="24"/>
    </row>
    <row r="454" spans="2:34" s="66" customFormat="1" x14ac:dyDescent="0.2">
      <c r="B454" s="88" t="s">
        <v>364</v>
      </c>
      <c r="C454" s="124" t="s">
        <v>123</v>
      </c>
      <c r="D454" s="87"/>
      <c r="E454" s="87"/>
      <c r="F454" s="87"/>
      <c r="G454" s="87"/>
      <c r="H454" s="87"/>
      <c r="I454" s="87"/>
      <c r="J454" s="87"/>
      <c r="K454" s="87"/>
      <c r="L454" s="87"/>
      <c r="M454" s="87"/>
      <c r="N454" s="87"/>
      <c r="O454" s="87"/>
      <c r="P454" s="87"/>
      <c r="Q454" s="87">
        <v>494.76</v>
      </c>
      <c r="R454" s="87"/>
      <c r="S454" s="87"/>
      <c r="T454" s="87"/>
      <c r="U454" s="87"/>
      <c r="V454" s="87"/>
      <c r="W454" s="87"/>
      <c r="X454" s="87"/>
      <c r="Y454" s="87"/>
      <c r="Z454" s="87"/>
      <c r="AA454" s="87"/>
      <c r="AB454" s="87"/>
      <c r="AC454" s="87"/>
      <c r="AD454" s="87"/>
      <c r="AE454" s="87"/>
      <c r="AF454" s="87"/>
      <c r="AG454" s="87"/>
      <c r="AH454" s="87"/>
    </row>
    <row r="455" spans="2:34" s="67" customFormat="1" x14ac:dyDescent="0.2">
      <c r="B455" s="72" t="s">
        <v>365</v>
      </c>
      <c r="C455" s="79" t="s">
        <v>123</v>
      </c>
      <c r="D455" s="69"/>
      <c r="E455" s="69"/>
      <c r="F455" s="69"/>
      <c r="G455" s="69"/>
      <c r="H455" s="69"/>
      <c r="I455" s="69"/>
      <c r="J455" s="69"/>
      <c r="K455" s="69"/>
      <c r="L455" s="69"/>
      <c r="M455" s="69"/>
      <c r="N455" s="69"/>
      <c r="O455" s="69"/>
      <c r="P455" s="69"/>
      <c r="Q455" s="69">
        <v>2315.6999999999998</v>
      </c>
      <c r="R455" s="69"/>
      <c r="S455" s="69"/>
      <c r="T455" s="69"/>
      <c r="U455" s="69"/>
      <c r="V455" s="69"/>
      <c r="W455" s="69"/>
      <c r="X455" s="69"/>
      <c r="Y455" s="69"/>
      <c r="Z455" s="69"/>
      <c r="AA455" s="69"/>
      <c r="AB455" s="69"/>
      <c r="AC455" s="69"/>
      <c r="AD455" s="69"/>
      <c r="AE455" s="69"/>
      <c r="AF455" s="69"/>
      <c r="AG455" s="69"/>
      <c r="AH455" s="69"/>
    </row>
    <row r="456" spans="2:34" s="66" customFormat="1" x14ac:dyDescent="0.2">
      <c r="B456" s="86"/>
      <c r="C456" s="124"/>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row>
    <row r="457" spans="2:34" x14ac:dyDescent="0.2">
      <c r="B457" s="21" t="s">
        <v>378</v>
      </c>
      <c r="E457" s="21"/>
    </row>
    <row r="458" spans="2:34" x14ac:dyDescent="0.2">
      <c r="B458" s="148" t="s">
        <v>361</v>
      </c>
      <c r="C458" s="7" t="s">
        <v>123</v>
      </c>
      <c r="D458" s="24"/>
      <c r="E458" s="24"/>
      <c r="F458" s="24"/>
      <c r="G458" s="24"/>
      <c r="H458" s="24"/>
      <c r="I458" s="24"/>
      <c r="J458" s="24"/>
      <c r="K458" s="24"/>
      <c r="L458" s="24"/>
      <c r="M458" s="24"/>
      <c r="N458" s="24"/>
      <c r="O458" s="24"/>
      <c r="P458" s="24"/>
      <c r="Q458" s="24">
        <v>154.72</v>
      </c>
      <c r="R458" s="24"/>
      <c r="S458" s="24"/>
      <c r="T458" s="24"/>
      <c r="U458" s="24"/>
      <c r="V458" s="24"/>
      <c r="W458" s="24"/>
      <c r="X458" s="24"/>
      <c r="Y458" s="24"/>
      <c r="Z458" s="24"/>
      <c r="AA458" s="24"/>
      <c r="AB458" s="24"/>
      <c r="AC458" s="24"/>
      <c r="AD458" s="24"/>
      <c r="AE458" s="24"/>
      <c r="AF458" s="24"/>
      <c r="AG458" s="24"/>
      <c r="AH458" s="24"/>
    </row>
    <row r="459" spans="2:34" x14ac:dyDescent="0.2">
      <c r="B459" s="148" t="s">
        <v>28</v>
      </c>
      <c r="C459" s="7" t="s">
        <v>123</v>
      </c>
      <c r="D459" s="24"/>
      <c r="E459" s="24"/>
      <c r="F459" s="24"/>
      <c r="G459" s="24"/>
      <c r="H459" s="24"/>
      <c r="I459" s="24"/>
      <c r="J459" s="24"/>
      <c r="K459" s="24"/>
      <c r="L459" s="24"/>
      <c r="M459" s="24"/>
      <c r="N459" s="24"/>
      <c r="O459" s="24"/>
      <c r="P459" s="24"/>
      <c r="Q459" s="24">
        <v>1768.49</v>
      </c>
      <c r="R459" s="24"/>
      <c r="S459" s="24"/>
      <c r="T459" s="24"/>
      <c r="U459" s="24"/>
      <c r="V459" s="24"/>
      <c r="W459" s="24"/>
      <c r="X459" s="24"/>
      <c r="Y459" s="24"/>
      <c r="Z459" s="24"/>
      <c r="AA459" s="24"/>
      <c r="AB459" s="24"/>
      <c r="AC459" s="24"/>
      <c r="AD459" s="24"/>
      <c r="AE459" s="24"/>
      <c r="AF459" s="24"/>
      <c r="AG459" s="24"/>
      <c r="AH459" s="24"/>
    </row>
    <row r="460" spans="2:34" x14ac:dyDescent="0.2">
      <c r="B460" s="148" t="s">
        <v>31</v>
      </c>
      <c r="C460" s="7" t="s">
        <v>123</v>
      </c>
      <c r="D460" s="24"/>
      <c r="E460" s="24"/>
      <c r="F460" s="24"/>
      <c r="G460" s="24"/>
      <c r="H460" s="24"/>
      <c r="I460" s="24"/>
      <c r="J460" s="24"/>
      <c r="K460" s="24"/>
      <c r="L460" s="24"/>
      <c r="M460" s="24"/>
      <c r="N460" s="24"/>
      <c r="O460" s="24"/>
      <c r="P460" s="24"/>
      <c r="Q460" s="24">
        <v>109.99</v>
      </c>
      <c r="R460" s="24"/>
      <c r="S460" s="24"/>
      <c r="T460" s="24"/>
      <c r="U460" s="24"/>
      <c r="V460" s="24"/>
      <c r="W460" s="24"/>
      <c r="X460" s="24"/>
      <c r="Y460" s="24"/>
      <c r="Z460" s="24"/>
      <c r="AA460" s="24"/>
      <c r="AB460" s="24"/>
      <c r="AC460" s="24"/>
      <c r="AD460" s="24"/>
      <c r="AE460" s="24"/>
      <c r="AF460" s="24"/>
      <c r="AG460" s="24"/>
      <c r="AH460" s="24"/>
    </row>
    <row r="461" spans="2:34" x14ac:dyDescent="0.2">
      <c r="B461" s="148" t="s">
        <v>376</v>
      </c>
      <c r="C461" s="7" t="s">
        <v>123</v>
      </c>
      <c r="D461" s="24"/>
      <c r="E461" s="24"/>
      <c r="F461" s="24"/>
      <c r="G461" s="24"/>
      <c r="H461" s="24"/>
      <c r="I461" s="24"/>
      <c r="J461" s="24"/>
      <c r="K461" s="24"/>
      <c r="L461" s="24"/>
      <c r="M461" s="24"/>
      <c r="N461" s="24"/>
      <c r="O461" s="24"/>
      <c r="P461" s="24"/>
      <c r="Q461" s="24">
        <v>708.25</v>
      </c>
      <c r="R461" s="24"/>
      <c r="S461" s="24"/>
      <c r="T461" s="24"/>
      <c r="U461" s="24"/>
      <c r="V461" s="24"/>
      <c r="W461" s="24"/>
      <c r="X461" s="24"/>
      <c r="Y461" s="24"/>
      <c r="Z461" s="24"/>
      <c r="AA461" s="24"/>
      <c r="AB461" s="24"/>
      <c r="AC461" s="24"/>
      <c r="AD461" s="24"/>
      <c r="AE461" s="24"/>
      <c r="AF461" s="24"/>
      <c r="AG461" s="24"/>
      <c r="AH461" s="24"/>
    </row>
    <row r="462" spans="2:34" x14ac:dyDescent="0.2">
      <c r="B462" s="149" t="s">
        <v>362</v>
      </c>
      <c r="C462" s="124" t="s">
        <v>123</v>
      </c>
      <c r="D462" s="87"/>
      <c r="E462" s="87"/>
      <c r="F462" s="87"/>
      <c r="G462" s="87"/>
      <c r="H462" s="87"/>
      <c r="I462" s="87"/>
      <c r="J462" s="87"/>
      <c r="K462" s="87"/>
      <c r="L462" s="87"/>
      <c r="M462" s="87"/>
      <c r="N462" s="87"/>
      <c r="O462" s="87"/>
      <c r="P462" s="87"/>
      <c r="Q462" s="87">
        <v>2586.73</v>
      </c>
      <c r="R462" s="87"/>
      <c r="S462" s="87"/>
      <c r="T462" s="87"/>
      <c r="U462" s="87"/>
      <c r="V462" s="87"/>
      <c r="W462" s="87"/>
      <c r="X462" s="87"/>
      <c r="Y462" s="87"/>
      <c r="Z462" s="87"/>
      <c r="AA462" s="87"/>
      <c r="AB462" s="87"/>
      <c r="AC462" s="87"/>
      <c r="AD462" s="87"/>
      <c r="AE462" s="87"/>
      <c r="AF462" s="87"/>
      <c r="AG462" s="87"/>
      <c r="AH462" s="87"/>
    </row>
    <row r="463" spans="2:34" x14ac:dyDescent="0.2">
      <c r="B463" s="149" t="s">
        <v>225</v>
      </c>
      <c r="C463" s="124" t="s">
        <v>123</v>
      </c>
      <c r="D463" s="87"/>
      <c r="E463" s="87"/>
      <c r="F463" s="87"/>
      <c r="G463" s="87"/>
      <c r="H463" s="87"/>
      <c r="I463" s="87"/>
      <c r="J463" s="87"/>
      <c r="K463" s="87"/>
      <c r="L463" s="87"/>
      <c r="M463" s="87"/>
      <c r="N463" s="87"/>
      <c r="O463" s="87"/>
      <c r="P463" s="87"/>
      <c r="Q463" s="87">
        <v>2741.44</v>
      </c>
      <c r="R463" s="87"/>
      <c r="S463" s="87"/>
      <c r="T463" s="87"/>
      <c r="U463" s="87"/>
      <c r="V463" s="87"/>
      <c r="W463" s="87"/>
      <c r="X463" s="87"/>
      <c r="Y463" s="87"/>
      <c r="Z463" s="87"/>
      <c r="AA463" s="87"/>
      <c r="AB463" s="87"/>
      <c r="AC463" s="87"/>
      <c r="AD463" s="87"/>
      <c r="AE463" s="87"/>
      <c r="AF463" s="87"/>
      <c r="AG463" s="87"/>
      <c r="AH463" s="87"/>
    </row>
    <row r="464" spans="2:34" x14ac:dyDescent="0.2">
      <c r="B464" s="85" t="s">
        <v>296</v>
      </c>
      <c r="C464" s="7" t="s">
        <v>123</v>
      </c>
      <c r="D464" s="24"/>
      <c r="E464" s="24"/>
      <c r="F464" s="24"/>
      <c r="G464" s="24"/>
      <c r="H464" s="24"/>
      <c r="I464" s="24"/>
      <c r="J464" s="24"/>
      <c r="K464" s="24"/>
      <c r="L464" s="24"/>
      <c r="M464" s="24"/>
      <c r="N464" s="24"/>
      <c r="O464" s="24"/>
      <c r="P464" s="24"/>
      <c r="Q464" s="24">
        <v>197.75</v>
      </c>
      <c r="R464" s="24"/>
      <c r="S464" s="24"/>
      <c r="T464" s="24"/>
      <c r="U464" s="24"/>
      <c r="V464" s="24"/>
      <c r="W464" s="24"/>
      <c r="X464" s="24"/>
      <c r="Y464" s="24"/>
      <c r="Z464" s="24"/>
      <c r="AA464" s="24"/>
      <c r="AB464" s="24"/>
      <c r="AC464" s="24"/>
      <c r="AD464" s="24"/>
      <c r="AE464" s="24"/>
      <c r="AF464" s="24"/>
      <c r="AG464" s="24"/>
      <c r="AH464" s="24"/>
    </row>
    <row r="465" spans="2:34" s="66" customFormat="1" x14ac:dyDescent="0.2">
      <c r="B465" s="88" t="s">
        <v>227</v>
      </c>
      <c r="C465" s="124" t="s">
        <v>123</v>
      </c>
      <c r="D465" s="87"/>
      <c r="E465" s="87"/>
      <c r="F465" s="87"/>
      <c r="G465" s="87"/>
      <c r="H465" s="87"/>
      <c r="I465" s="87"/>
      <c r="J465" s="87"/>
      <c r="K465" s="87"/>
      <c r="L465" s="87"/>
      <c r="M465" s="87"/>
      <c r="N465" s="87"/>
      <c r="O465" s="87"/>
      <c r="P465" s="87"/>
      <c r="Q465" s="87">
        <v>2939.19</v>
      </c>
      <c r="R465" s="87"/>
      <c r="S465" s="87"/>
      <c r="T465" s="87"/>
      <c r="U465" s="87"/>
      <c r="V465" s="87"/>
      <c r="W465" s="87"/>
      <c r="X465" s="87"/>
      <c r="Y465" s="87"/>
      <c r="Z465" s="87"/>
      <c r="AA465" s="87"/>
      <c r="AB465" s="87"/>
      <c r="AC465" s="87"/>
      <c r="AD465" s="87"/>
      <c r="AE465" s="87"/>
      <c r="AF465" s="87"/>
      <c r="AG465" s="87"/>
      <c r="AH465" s="87"/>
    </row>
    <row r="466" spans="2:34" x14ac:dyDescent="0.2">
      <c r="B466" s="148" t="s">
        <v>363</v>
      </c>
      <c r="C466" s="7" t="s">
        <v>123</v>
      </c>
      <c r="D466" s="24"/>
      <c r="E466" s="24"/>
      <c r="F466" s="24"/>
      <c r="G466" s="24"/>
      <c r="H466" s="24"/>
      <c r="I466" s="24"/>
      <c r="J466" s="24"/>
      <c r="K466" s="24"/>
      <c r="L466" s="24"/>
      <c r="M466" s="24"/>
      <c r="N466" s="24"/>
      <c r="O466" s="24"/>
      <c r="P466" s="24"/>
      <c r="Q466" s="24">
        <v>9.85</v>
      </c>
      <c r="R466" s="24"/>
      <c r="S466" s="24"/>
      <c r="T466" s="24"/>
      <c r="U466" s="24"/>
      <c r="V466" s="24"/>
      <c r="W466" s="24"/>
      <c r="X466" s="24"/>
      <c r="Y466" s="24"/>
      <c r="Z466" s="24"/>
      <c r="AA466" s="24"/>
      <c r="AB466" s="24"/>
      <c r="AC466" s="24"/>
      <c r="AD466" s="24"/>
      <c r="AE466" s="24"/>
      <c r="AF466" s="24"/>
      <c r="AG466" s="24"/>
      <c r="AH466" s="24"/>
    </row>
    <row r="467" spans="2:34" x14ac:dyDescent="0.2">
      <c r="B467" s="148" t="s">
        <v>31</v>
      </c>
      <c r="C467" s="124" t="s">
        <v>123</v>
      </c>
      <c r="D467" s="87"/>
      <c r="E467" s="87"/>
      <c r="F467" s="87"/>
      <c r="G467" s="87"/>
      <c r="H467" s="87"/>
      <c r="I467" s="87"/>
      <c r="J467" s="87"/>
      <c r="K467" s="87"/>
      <c r="L467" s="87"/>
      <c r="M467" s="87"/>
      <c r="N467" s="87"/>
      <c r="O467" s="87"/>
      <c r="P467" s="87"/>
      <c r="Q467" s="87">
        <v>185.11</v>
      </c>
      <c r="R467" s="87"/>
      <c r="S467" s="87"/>
      <c r="T467" s="87"/>
      <c r="U467" s="87"/>
      <c r="V467" s="87"/>
      <c r="W467" s="87"/>
      <c r="X467" s="87"/>
      <c r="Y467" s="87"/>
      <c r="Z467" s="87"/>
      <c r="AA467" s="87"/>
      <c r="AB467" s="87"/>
      <c r="AC467" s="87"/>
      <c r="AD467" s="87"/>
      <c r="AE467" s="87"/>
      <c r="AF467" s="87"/>
      <c r="AG467" s="87"/>
      <c r="AH467" s="87"/>
    </row>
    <row r="468" spans="2:34" x14ac:dyDescent="0.2">
      <c r="B468" s="148" t="s">
        <v>376</v>
      </c>
      <c r="C468" s="124" t="s">
        <v>123</v>
      </c>
      <c r="D468" s="87"/>
      <c r="E468" s="87"/>
      <c r="F468" s="87"/>
      <c r="G468" s="87"/>
      <c r="H468" s="87"/>
      <c r="I468" s="87"/>
      <c r="J468" s="87"/>
      <c r="K468" s="87"/>
      <c r="L468" s="87"/>
      <c r="M468" s="87"/>
      <c r="N468" s="87"/>
      <c r="O468" s="87"/>
      <c r="P468" s="87"/>
      <c r="Q468" s="87">
        <v>608.9</v>
      </c>
      <c r="R468" s="87"/>
      <c r="S468" s="87"/>
      <c r="T468" s="87"/>
      <c r="U468" s="87"/>
      <c r="V468" s="87"/>
      <c r="W468" s="87"/>
      <c r="X468" s="87"/>
      <c r="Y468" s="87"/>
      <c r="Z468" s="87"/>
      <c r="AA468" s="87"/>
      <c r="AB468" s="87"/>
      <c r="AC468" s="87"/>
      <c r="AD468" s="87"/>
      <c r="AE468" s="87"/>
      <c r="AF468" s="87"/>
      <c r="AG468" s="87"/>
      <c r="AH468" s="87"/>
    </row>
    <row r="469" spans="2:34" x14ac:dyDescent="0.2">
      <c r="B469" s="148" t="s">
        <v>362</v>
      </c>
      <c r="C469" s="7" t="s">
        <v>123</v>
      </c>
      <c r="D469" s="24"/>
      <c r="E469" s="24"/>
      <c r="F469" s="24"/>
      <c r="G469" s="24"/>
      <c r="H469" s="24"/>
      <c r="I469" s="24"/>
      <c r="J469" s="24"/>
      <c r="K469" s="24"/>
      <c r="L469" s="24"/>
      <c r="M469" s="24"/>
      <c r="N469" s="24"/>
      <c r="O469" s="24"/>
      <c r="P469" s="24"/>
      <c r="Q469" s="24">
        <v>794</v>
      </c>
      <c r="R469" s="24"/>
      <c r="S469" s="24"/>
      <c r="T469" s="24"/>
      <c r="U469" s="24"/>
      <c r="V469" s="24"/>
      <c r="W469" s="24"/>
      <c r="X469" s="24"/>
      <c r="Y469" s="24"/>
      <c r="Z469" s="24"/>
      <c r="AA469" s="24"/>
      <c r="AB469" s="24"/>
      <c r="AC469" s="24"/>
      <c r="AD469" s="24"/>
      <c r="AE469" s="24"/>
      <c r="AF469" s="24"/>
      <c r="AG469" s="24"/>
      <c r="AH469" s="24"/>
    </row>
    <row r="470" spans="2:34" s="66" customFormat="1" x14ac:dyDescent="0.2">
      <c r="B470" s="88" t="s">
        <v>364</v>
      </c>
      <c r="C470" s="124" t="s">
        <v>123</v>
      </c>
      <c r="D470" s="87"/>
      <c r="E470" s="87"/>
      <c r="F470" s="87"/>
      <c r="G470" s="87"/>
      <c r="H470" s="87"/>
      <c r="I470" s="87"/>
      <c r="J470" s="87"/>
      <c r="K470" s="87"/>
      <c r="L470" s="87"/>
      <c r="M470" s="87"/>
      <c r="N470" s="87"/>
      <c r="O470" s="87"/>
      <c r="P470" s="87"/>
      <c r="Q470" s="87">
        <v>799.29</v>
      </c>
      <c r="R470" s="87"/>
      <c r="S470" s="87"/>
      <c r="T470" s="87"/>
      <c r="U470" s="87"/>
      <c r="V470" s="87"/>
      <c r="W470" s="87"/>
      <c r="X470" s="87"/>
      <c r="Y470" s="87"/>
      <c r="Z470" s="87"/>
      <c r="AA470" s="87"/>
      <c r="AB470" s="87"/>
      <c r="AC470" s="87"/>
      <c r="AD470" s="87"/>
      <c r="AE470" s="87"/>
      <c r="AF470" s="87"/>
      <c r="AG470" s="87"/>
      <c r="AH470" s="87"/>
    </row>
    <row r="471" spans="2:34" s="67" customFormat="1" x14ac:dyDescent="0.2">
      <c r="B471" s="72" t="s">
        <v>365</v>
      </c>
      <c r="C471" s="79" t="s">
        <v>123</v>
      </c>
      <c r="D471" s="69"/>
      <c r="E471" s="69"/>
      <c r="F471" s="69"/>
      <c r="G471" s="69"/>
      <c r="H471" s="69"/>
      <c r="I471" s="69"/>
      <c r="J471" s="69"/>
      <c r="K471" s="69"/>
      <c r="L471" s="69"/>
      <c r="M471" s="69"/>
      <c r="N471" s="69"/>
      <c r="O471" s="69"/>
      <c r="P471" s="69"/>
      <c r="Q471" s="69">
        <v>3738.48</v>
      </c>
      <c r="R471" s="69"/>
      <c r="S471" s="69"/>
      <c r="T471" s="69"/>
      <c r="U471" s="69"/>
      <c r="V471" s="69"/>
      <c r="W471" s="69"/>
      <c r="X471" s="69"/>
      <c r="Y471" s="69"/>
      <c r="Z471" s="69"/>
      <c r="AA471" s="69"/>
      <c r="AB471" s="69"/>
      <c r="AC471" s="69"/>
      <c r="AD471" s="69"/>
      <c r="AE471" s="69"/>
      <c r="AF471" s="69"/>
      <c r="AG471" s="69"/>
      <c r="AH471" s="69"/>
    </row>
    <row r="472" spans="2:34" s="66" customFormat="1" x14ac:dyDescent="0.2">
      <c r="B472" s="86"/>
      <c r="C472" s="124"/>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row>
    <row r="473" spans="2:34" x14ac:dyDescent="0.2">
      <c r="B473" s="21" t="s">
        <v>379</v>
      </c>
      <c r="E473" s="21"/>
    </row>
    <row r="474" spans="2:34" x14ac:dyDescent="0.2">
      <c r="B474" s="148" t="s">
        <v>230</v>
      </c>
      <c r="C474" s="7" t="s">
        <v>123</v>
      </c>
      <c r="D474" s="24"/>
      <c r="E474" s="24"/>
      <c r="F474" s="24"/>
      <c r="G474" s="24"/>
      <c r="H474" s="24"/>
      <c r="I474" s="24"/>
      <c r="J474" s="24"/>
      <c r="K474" s="24"/>
      <c r="L474" s="24"/>
      <c r="M474" s="24"/>
      <c r="N474" s="24"/>
      <c r="O474" s="24"/>
      <c r="P474" s="24"/>
      <c r="Q474" s="24">
        <v>962.9</v>
      </c>
      <c r="R474" s="24"/>
      <c r="S474" s="24"/>
      <c r="T474" s="24"/>
      <c r="U474" s="24"/>
      <c r="V474" s="24"/>
      <c r="W474" s="24"/>
      <c r="X474" s="24"/>
      <c r="Y474" s="24"/>
      <c r="Z474" s="24"/>
      <c r="AA474" s="24"/>
      <c r="AB474" s="24"/>
      <c r="AC474" s="24"/>
      <c r="AD474" s="24"/>
      <c r="AE474" s="24"/>
      <c r="AF474" s="24"/>
      <c r="AG474" s="24"/>
      <c r="AH474" s="24"/>
    </row>
    <row r="475" spans="2:34" x14ac:dyDescent="0.2">
      <c r="B475" s="148" t="s">
        <v>31</v>
      </c>
      <c r="C475" s="7" t="s">
        <v>123</v>
      </c>
      <c r="D475" s="24"/>
      <c r="E475" s="24"/>
      <c r="F475" s="24"/>
      <c r="G475" s="24"/>
      <c r="H475" s="24"/>
      <c r="I475" s="24"/>
      <c r="J475" s="24"/>
      <c r="K475" s="24"/>
      <c r="L475" s="24"/>
      <c r="M475" s="24"/>
      <c r="N475" s="24"/>
      <c r="O475" s="24"/>
      <c r="P475" s="24"/>
      <c r="Q475" s="24">
        <v>171.93</v>
      </c>
      <c r="R475" s="24"/>
      <c r="S475" s="24"/>
      <c r="T475" s="24"/>
      <c r="U475" s="24"/>
      <c r="V475" s="24"/>
      <c r="W475" s="24"/>
      <c r="X475" s="24"/>
      <c r="Y475" s="24"/>
      <c r="Z475" s="24"/>
      <c r="AA475" s="24"/>
      <c r="AB475" s="24"/>
      <c r="AC475" s="24"/>
      <c r="AD475" s="24"/>
      <c r="AE475" s="24"/>
      <c r="AF475" s="24"/>
      <c r="AG475" s="24"/>
      <c r="AH475" s="24"/>
    </row>
    <row r="476" spans="2:34" x14ac:dyDescent="0.2">
      <c r="B476" s="148" t="s">
        <v>376</v>
      </c>
      <c r="C476" s="7" t="s">
        <v>123</v>
      </c>
      <c r="D476" s="24"/>
      <c r="E476" s="24"/>
      <c r="F476" s="24"/>
      <c r="G476" s="24"/>
      <c r="H476" s="24"/>
      <c r="I476" s="24"/>
      <c r="J476" s="24"/>
      <c r="K476" s="24"/>
      <c r="L476" s="24"/>
      <c r="M476" s="24"/>
      <c r="N476" s="24"/>
      <c r="O476" s="24"/>
      <c r="P476" s="24"/>
      <c r="Q476" s="24">
        <v>492.79</v>
      </c>
      <c r="R476" s="24"/>
      <c r="S476" s="24"/>
      <c r="T476" s="24"/>
      <c r="U476" s="24"/>
      <c r="V476" s="24"/>
      <c r="W476" s="24"/>
      <c r="X476" s="24"/>
      <c r="Y476" s="24"/>
      <c r="Z476" s="24"/>
      <c r="AA476" s="24"/>
      <c r="AB476" s="24"/>
      <c r="AC476" s="24"/>
      <c r="AD476" s="24"/>
      <c r="AE476" s="24"/>
      <c r="AF476" s="24"/>
      <c r="AG476" s="24"/>
      <c r="AH476" s="24"/>
    </row>
    <row r="477" spans="2:34" s="66" customFormat="1" x14ac:dyDescent="0.2">
      <c r="B477" s="88" t="s">
        <v>227</v>
      </c>
      <c r="C477" s="124" t="s">
        <v>123</v>
      </c>
      <c r="D477" s="87"/>
      <c r="E477" s="87"/>
      <c r="F477" s="87"/>
      <c r="G477" s="87"/>
      <c r="H477" s="87"/>
      <c r="I477" s="87"/>
      <c r="J477" s="87"/>
      <c r="K477" s="87"/>
      <c r="L477" s="87"/>
      <c r="M477" s="87"/>
      <c r="N477" s="87"/>
      <c r="O477" s="87"/>
      <c r="P477" s="87"/>
      <c r="Q477" s="87">
        <v>1627.64</v>
      </c>
      <c r="R477" s="87"/>
      <c r="S477" s="87"/>
      <c r="T477" s="87"/>
      <c r="U477" s="87"/>
      <c r="V477" s="87"/>
      <c r="W477" s="87"/>
      <c r="X477" s="87"/>
      <c r="Y477" s="87"/>
      <c r="Z477" s="87"/>
      <c r="AA477" s="87"/>
      <c r="AB477" s="87"/>
      <c r="AC477" s="87"/>
      <c r="AD477" s="87"/>
      <c r="AE477" s="87"/>
      <c r="AF477" s="87"/>
      <c r="AG477" s="87"/>
      <c r="AH477" s="87"/>
    </row>
    <row r="478" spans="2:34" x14ac:dyDescent="0.2">
      <c r="B478" s="148" t="s">
        <v>363</v>
      </c>
      <c r="C478" s="7" t="s">
        <v>123</v>
      </c>
      <c r="D478" s="24"/>
      <c r="E478" s="24"/>
      <c r="F478" s="24"/>
      <c r="G478" s="24"/>
      <c r="H478" s="24"/>
      <c r="I478" s="24"/>
      <c r="J478" s="24"/>
      <c r="K478" s="24"/>
      <c r="L478" s="24"/>
      <c r="M478" s="24"/>
      <c r="N478" s="24"/>
      <c r="O478" s="24"/>
      <c r="P478" s="24"/>
      <c r="Q478" s="24">
        <v>59.67</v>
      </c>
      <c r="R478" s="24"/>
      <c r="S478" s="24"/>
      <c r="T478" s="24"/>
      <c r="U478" s="24"/>
      <c r="V478" s="24"/>
      <c r="W478" s="24"/>
      <c r="X478" s="24"/>
      <c r="Y478" s="24"/>
      <c r="Z478" s="24"/>
      <c r="AA478" s="24"/>
      <c r="AB478" s="24"/>
      <c r="AC478" s="24"/>
      <c r="AD478" s="24"/>
      <c r="AE478" s="24"/>
      <c r="AF478" s="24"/>
      <c r="AG478" s="24"/>
      <c r="AH478" s="24"/>
    </row>
    <row r="479" spans="2:34" x14ac:dyDescent="0.2">
      <c r="B479" s="148" t="s">
        <v>31</v>
      </c>
      <c r="C479" s="124" t="s">
        <v>123</v>
      </c>
      <c r="D479" s="87"/>
      <c r="E479" s="87"/>
      <c r="F479" s="87"/>
      <c r="G479" s="87"/>
      <c r="H479" s="87"/>
      <c r="I479" s="87"/>
      <c r="J479" s="87"/>
      <c r="K479" s="87"/>
      <c r="L479" s="87"/>
      <c r="M479" s="87"/>
      <c r="N479" s="87"/>
      <c r="O479" s="87"/>
      <c r="P479" s="87"/>
      <c r="Q479" s="87">
        <v>560.13</v>
      </c>
      <c r="R479" s="87"/>
      <c r="S479" s="87"/>
      <c r="T479" s="87"/>
      <c r="U479" s="87"/>
      <c r="V479" s="87"/>
      <c r="W479" s="87"/>
      <c r="X479" s="87"/>
      <c r="Y479" s="87"/>
      <c r="Z479" s="87"/>
      <c r="AA479" s="87"/>
      <c r="AB479" s="87"/>
      <c r="AC479" s="87"/>
      <c r="AD479" s="87"/>
      <c r="AE479" s="87"/>
      <c r="AF479" s="87"/>
      <c r="AG479" s="87"/>
      <c r="AH479" s="87"/>
    </row>
    <row r="480" spans="2:34" x14ac:dyDescent="0.2">
      <c r="B480" s="148" t="s">
        <v>376</v>
      </c>
      <c r="C480" s="124" t="s">
        <v>123</v>
      </c>
      <c r="D480" s="87"/>
      <c r="E480" s="87"/>
      <c r="F480" s="87"/>
      <c r="G480" s="87"/>
      <c r="H480" s="87"/>
      <c r="I480" s="87"/>
      <c r="J480" s="87"/>
      <c r="K480" s="87"/>
      <c r="L480" s="87"/>
      <c r="M480" s="87"/>
      <c r="N480" s="87"/>
      <c r="O480" s="87"/>
      <c r="P480" s="87"/>
      <c r="Q480" s="87">
        <v>1743.99</v>
      </c>
      <c r="R480" s="87"/>
      <c r="S480" s="87"/>
      <c r="T480" s="87"/>
      <c r="U480" s="87"/>
      <c r="V480" s="87"/>
      <c r="W480" s="87"/>
      <c r="X480" s="87"/>
      <c r="Y480" s="87"/>
      <c r="Z480" s="87"/>
      <c r="AA480" s="87"/>
      <c r="AB480" s="87"/>
      <c r="AC480" s="87"/>
      <c r="AD480" s="87"/>
      <c r="AE480" s="87"/>
      <c r="AF480" s="87"/>
      <c r="AG480" s="87"/>
      <c r="AH480" s="87"/>
    </row>
    <row r="481" spans="2:34" s="66" customFormat="1" x14ac:dyDescent="0.2">
      <c r="B481" s="88" t="s">
        <v>364</v>
      </c>
      <c r="C481" s="124" t="s">
        <v>123</v>
      </c>
      <c r="D481" s="87"/>
      <c r="E481" s="87"/>
      <c r="F481" s="87"/>
      <c r="G481" s="87"/>
      <c r="H481" s="87"/>
      <c r="I481" s="87"/>
      <c r="J481" s="87"/>
      <c r="K481" s="87"/>
      <c r="L481" s="87"/>
      <c r="M481" s="87"/>
      <c r="N481" s="87"/>
      <c r="O481" s="87"/>
      <c r="P481" s="87"/>
      <c r="Q481" s="87">
        <v>2363.8000000000002</v>
      </c>
      <c r="R481" s="87"/>
      <c r="S481" s="87"/>
      <c r="T481" s="87"/>
      <c r="U481" s="87"/>
      <c r="V481" s="87"/>
      <c r="W481" s="87"/>
      <c r="X481" s="87"/>
      <c r="Y481" s="87"/>
      <c r="Z481" s="87"/>
      <c r="AA481" s="87"/>
      <c r="AB481" s="87"/>
      <c r="AC481" s="87"/>
      <c r="AD481" s="87"/>
      <c r="AE481" s="87"/>
      <c r="AF481" s="87"/>
      <c r="AG481" s="87"/>
      <c r="AH481" s="87"/>
    </row>
    <row r="482" spans="2:34" s="67" customFormat="1" x14ac:dyDescent="0.2">
      <c r="B482" s="72" t="s">
        <v>365</v>
      </c>
      <c r="C482" s="79" t="s">
        <v>123</v>
      </c>
      <c r="D482" s="69"/>
      <c r="E482" s="69"/>
      <c r="F482" s="69"/>
      <c r="G482" s="69"/>
      <c r="H482" s="69"/>
      <c r="I482" s="69"/>
      <c r="J482" s="69"/>
      <c r="K482" s="69"/>
      <c r="L482" s="69"/>
      <c r="M482" s="69"/>
      <c r="N482" s="69"/>
      <c r="O482" s="69"/>
      <c r="P482" s="69"/>
      <c r="Q482" s="69">
        <v>3991.44</v>
      </c>
      <c r="R482" s="69"/>
      <c r="S482" s="69"/>
      <c r="T482" s="69"/>
      <c r="U482" s="69"/>
      <c r="V482" s="69"/>
      <c r="W482" s="69"/>
      <c r="X482" s="69"/>
      <c r="Y482" s="69"/>
      <c r="Z482" s="69"/>
      <c r="AA482" s="69"/>
      <c r="AB482" s="69"/>
      <c r="AC482" s="69"/>
      <c r="AD482" s="69"/>
      <c r="AE482" s="69"/>
      <c r="AF482" s="69"/>
      <c r="AG482" s="69"/>
      <c r="AH482" s="69"/>
    </row>
    <row r="483" spans="2:34" s="66" customFormat="1" x14ac:dyDescent="0.2">
      <c r="B483" s="86"/>
      <c r="C483" s="124"/>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row>
    <row r="484" spans="2:34" s="66" customFormat="1" hidden="1" outlineLevel="1" x14ac:dyDescent="0.2">
      <c r="B484" s="86"/>
      <c r="C484" s="124"/>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row>
    <row r="485" spans="2:34" s="66" customFormat="1" hidden="1" outlineLevel="1" x14ac:dyDescent="0.2">
      <c r="B485" s="86"/>
      <c r="C485" s="124"/>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row>
    <row r="486" spans="2:34" s="66" customFormat="1" hidden="1" outlineLevel="1" x14ac:dyDescent="0.2">
      <c r="B486" s="86"/>
      <c r="C486" s="124"/>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row>
    <row r="487" spans="2:34" s="66" customFormat="1" hidden="1" outlineLevel="1" x14ac:dyDescent="0.2">
      <c r="B487" s="86"/>
      <c r="C487" s="124"/>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row>
    <row r="488" spans="2:34" s="66" customFormat="1" hidden="1" outlineLevel="1" x14ac:dyDescent="0.2">
      <c r="B488" s="86"/>
      <c r="C488" s="124"/>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row>
    <row r="489" spans="2:34" s="66" customFormat="1" hidden="1" outlineLevel="1" x14ac:dyDescent="0.2">
      <c r="B489" s="86"/>
      <c r="C489" s="124"/>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row>
    <row r="490" spans="2:34" s="66" customFormat="1" hidden="1" outlineLevel="1" x14ac:dyDescent="0.2">
      <c r="B490" s="86"/>
      <c r="C490" s="124"/>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row>
    <row r="491" spans="2:34" s="66" customFormat="1" hidden="1" outlineLevel="1" x14ac:dyDescent="0.2">
      <c r="B491" s="86"/>
      <c r="C491" s="124"/>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row>
    <row r="492" spans="2:34" s="66" customFormat="1" hidden="1" outlineLevel="1" x14ac:dyDescent="0.2">
      <c r="B492" s="86"/>
      <c r="C492" s="124"/>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row>
    <row r="493" spans="2:34" s="66" customFormat="1" hidden="1" outlineLevel="1" x14ac:dyDescent="0.2">
      <c r="B493" s="86"/>
      <c r="C493" s="124"/>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row>
    <row r="494" spans="2:34" s="66" customFormat="1" hidden="1" outlineLevel="1" x14ac:dyDescent="0.2">
      <c r="B494" s="86"/>
      <c r="C494" s="124"/>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row>
    <row r="495" spans="2:34" s="66" customFormat="1" hidden="1" outlineLevel="1" x14ac:dyDescent="0.2">
      <c r="B495" s="86"/>
      <c r="C495" s="124"/>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row>
    <row r="496" spans="2:34" s="66" customFormat="1" hidden="1" outlineLevel="1" x14ac:dyDescent="0.2">
      <c r="B496" s="86"/>
      <c r="C496" s="124"/>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row>
    <row r="497" spans="2:34" s="66" customFormat="1" hidden="1" outlineLevel="1" x14ac:dyDescent="0.2">
      <c r="B497" s="86"/>
      <c r="C497" s="124"/>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row>
    <row r="498" spans="2:34" hidden="1" outlineLevel="1" x14ac:dyDescent="0.2">
      <c r="B498" s="20" t="s">
        <v>381</v>
      </c>
    </row>
    <row r="499" spans="2:34" hidden="1" outlineLevel="1" x14ac:dyDescent="0.2"/>
    <row r="500" spans="2:34" hidden="1" outlineLevel="1" x14ac:dyDescent="0.2">
      <c r="B500" s="152" t="s">
        <v>183</v>
      </c>
    </row>
    <row r="501" spans="2:34" hidden="1" outlineLevel="1" x14ac:dyDescent="0.2">
      <c r="B501" s="73" t="s">
        <v>385</v>
      </c>
      <c r="C501" s="7" t="s">
        <v>123</v>
      </c>
      <c r="Q501" s="25">
        <f>Q312</f>
        <v>3828.63</v>
      </c>
    </row>
    <row r="502" spans="2:34" hidden="1" outlineLevel="1" x14ac:dyDescent="0.2">
      <c r="B502" s="73" t="s">
        <v>132</v>
      </c>
      <c r="C502" s="7" t="s">
        <v>123</v>
      </c>
      <c r="Q502" s="25">
        <f>Q328</f>
        <v>600.71</v>
      </c>
    </row>
    <row r="503" spans="2:34" hidden="1" outlineLevel="1" x14ac:dyDescent="0.2">
      <c r="B503" s="73" t="s">
        <v>386</v>
      </c>
      <c r="C503" s="7" t="s">
        <v>123</v>
      </c>
      <c r="Q503" s="25">
        <f>Q344</f>
        <v>1015.38</v>
      </c>
    </row>
    <row r="504" spans="2:34" hidden="1" outlineLevel="1" x14ac:dyDescent="0.2">
      <c r="B504" s="73" t="s">
        <v>133</v>
      </c>
      <c r="C504" s="7" t="s">
        <v>123</v>
      </c>
      <c r="Q504" s="25">
        <f>Q355</f>
        <v>868.43</v>
      </c>
    </row>
    <row r="505" spans="2:34" hidden="1" outlineLevel="1" x14ac:dyDescent="0.2">
      <c r="B505" s="18"/>
      <c r="C505" s="12"/>
    </row>
    <row r="506" spans="2:34" hidden="1" outlineLevel="1" x14ac:dyDescent="0.2">
      <c r="B506" s="154" t="s">
        <v>382</v>
      </c>
    </row>
    <row r="507" spans="2:34" hidden="1" outlineLevel="1" x14ac:dyDescent="0.2">
      <c r="B507" s="148" t="s">
        <v>385</v>
      </c>
      <c r="C507" s="7" t="s">
        <v>123</v>
      </c>
      <c r="Q507" s="25">
        <f>Q374</f>
        <v>3691.51</v>
      </c>
    </row>
    <row r="508" spans="2:34" hidden="1" outlineLevel="1" x14ac:dyDescent="0.2">
      <c r="B508" s="148" t="s">
        <v>132</v>
      </c>
      <c r="C508" s="7" t="s">
        <v>123</v>
      </c>
      <c r="Q508" s="25">
        <f>Q390</f>
        <v>480.44</v>
      </c>
    </row>
    <row r="509" spans="2:34" hidden="1" outlineLevel="1" x14ac:dyDescent="0.2">
      <c r="B509" s="148" t="s">
        <v>386</v>
      </c>
      <c r="C509" s="7" t="s">
        <v>123</v>
      </c>
      <c r="Q509" s="25">
        <f>Q406</f>
        <v>784.97</v>
      </c>
    </row>
    <row r="510" spans="2:34" hidden="1" outlineLevel="1" x14ac:dyDescent="0.2">
      <c r="B510" s="148" t="s">
        <v>133</v>
      </c>
      <c r="C510" s="7" t="s">
        <v>123</v>
      </c>
      <c r="Q510" s="25">
        <f>Q417</f>
        <v>2260.8200000000002</v>
      </c>
    </row>
    <row r="511" spans="2:34" hidden="1" outlineLevel="1" x14ac:dyDescent="0.2">
      <c r="B511" s="85"/>
      <c r="C511" s="12"/>
    </row>
    <row r="512" spans="2:34" hidden="1" outlineLevel="1" x14ac:dyDescent="0.2">
      <c r="B512" s="154" t="s">
        <v>383</v>
      </c>
    </row>
    <row r="513" spans="2:17" hidden="1" outlineLevel="1" x14ac:dyDescent="0.2">
      <c r="B513" s="148" t="s">
        <v>385</v>
      </c>
      <c r="C513" s="7" t="s">
        <v>123</v>
      </c>
      <c r="Q513" s="25">
        <f>Q439</f>
        <v>14461.65</v>
      </c>
    </row>
    <row r="514" spans="2:17" hidden="1" outlineLevel="1" x14ac:dyDescent="0.2">
      <c r="B514" s="148" t="s">
        <v>132</v>
      </c>
      <c r="C514" s="7" t="s">
        <v>123</v>
      </c>
      <c r="Q514" s="25">
        <f>Q455</f>
        <v>2315.6999999999998</v>
      </c>
    </row>
    <row r="515" spans="2:17" hidden="1" outlineLevel="1" x14ac:dyDescent="0.2">
      <c r="B515" s="148" t="s">
        <v>386</v>
      </c>
      <c r="C515" s="7" t="s">
        <v>123</v>
      </c>
      <c r="Q515" s="25">
        <f>Q471</f>
        <v>3738.48</v>
      </c>
    </row>
    <row r="516" spans="2:17" hidden="1" outlineLevel="1" x14ac:dyDescent="0.2">
      <c r="B516" s="148" t="s">
        <v>133</v>
      </c>
      <c r="C516" s="7" t="s">
        <v>123</v>
      </c>
      <c r="Q516" s="25">
        <f>Q482</f>
        <v>3991.44</v>
      </c>
    </row>
    <row r="517" spans="2:17" hidden="1" outlineLevel="1" x14ac:dyDescent="0.2">
      <c r="B517" s="22"/>
      <c r="C517" s="12"/>
    </row>
    <row r="518" spans="2:17" hidden="1" outlineLevel="1" x14ac:dyDescent="0.2">
      <c r="B518" s="153" t="s">
        <v>384</v>
      </c>
    </row>
    <row r="519" spans="2:17" hidden="1" outlineLevel="1" x14ac:dyDescent="0.2">
      <c r="B519" s="85" t="s">
        <v>385</v>
      </c>
      <c r="C519" s="7" t="s">
        <v>123</v>
      </c>
      <c r="Q519" s="25">
        <f>Q513-Q507</f>
        <v>10770.14</v>
      </c>
    </row>
    <row r="520" spans="2:17" hidden="1" outlineLevel="1" x14ac:dyDescent="0.2">
      <c r="B520" s="85" t="s">
        <v>132</v>
      </c>
      <c r="C520" s="7" t="s">
        <v>123</v>
      </c>
      <c r="Q520" s="25">
        <f>Q514-Q508</f>
        <v>1835.2599999999998</v>
      </c>
    </row>
    <row r="521" spans="2:17" hidden="1" outlineLevel="1" x14ac:dyDescent="0.2">
      <c r="B521" s="85" t="s">
        <v>386</v>
      </c>
      <c r="C521" s="7" t="s">
        <v>123</v>
      </c>
      <c r="Q521" s="25">
        <f>Q515-Q509</f>
        <v>2953.51</v>
      </c>
    </row>
    <row r="522" spans="2:17" hidden="1" outlineLevel="1" x14ac:dyDescent="0.2">
      <c r="B522" s="85" t="s">
        <v>133</v>
      </c>
      <c r="C522" s="7" t="s">
        <v>123</v>
      </c>
      <c r="Q522" s="25">
        <f>Q516-Q510</f>
        <v>1730.62</v>
      </c>
    </row>
    <row r="523" spans="2:17" hidden="1" outlineLevel="1" x14ac:dyDescent="0.2">
      <c r="B523" s="22"/>
      <c r="C523" s="12"/>
    </row>
    <row r="524" spans="2:17" hidden="1" outlineLevel="1" x14ac:dyDescent="0.2">
      <c r="B524" s="153" t="s">
        <v>387</v>
      </c>
    </row>
    <row r="525" spans="2:17" hidden="1" outlineLevel="1" x14ac:dyDescent="0.2">
      <c r="B525" s="85" t="s">
        <v>385</v>
      </c>
      <c r="C525" s="7" t="s">
        <v>123</v>
      </c>
      <c r="Q525" s="26">
        <f>Q501/Q519</f>
        <v>0.35548562971326281</v>
      </c>
    </row>
    <row r="526" spans="2:17" hidden="1" outlineLevel="1" x14ac:dyDescent="0.2">
      <c r="B526" s="85" t="s">
        <v>132</v>
      </c>
      <c r="C526" s="7" t="s">
        <v>123</v>
      </c>
      <c r="Q526" s="26">
        <f>Q502/Q520</f>
        <v>0.32731602061833209</v>
      </c>
    </row>
    <row r="527" spans="2:17" hidden="1" outlineLevel="1" x14ac:dyDescent="0.2">
      <c r="B527" s="85" t="s">
        <v>386</v>
      </c>
      <c r="C527" s="7" t="s">
        <v>123</v>
      </c>
      <c r="Q527" s="26">
        <f>Q503/Q521</f>
        <v>0.34378756124069326</v>
      </c>
    </row>
    <row r="528" spans="2:17" hidden="1" outlineLevel="1" x14ac:dyDescent="0.2">
      <c r="B528" s="85" t="s">
        <v>133</v>
      </c>
      <c r="C528" s="7" t="s">
        <v>123</v>
      </c>
      <c r="Q528" s="26">
        <f>Q504/Q522</f>
        <v>0.50180282210999527</v>
      </c>
    </row>
    <row r="529" spans="2:34" hidden="1" outlineLevel="1" x14ac:dyDescent="0.2">
      <c r="B529" s="18"/>
      <c r="C529" s="12"/>
    </row>
    <row r="530" spans="2:34" hidden="1" outlineLevel="1" x14ac:dyDescent="0.2">
      <c r="B530" s="152" t="s">
        <v>388</v>
      </c>
    </row>
    <row r="531" spans="2:34" hidden="1" outlineLevel="1" x14ac:dyDescent="0.2">
      <c r="B531" s="73" t="s">
        <v>385</v>
      </c>
      <c r="C531" s="7" t="s">
        <v>123</v>
      </c>
      <c r="D531" s="25"/>
      <c r="E531" s="25"/>
      <c r="F531" s="25"/>
      <c r="G531" s="25"/>
      <c r="H531" s="25"/>
      <c r="I531" s="25"/>
      <c r="J531" s="25"/>
      <c r="K531" s="25"/>
      <c r="L531" s="25"/>
      <c r="M531" s="25"/>
      <c r="N531" s="25"/>
      <c r="O531" s="25"/>
      <c r="P531" s="25"/>
      <c r="Q531" s="25">
        <f>Q507*Q525</f>
        <v>1312.2787569428069</v>
      </c>
      <c r="R531" s="25"/>
      <c r="S531" s="25"/>
      <c r="T531" s="25"/>
      <c r="U531" s="25"/>
      <c r="V531" s="25"/>
      <c r="W531" s="25"/>
      <c r="X531" s="25"/>
      <c r="Y531" s="25"/>
      <c r="Z531" s="25"/>
      <c r="AA531" s="25"/>
      <c r="AB531" s="25"/>
      <c r="AC531" s="25"/>
      <c r="AD531" s="25"/>
      <c r="AE531" s="25"/>
      <c r="AF531" s="25"/>
      <c r="AG531" s="25"/>
      <c r="AH531" s="25"/>
    </row>
    <row r="532" spans="2:34" hidden="1" outlineLevel="1" x14ac:dyDescent="0.2">
      <c r="B532" s="73" t="s">
        <v>132</v>
      </c>
      <c r="C532" s="7" t="s">
        <v>123</v>
      </c>
      <c r="D532" s="25"/>
      <c r="E532" s="25"/>
      <c r="F532" s="25"/>
      <c r="G532" s="25"/>
      <c r="H532" s="25"/>
      <c r="I532" s="25"/>
      <c r="J532" s="25"/>
      <c r="K532" s="25"/>
      <c r="L532" s="25"/>
      <c r="M532" s="25"/>
      <c r="N532" s="25"/>
      <c r="O532" s="25"/>
      <c r="P532" s="25"/>
      <c r="Q532" s="25">
        <f>Q508*Q526</f>
        <v>157.25570894587148</v>
      </c>
      <c r="R532" s="25"/>
      <c r="S532" s="25"/>
      <c r="T532" s="25"/>
      <c r="U532" s="25"/>
      <c r="V532" s="25"/>
      <c r="W532" s="25"/>
      <c r="X532" s="25"/>
      <c r="Y532" s="25"/>
      <c r="Z532" s="25"/>
      <c r="AA532" s="25"/>
      <c r="AB532" s="25"/>
      <c r="AC532" s="25"/>
      <c r="AD532" s="25"/>
      <c r="AE532" s="25"/>
      <c r="AF532" s="25"/>
      <c r="AG532" s="25"/>
      <c r="AH532" s="25"/>
    </row>
    <row r="533" spans="2:34" hidden="1" outlineLevel="1" x14ac:dyDescent="0.2">
      <c r="B533" s="73" t="s">
        <v>386</v>
      </c>
      <c r="C533" s="7" t="s">
        <v>123</v>
      </c>
      <c r="D533" s="25"/>
      <c r="E533" s="25"/>
      <c r="F533" s="25"/>
      <c r="G533" s="25"/>
      <c r="H533" s="25"/>
      <c r="I533" s="25"/>
      <c r="J533" s="25"/>
      <c r="K533" s="25"/>
      <c r="L533" s="25"/>
      <c r="M533" s="25"/>
      <c r="N533" s="25"/>
      <c r="O533" s="25"/>
      <c r="P533" s="25"/>
      <c r="Q533" s="25">
        <f>Q509*Q527</f>
        <v>269.862921947107</v>
      </c>
      <c r="R533" s="25"/>
      <c r="S533" s="25"/>
      <c r="T533" s="25"/>
      <c r="U533" s="25"/>
      <c r="V533" s="25"/>
      <c r="W533" s="25"/>
      <c r="X533" s="25"/>
      <c r="Y533" s="25"/>
      <c r="Z533" s="25"/>
      <c r="AA533" s="25"/>
      <c r="AB533" s="25"/>
      <c r="AC533" s="25"/>
      <c r="AD533" s="25"/>
      <c r="AE533" s="25"/>
      <c r="AF533" s="25"/>
      <c r="AG533" s="25"/>
      <c r="AH533" s="25"/>
    </row>
    <row r="534" spans="2:34" hidden="1" outlineLevel="1" x14ac:dyDescent="0.2">
      <c r="B534" s="73" t="s">
        <v>133</v>
      </c>
      <c r="C534" s="7" t="s">
        <v>123</v>
      </c>
      <c r="D534" s="25"/>
      <c r="E534" s="25"/>
      <c r="F534" s="25"/>
      <c r="G534" s="25"/>
      <c r="H534" s="25"/>
      <c r="I534" s="25"/>
      <c r="J534" s="25"/>
      <c r="K534" s="25"/>
      <c r="L534" s="25"/>
      <c r="M534" s="25"/>
      <c r="N534" s="25"/>
      <c r="O534" s="25"/>
      <c r="P534" s="25"/>
      <c r="Q534" s="25">
        <f>Q510*Q528</f>
        <v>1134.4858562827196</v>
      </c>
      <c r="R534" s="25"/>
      <c r="S534" s="25"/>
      <c r="T534" s="25"/>
      <c r="U534" s="25"/>
      <c r="V534" s="25"/>
      <c r="W534" s="25"/>
      <c r="X534" s="25"/>
      <c r="Y534" s="25"/>
      <c r="Z534" s="25"/>
      <c r="AA534" s="25"/>
      <c r="AB534" s="25"/>
      <c r="AC534" s="25"/>
      <c r="AD534" s="25"/>
      <c r="AE534" s="25"/>
      <c r="AF534" s="25"/>
      <c r="AG534" s="25"/>
      <c r="AH534" s="25"/>
    </row>
    <row r="535" spans="2:34" hidden="1" outlineLevel="1" x14ac:dyDescent="0.2">
      <c r="C535" s="12"/>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row>
    <row r="536" spans="2:34" hidden="1" outlineLevel="1" x14ac:dyDescent="0.2">
      <c r="B536" s="21" t="s">
        <v>389</v>
      </c>
    </row>
    <row r="537" spans="2:34" hidden="1" outlineLevel="1" x14ac:dyDescent="0.2">
      <c r="B537" s="22" t="s">
        <v>385</v>
      </c>
      <c r="C537" s="7" t="s">
        <v>123</v>
      </c>
      <c r="D537" s="25"/>
      <c r="E537" s="25"/>
      <c r="F537" s="25"/>
      <c r="G537" s="25"/>
      <c r="H537" s="25"/>
      <c r="I537" s="25"/>
      <c r="J537" s="25"/>
      <c r="K537" s="25"/>
      <c r="L537" s="25"/>
      <c r="M537" s="25"/>
      <c r="N537" s="25"/>
      <c r="O537" s="25"/>
      <c r="P537" s="25"/>
      <c r="Q537" s="25">
        <f>Q501+Q531</f>
        <v>5140.9087569428066</v>
      </c>
      <c r="R537" s="25"/>
      <c r="S537" s="25"/>
      <c r="T537" s="25"/>
      <c r="U537" s="25"/>
      <c r="V537" s="25"/>
      <c r="W537" s="25"/>
      <c r="X537" s="25"/>
      <c r="Y537" s="25"/>
      <c r="Z537" s="25"/>
      <c r="AA537" s="25"/>
      <c r="AB537" s="25"/>
      <c r="AC537" s="25"/>
      <c r="AD537" s="25"/>
      <c r="AE537" s="25"/>
      <c r="AF537" s="25"/>
      <c r="AG537" s="25"/>
      <c r="AH537" s="25"/>
    </row>
    <row r="538" spans="2:34" hidden="1" outlineLevel="1" x14ac:dyDescent="0.2">
      <c r="B538" s="22" t="s">
        <v>132</v>
      </c>
      <c r="C538" s="7" t="s">
        <v>123</v>
      </c>
      <c r="D538" s="25"/>
      <c r="E538" s="25"/>
      <c r="F538" s="25"/>
      <c r="G538" s="25"/>
      <c r="H538" s="25"/>
      <c r="I538" s="25"/>
      <c r="J538" s="25"/>
      <c r="K538" s="25"/>
      <c r="L538" s="25"/>
      <c r="M538" s="25"/>
      <c r="N538" s="25"/>
      <c r="O538" s="25"/>
      <c r="P538" s="25"/>
      <c r="Q538" s="25">
        <f>Q502+Q532</f>
        <v>757.96570894587148</v>
      </c>
      <c r="R538" s="25"/>
      <c r="S538" s="25"/>
      <c r="T538" s="25"/>
      <c r="U538" s="25"/>
      <c r="V538" s="25"/>
      <c r="W538" s="25"/>
      <c r="X538" s="25"/>
      <c r="Y538" s="25"/>
      <c r="Z538" s="25"/>
      <c r="AA538" s="25"/>
      <c r="AB538" s="25"/>
      <c r="AC538" s="25"/>
      <c r="AD538" s="25"/>
      <c r="AE538" s="25"/>
      <c r="AF538" s="25"/>
      <c r="AG538" s="25"/>
      <c r="AH538" s="25"/>
    </row>
    <row r="539" spans="2:34" hidden="1" outlineLevel="1" x14ac:dyDescent="0.2">
      <c r="B539" s="22" t="s">
        <v>386</v>
      </c>
      <c r="C539" s="7" t="s">
        <v>123</v>
      </c>
      <c r="D539" s="25"/>
      <c r="E539" s="25"/>
      <c r="F539" s="25"/>
      <c r="G539" s="25"/>
      <c r="H539" s="25"/>
      <c r="I539" s="25"/>
      <c r="J539" s="25"/>
      <c r="K539" s="25"/>
      <c r="L539" s="25"/>
      <c r="M539" s="25"/>
      <c r="N539" s="25"/>
      <c r="O539" s="25"/>
      <c r="P539" s="25"/>
      <c r="Q539" s="25">
        <f>Q503+Q533</f>
        <v>1285.2429219471069</v>
      </c>
      <c r="R539" s="25"/>
      <c r="S539" s="25"/>
      <c r="T539" s="25"/>
      <c r="U539" s="25"/>
      <c r="V539" s="25"/>
      <c r="W539" s="25"/>
      <c r="X539" s="25"/>
      <c r="Y539" s="25"/>
      <c r="Z539" s="25"/>
      <c r="AA539" s="25"/>
      <c r="AB539" s="25"/>
      <c r="AC539" s="25"/>
      <c r="AD539" s="25"/>
      <c r="AE539" s="25"/>
      <c r="AF539" s="25"/>
      <c r="AG539" s="25"/>
      <c r="AH539" s="25"/>
    </row>
    <row r="540" spans="2:34" hidden="1" outlineLevel="1" x14ac:dyDescent="0.2">
      <c r="B540" s="22" t="s">
        <v>133</v>
      </c>
      <c r="C540" s="7" t="s">
        <v>123</v>
      </c>
      <c r="D540" s="25"/>
      <c r="E540" s="25"/>
      <c r="F540" s="25"/>
      <c r="G540" s="25"/>
      <c r="H540" s="25"/>
      <c r="I540" s="25"/>
      <c r="J540" s="25"/>
      <c r="K540" s="25"/>
      <c r="L540" s="25"/>
      <c r="M540" s="25"/>
      <c r="N540" s="25"/>
      <c r="O540" s="25"/>
      <c r="P540" s="25"/>
      <c r="Q540" s="25">
        <f>Q504+Q534</f>
        <v>2002.9158562827197</v>
      </c>
      <c r="R540" s="25"/>
      <c r="S540" s="25"/>
      <c r="T540" s="25"/>
      <c r="U540" s="25"/>
      <c r="V540" s="25"/>
      <c r="W540" s="25"/>
      <c r="X540" s="25"/>
      <c r="Y540" s="25"/>
      <c r="Z540" s="25"/>
      <c r="AA540" s="25"/>
      <c r="AB540" s="25"/>
      <c r="AC540" s="25"/>
      <c r="AD540" s="25"/>
      <c r="AE540" s="25"/>
      <c r="AF540" s="25"/>
      <c r="AG540" s="25"/>
      <c r="AH540" s="25"/>
    </row>
    <row r="541" spans="2:34" hidden="1" outlineLevel="1" x14ac:dyDescent="0.2">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row>
    <row r="542" spans="2:34" hidden="1" outlineLevel="1" x14ac:dyDescent="0.2">
      <c r="B542" s="21" t="s">
        <v>390</v>
      </c>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row>
    <row r="543" spans="2:34" hidden="1" outlineLevel="1" x14ac:dyDescent="0.2">
      <c r="B543" s="22" t="s">
        <v>385</v>
      </c>
      <c r="C543" s="7" t="s">
        <v>118</v>
      </c>
      <c r="D543" s="25"/>
      <c r="E543" s="25"/>
      <c r="F543" s="25"/>
      <c r="G543" s="25"/>
      <c r="H543" s="25"/>
      <c r="I543" s="25"/>
      <c r="J543" s="25"/>
      <c r="K543" s="25"/>
      <c r="L543" s="25"/>
      <c r="M543" s="25"/>
      <c r="N543" s="25"/>
      <c r="O543" s="25"/>
      <c r="P543" s="25"/>
      <c r="Q543" s="150">
        <v>1.4999999999999999E-2</v>
      </c>
      <c r="R543" s="25"/>
      <c r="S543" s="25"/>
      <c r="T543" s="25"/>
      <c r="U543" s="25"/>
      <c r="V543" s="25"/>
      <c r="W543" s="25"/>
      <c r="X543" s="25"/>
      <c r="Y543" s="25"/>
      <c r="Z543" s="25"/>
      <c r="AA543" s="25"/>
      <c r="AB543" s="25"/>
      <c r="AC543" s="25"/>
      <c r="AD543" s="25"/>
      <c r="AE543" s="25"/>
      <c r="AF543" s="25"/>
      <c r="AG543" s="25"/>
      <c r="AH543" s="25"/>
    </row>
    <row r="544" spans="2:34" hidden="1" outlineLevel="1" x14ac:dyDescent="0.2">
      <c r="B544" s="22" t="s">
        <v>132</v>
      </c>
      <c r="C544" s="7" t="s">
        <v>118</v>
      </c>
      <c r="D544" s="25"/>
      <c r="E544" s="25"/>
      <c r="F544" s="25"/>
      <c r="G544" s="25"/>
      <c r="H544" s="25"/>
      <c r="I544" s="25"/>
      <c r="J544" s="25"/>
      <c r="K544" s="25"/>
      <c r="L544" s="25"/>
      <c r="M544" s="25"/>
      <c r="N544" s="25"/>
      <c r="O544" s="25"/>
      <c r="P544" s="25"/>
      <c r="Q544" s="150">
        <v>1.4999999999999999E-2</v>
      </c>
      <c r="R544" s="25"/>
      <c r="S544" s="25"/>
      <c r="T544" s="25"/>
      <c r="U544" s="25"/>
      <c r="V544" s="25"/>
      <c r="W544" s="25"/>
      <c r="X544" s="25"/>
      <c r="Y544" s="25"/>
      <c r="Z544" s="25"/>
      <c r="AA544" s="25"/>
      <c r="AB544" s="25"/>
      <c r="AC544" s="25"/>
      <c r="AD544" s="25"/>
      <c r="AE544" s="25"/>
      <c r="AF544" s="25"/>
      <c r="AG544" s="25"/>
      <c r="AH544" s="25"/>
    </row>
    <row r="545" spans="2:34" hidden="1" outlineLevel="1" x14ac:dyDescent="0.2">
      <c r="B545" s="22" t="s">
        <v>386</v>
      </c>
      <c r="C545" s="7" t="s">
        <v>118</v>
      </c>
      <c r="D545" s="25"/>
      <c r="E545" s="25"/>
      <c r="F545" s="25"/>
      <c r="G545" s="25"/>
      <c r="H545" s="25"/>
      <c r="I545" s="25"/>
      <c r="J545" s="25"/>
      <c r="K545" s="25"/>
      <c r="L545" s="25"/>
      <c r="M545" s="25"/>
      <c r="N545" s="25"/>
      <c r="O545" s="25"/>
      <c r="P545" s="25"/>
      <c r="Q545" s="150">
        <v>1.4999999999999999E-2</v>
      </c>
      <c r="R545" s="25"/>
      <c r="S545" s="25"/>
      <c r="T545" s="25"/>
      <c r="U545" s="25"/>
      <c r="V545" s="25"/>
      <c r="W545" s="25"/>
      <c r="X545" s="25"/>
      <c r="Y545" s="25"/>
      <c r="Z545" s="25"/>
      <c r="AA545" s="25"/>
      <c r="AB545" s="25"/>
      <c r="AC545" s="25"/>
      <c r="AD545" s="25"/>
      <c r="AE545" s="25"/>
      <c r="AF545" s="25"/>
      <c r="AG545" s="25"/>
      <c r="AH545" s="25"/>
    </row>
    <row r="546" spans="2:34" hidden="1" outlineLevel="1" x14ac:dyDescent="0.2">
      <c r="B546" s="22" t="s">
        <v>133</v>
      </c>
      <c r="C546" s="7" t="s">
        <v>118</v>
      </c>
      <c r="D546" s="25"/>
      <c r="E546" s="25"/>
      <c r="F546" s="25"/>
      <c r="G546" s="25"/>
      <c r="H546" s="25"/>
      <c r="I546" s="25"/>
      <c r="J546" s="25"/>
      <c r="K546" s="25"/>
      <c r="L546" s="25"/>
      <c r="M546" s="25"/>
      <c r="N546" s="25"/>
      <c r="O546" s="25"/>
      <c r="P546" s="25"/>
      <c r="Q546" s="150"/>
      <c r="R546" s="25"/>
      <c r="S546" s="25"/>
      <c r="T546" s="25"/>
      <c r="U546" s="25"/>
      <c r="V546" s="25"/>
      <c r="W546" s="25"/>
      <c r="X546" s="25"/>
      <c r="Y546" s="25"/>
      <c r="Z546" s="25"/>
      <c r="AA546" s="25"/>
      <c r="AB546" s="25"/>
      <c r="AC546" s="25"/>
      <c r="AD546" s="25"/>
      <c r="AE546" s="25"/>
      <c r="AF546" s="25"/>
      <c r="AG546" s="25"/>
      <c r="AH546" s="25"/>
    </row>
    <row r="547" spans="2:34" hidden="1" outlineLevel="1" x14ac:dyDescent="0.2">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row>
    <row r="548" spans="2:34" hidden="1" outlineLevel="1" x14ac:dyDescent="0.2">
      <c r="B548" s="21" t="s">
        <v>391</v>
      </c>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row>
    <row r="549" spans="2:34" hidden="1" outlineLevel="1" x14ac:dyDescent="0.2">
      <c r="B549" s="22" t="s">
        <v>385</v>
      </c>
      <c r="C549" s="7" t="s">
        <v>123</v>
      </c>
      <c r="D549" s="25"/>
      <c r="E549" s="25"/>
      <c r="F549" s="25"/>
      <c r="G549" s="25"/>
      <c r="H549" s="25"/>
      <c r="I549" s="25"/>
      <c r="J549" s="25"/>
      <c r="K549" s="25"/>
      <c r="L549" s="25"/>
      <c r="M549" s="25"/>
      <c r="N549" s="25"/>
      <c r="O549" s="25"/>
      <c r="P549" s="25"/>
      <c r="Q549" s="151">
        <f>Q537*Q543</f>
        <v>77.1136313541421</v>
      </c>
      <c r="R549" s="25"/>
      <c r="S549" s="25"/>
      <c r="T549" s="25"/>
      <c r="U549" s="25"/>
      <c r="V549" s="25"/>
      <c r="W549" s="25"/>
      <c r="X549" s="25"/>
      <c r="Y549" s="25"/>
      <c r="Z549" s="25"/>
      <c r="AA549" s="25"/>
      <c r="AB549" s="25"/>
      <c r="AC549" s="25"/>
      <c r="AD549" s="25"/>
      <c r="AE549" s="25"/>
      <c r="AF549" s="25"/>
      <c r="AG549" s="25"/>
      <c r="AH549" s="25"/>
    </row>
    <row r="550" spans="2:34" hidden="1" outlineLevel="1" x14ac:dyDescent="0.2">
      <c r="B550" s="22" t="s">
        <v>132</v>
      </c>
      <c r="C550" s="7" t="s">
        <v>123</v>
      </c>
      <c r="D550" s="25"/>
      <c r="E550" s="25"/>
      <c r="F550" s="25"/>
      <c r="G550" s="25"/>
      <c r="H550" s="25"/>
      <c r="I550" s="25"/>
      <c r="J550" s="25"/>
      <c r="K550" s="25"/>
      <c r="L550" s="25"/>
      <c r="M550" s="25"/>
      <c r="N550" s="25"/>
      <c r="O550" s="25"/>
      <c r="P550" s="25"/>
      <c r="Q550" s="151">
        <f>Q538*Q544</f>
        <v>11.369485634188072</v>
      </c>
      <c r="R550" s="25"/>
      <c r="S550" s="25"/>
      <c r="T550" s="25"/>
      <c r="U550" s="25"/>
      <c r="V550" s="25"/>
      <c r="W550" s="25"/>
      <c r="X550" s="25"/>
      <c r="Y550" s="25"/>
      <c r="Z550" s="25"/>
      <c r="AA550" s="25"/>
      <c r="AB550" s="25"/>
      <c r="AC550" s="25"/>
      <c r="AD550" s="25"/>
      <c r="AE550" s="25"/>
      <c r="AF550" s="25"/>
      <c r="AG550" s="25"/>
      <c r="AH550" s="25"/>
    </row>
    <row r="551" spans="2:34" hidden="1" outlineLevel="1" x14ac:dyDescent="0.2">
      <c r="B551" s="22" t="s">
        <v>386</v>
      </c>
      <c r="C551" s="7" t="s">
        <v>123</v>
      </c>
      <c r="D551" s="25"/>
      <c r="E551" s="25"/>
      <c r="F551" s="25"/>
      <c r="G551" s="25"/>
      <c r="H551" s="25"/>
      <c r="I551" s="25"/>
      <c r="J551" s="25"/>
      <c r="K551" s="25"/>
      <c r="L551" s="25"/>
      <c r="M551" s="25"/>
      <c r="N551" s="25"/>
      <c r="O551" s="25"/>
      <c r="P551" s="25"/>
      <c r="Q551" s="151">
        <f>Q539*Q545</f>
        <v>19.278643829206601</v>
      </c>
      <c r="R551" s="25"/>
      <c r="S551" s="25"/>
      <c r="T551" s="25"/>
      <c r="U551" s="25"/>
      <c r="V551" s="25"/>
      <c r="W551" s="25"/>
      <c r="X551" s="25"/>
      <c r="Y551" s="25"/>
      <c r="Z551" s="25"/>
      <c r="AA551" s="25"/>
      <c r="AB551" s="25"/>
      <c r="AC551" s="25"/>
      <c r="AD551" s="25"/>
      <c r="AE551" s="25"/>
      <c r="AF551" s="25"/>
      <c r="AG551" s="25"/>
      <c r="AH551" s="25"/>
    </row>
    <row r="552" spans="2:34" hidden="1" outlineLevel="1" x14ac:dyDescent="0.2">
      <c r="B552" s="22" t="s">
        <v>133</v>
      </c>
      <c r="C552" s="7" t="s">
        <v>123</v>
      </c>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row>
    <row r="553" spans="2:34" hidden="1" outlineLevel="1" x14ac:dyDescent="0.2">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row>
    <row r="554" spans="2:34" hidden="1" outlineLevel="1" x14ac:dyDescent="0.2">
      <c r="B554" s="21" t="s">
        <v>395</v>
      </c>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row>
    <row r="555" spans="2:34" hidden="1" outlineLevel="1" x14ac:dyDescent="0.2">
      <c r="B555" s="22" t="s">
        <v>385</v>
      </c>
      <c r="C555" s="7" t="s">
        <v>123</v>
      </c>
      <c r="D555" s="25"/>
      <c r="E555" s="25"/>
      <c r="F555" s="25"/>
      <c r="G555" s="25"/>
      <c r="H555" s="25"/>
      <c r="I555" s="25"/>
      <c r="J555" s="25"/>
      <c r="K555" s="25"/>
      <c r="L555" s="25"/>
      <c r="M555" s="25"/>
      <c r="N555" s="25"/>
      <c r="O555" s="25"/>
      <c r="P555" s="25"/>
      <c r="Q555" s="151">
        <f>Q501*Q543</f>
        <v>57.429450000000003</v>
      </c>
      <c r="R555" s="25"/>
      <c r="S555" s="25"/>
      <c r="T555" s="25"/>
      <c r="U555" s="25"/>
      <c r="V555" s="25"/>
      <c r="W555" s="25"/>
      <c r="X555" s="25"/>
      <c r="Y555" s="25"/>
      <c r="Z555" s="25"/>
      <c r="AA555" s="25"/>
      <c r="AB555" s="25"/>
      <c r="AC555" s="25"/>
      <c r="AD555" s="25"/>
      <c r="AE555" s="25"/>
      <c r="AF555" s="25"/>
      <c r="AG555" s="25"/>
      <c r="AH555" s="25"/>
    </row>
    <row r="556" spans="2:34" hidden="1" outlineLevel="1" x14ac:dyDescent="0.2">
      <c r="B556" s="22" t="s">
        <v>132</v>
      </c>
      <c r="C556" s="7" t="s">
        <v>123</v>
      </c>
      <c r="D556" s="25"/>
      <c r="E556" s="25"/>
      <c r="F556" s="25"/>
      <c r="G556" s="25"/>
      <c r="H556" s="25"/>
      <c r="I556" s="25"/>
      <c r="J556" s="25"/>
      <c r="K556" s="25"/>
      <c r="L556" s="25"/>
      <c r="M556" s="25"/>
      <c r="N556" s="25"/>
      <c r="O556" s="25"/>
      <c r="P556" s="25"/>
      <c r="Q556" s="151">
        <f>Q502*Q544</f>
        <v>9.01065</v>
      </c>
      <c r="R556" s="25"/>
      <c r="S556" s="25"/>
      <c r="T556" s="25"/>
      <c r="U556" s="25"/>
      <c r="V556" s="25"/>
      <c r="W556" s="25"/>
      <c r="X556" s="25"/>
      <c r="Y556" s="25"/>
      <c r="Z556" s="25"/>
      <c r="AA556" s="25"/>
      <c r="AB556" s="25"/>
      <c r="AC556" s="25"/>
      <c r="AD556" s="25"/>
      <c r="AE556" s="25"/>
      <c r="AF556" s="25"/>
      <c r="AG556" s="25"/>
      <c r="AH556" s="25"/>
    </row>
    <row r="557" spans="2:34" hidden="1" outlineLevel="1" x14ac:dyDescent="0.2">
      <c r="B557" s="22" t="s">
        <v>386</v>
      </c>
      <c r="C557" s="7" t="s">
        <v>123</v>
      </c>
      <c r="D557" s="25"/>
      <c r="E557" s="25"/>
      <c r="F557" s="25"/>
      <c r="G557" s="25"/>
      <c r="H557" s="25"/>
      <c r="I557" s="25"/>
      <c r="J557" s="25"/>
      <c r="K557" s="25"/>
      <c r="L557" s="25"/>
      <c r="M557" s="25"/>
      <c r="N557" s="25"/>
      <c r="O557" s="25"/>
      <c r="P557" s="25"/>
      <c r="Q557" s="151">
        <f>Q503*Q545</f>
        <v>15.230699999999999</v>
      </c>
      <c r="R557" s="25"/>
      <c r="S557" s="25"/>
      <c r="T557" s="25"/>
      <c r="U557" s="25"/>
      <c r="V557" s="25"/>
      <c r="W557" s="25"/>
      <c r="X557" s="25"/>
      <c r="Y557" s="25"/>
      <c r="Z557" s="25"/>
      <c r="AA557" s="25"/>
      <c r="AB557" s="25"/>
      <c r="AC557" s="25"/>
      <c r="AD557" s="25"/>
      <c r="AE557" s="25"/>
      <c r="AF557" s="25"/>
      <c r="AG557" s="25"/>
      <c r="AH557" s="25"/>
    </row>
    <row r="558" spans="2:34" hidden="1" outlineLevel="1" x14ac:dyDescent="0.2">
      <c r="B558" s="22" t="s">
        <v>133</v>
      </c>
      <c r="C558" s="7" t="s">
        <v>123</v>
      </c>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row>
    <row r="559" spans="2:34" hidden="1" outlineLevel="1" x14ac:dyDescent="0.2"/>
    <row r="560" spans="2:34" hidden="1" outlineLevel="1" x14ac:dyDescent="0.2"/>
    <row r="561" spans="2:17" hidden="1" outlineLevel="1" x14ac:dyDescent="0.2"/>
    <row r="562" spans="2:17" hidden="1" outlineLevel="1" x14ac:dyDescent="0.2">
      <c r="B562" s="20" t="s">
        <v>396</v>
      </c>
    </row>
    <row r="563" spans="2:17" hidden="1" outlineLevel="1" x14ac:dyDescent="0.2"/>
    <row r="564" spans="2:17" hidden="1" outlineLevel="1" x14ac:dyDescent="0.2">
      <c r="B564" s="152" t="s">
        <v>183</v>
      </c>
    </row>
    <row r="565" spans="2:17" hidden="1" outlineLevel="1" x14ac:dyDescent="0.2">
      <c r="B565" s="73" t="s">
        <v>385</v>
      </c>
      <c r="C565" s="7" t="s">
        <v>123</v>
      </c>
      <c r="Q565" s="25">
        <f>Q300+Q299</f>
        <v>2033.54</v>
      </c>
    </row>
    <row r="566" spans="2:17" hidden="1" outlineLevel="1" x14ac:dyDescent="0.2">
      <c r="B566" s="73" t="s">
        <v>132</v>
      </c>
      <c r="C566" s="7" t="s">
        <v>123</v>
      </c>
      <c r="Q566" s="25">
        <f>Q315+Q316</f>
        <v>363.28</v>
      </c>
    </row>
    <row r="567" spans="2:17" hidden="1" outlineLevel="1" x14ac:dyDescent="0.2">
      <c r="B567" s="73" t="s">
        <v>386</v>
      </c>
      <c r="C567" s="7" t="s">
        <v>123</v>
      </c>
      <c r="Q567" s="25">
        <f>Q331+Q332</f>
        <v>657.55</v>
      </c>
    </row>
    <row r="568" spans="2:17" hidden="1" outlineLevel="1" x14ac:dyDescent="0.2">
      <c r="B568" s="73" t="s">
        <v>133</v>
      </c>
      <c r="C568" s="7" t="s">
        <v>123</v>
      </c>
      <c r="Q568" s="25">
        <f>Q347</f>
        <v>431.42</v>
      </c>
    </row>
    <row r="569" spans="2:17" hidden="1" outlineLevel="1" x14ac:dyDescent="0.2">
      <c r="B569" s="18"/>
      <c r="C569" s="12"/>
    </row>
    <row r="570" spans="2:17" hidden="1" outlineLevel="2" x14ac:dyDescent="0.2">
      <c r="B570" s="154" t="s">
        <v>382</v>
      </c>
    </row>
    <row r="571" spans="2:17" hidden="1" outlineLevel="2" x14ac:dyDescent="0.2">
      <c r="B571" s="148" t="s">
        <v>385</v>
      </c>
      <c r="C571" s="7" t="s">
        <v>123</v>
      </c>
      <c r="Q571" s="25"/>
    </row>
    <row r="572" spans="2:17" hidden="1" outlineLevel="2" x14ac:dyDescent="0.2">
      <c r="B572" s="148" t="s">
        <v>132</v>
      </c>
      <c r="C572" s="7" t="s">
        <v>123</v>
      </c>
      <c r="Q572" s="25"/>
    </row>
    <row r="573" spans="2:17" hidden="1" outlineLevel="2" x14ac:dyDescent="0.2">
      <c r="B573" s="148" t="s">
        <v>386</v>
      </c>
      <c r="C573" s="7" t="s">
        <v>123</v>
      </c>
      <c r="Q573" s="25"/>
    </row>
    <row r="574" spans="2:17" hidden="1" outlineLevel="2" x14ac:dyDescent="0.2">
      <c r="B574" s="148" t="s">
        <v>133</v>
      </c>
      <c r="C574" s="7" t="s">
        <v>123</v>
      </c>
      <c r="Q574" s="25"/>
    </row>
    <row r="575" spans="2:17" hidden="1" outlineLevel="2" x14ac:dyDescent="0.2">
      <c r="B575" s="85"/>
      <c r="C575" s="12"/>
    </row>
    <row r="576" spans="2:17" hidden="1" outlineLevel="2" x14ac:dyDescent="0.2">
      <c r="B576" s="154" t="s">
        <v>383</v>
      </c>
    </row>
    <row r="577" spans="2:17" hidden="1" outlineLevel="2" x14ac:dyDescent="0.2">
      <c r="B577" s="148" t="s">
        <v>385</v>
      </c>
      <c r="C577" s="7" t="s">
        <v>123</v>
      </c>
      <c r="Q577" s="25"/>
    </row>
    <row r="578" spans="2:17" hidden="1" outlineLevel="2" x14ac:dyDescent="0.2">
      <c r="B578" s="148" t="s">
        <v>132</v>
      </c>
      <c r="C578" s="7" t="s">
        <v>123</v>
      </c>
      <c r="Q578" s="25"/>
    </row>
    <row r="579" spans="2:17" hidden="1" outlineLevel="2" x14ac:dyDescent="0.2">
      <c r="B579" s="148" t="s">
        <v>386</v>
      </c>
      <c r="C579" s="7" t="s">
        <v>123</v>
      </c>
      <c r="Q579" s="25"/>
    </row>
    <row r="580" spans="2:17" hidden="1" outlineLevel="2" x14ac:dyDescent="0.2">
      <c r="B580" s="148" t="s">
        <v>133</v>
      </c>
      <c r="C580" s="7" t="s">
        <v>123</v>
      </c>
      <c r="Q580" s="25"/>
    </row>
    <row r="581" spans="2:17" hidden="1" outlineLevel="2" x14ac:dyDescent="0.2">
      <c r="B581" s="22"/>
      <c r="C581" s="12"/>
    </row>
    <row r="582" spans="2:17" hidden="1" outlineLevel="2" x14ac:dyDescent="0.2">
      <c r="B582" s="153" t="s">
        <v>384</v>
      </c>
    </row>
    <row r="583" spans="2:17" hidden="1" outlineLevel="2" x14ac:dyDescent="0.2">
      <c r="B583" s="85" t="s">
        <v>385</v>
      </c>
      <c r="C583" s="7" t="s">
        <v>123</v>
      </c>
      <c r="Q583" s="25"/>
    </row>
    <row r="584" spans="2:17" hidden="1" outlineLevel="2" x14ac:dyDescent="0.2">
      <c r="B584" s="85" t="s">
        <v>132</v>
      </c>
      <c r="C584" s="7" t="s">
        <v>123</v>
      </c>
      <c r="Q584" s="25"/>
    </row>
    <row r="585" spans="2:17" hidden="1" outlineLevel="2" x14ac:dyDescent="0.2">
      <c r="B585" s="85" t="s">
        <v>386</v>
      </c>
      <c r="C585" s="7" t="s">
        <v>123</v>
      </c>
      <c r="Q585" s="25"/>
    </row>
    <row r="586" spans="2:17" hidden="1" outlineLevel="2" x14ac:dyDescent="0.2">
      <c r="B586" s="85" t="s">
        <v>133</v>
      </c>
      <c r="C586" s="7" t="s">
        <v>123</v>
      </c>
      <c r="Q586" s="25"/>
    </row>
    <row r="587" spans="2:17" hidden="1" outlineLevel="2" x14ac:dyDescent="0.2">
      <c r="B587" s="22"/>
      <c r="C587" s="12"/>
    </row>
    <row r="588" spans="2:17" hidden="1" outlineLevel="2" x14ac:dyDescent="0.2">
      <c r="B588" s="153" t="s">
        <v>387</v>
      </c>
    </row>
    <row r="589" spans="2:17" hidden="1" outlineLevel="2" x14ac:dyDescent="0.2">
      <c r="B589" s="85" t="s">
        <v>385</v>
      </c>
      <c r="C589" s="7" t="s">
        <v>123</v>
      </c>
      <c r="Q589" s="26"/>
    </row>
    <row r="590" spans="2:17" hidden="1" outlineLevel="2" x14ac:dyDescent="0.2">
      <c r="B590" s="85" t="s">
        <v>132</v>
      </c>
      <c r="C590" s="7" t="s">
        <v>123</v>
      </c>
      <c r="Q590" s="26"/>
    </row>
    <row r="591" spans="2:17" hidden="1" outlineLevel="2" x14ac:dyDescent="0.2">
      <c r="B591" s="85" t="s">
        <v>386</v>
      </c>
      <c r="C591" s="7" t="s">
        <v>123</v>
      </c>
      <c r="Q591" s="26"/>
    </row>
    <row r="592" spans="2:17" hidden="1" outlineLevel="2" x14ac:dyDescent="0.2">
      <c r="B592" s="85" t="s">
        <v>133</v>
      </c>
      <c r="C592" s="7" t="s">
        <v>123</v>
      </c>
      <c r="Q592" s="26"/>
    </row>
    <row r="593" spans="2:34" hidden="1" outlineLevel="2" x14ac:dyDescent="0.2">
      <c r="B593" s="18"/>
      <c r="C593" s="12"/>
    </row>
    <row r="594" spans="2:34" hidden="1" outlineLevel="2" x14ac:dyDescent="0.2">
      <c r="B594" s="152" t="s">
        <v>388</v>
      </c>
    </row>
    <row r="595" spans="2:34" hidden="1" outlineLevel="2" x14ac:dyDescent="0.2">
      <c r="B595" s="73" t="s">
        <v>385</v>
      </c>
      <c r="C595" s="7" t="s">
        <v>123</v>
      </c>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row>
    <row r="596" spans="2:34" hidden="1" outlineLevel="2" x14ac:dyDescent="0.2">
      <c r="B596" s="73" t="s">
        <v>132</v>
      </c>
      <c r="C596" s="7" t="s">
        <v>123</v>
      </c>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row>
    <row r="597" spans="2:34" hidden="1" outlineLevel="2" x14ac:dyDescent="0.2">
      <c r="B597" s="73" t="s">
        <v>386</v>
      </c>
      <c r="C597" s="7" t="s">
        <v>123</v>
      </c>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row>
    <row r="598" spans="2:34" hidden="1" outlineLevel="2" x14ac:dyDescent="0.2">
      <c r="B598" s="73" t="s">
        <v>133</v>
      </c>
      <c r="C598" s="7" t="s">
        <v>123</v>
      </c>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row>
    <row r="599" spans="2:34" hidden="1" outlineLevel="2" x14ac:dyDescent="0.2">
      <c r="C599" s="12"/>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row>
    <row r="600" spans="2:34" hidden="1" outlineLevel="2" x14ac:dyDescent="0.2">
      <c r="B600" s="21" t="s">
        <v>389</v>
      </c>
    </row>
    <row r="601" spans="2:34" hidden="1" outlineLevel="2" x14ac:dyDescent="0.2">
      <c r="B601" s="22" t="s">
        <v>385</v>
      </c>
      <c r="C601" s="7" t="s">
        <v>123</v>
      </c>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row>
    <row r="602" spans="2:34" hidden="1" outlineLevel="2" x14ac:dyDescent="0.2">
      <c r="B602" s="22" t="s">
        <v>132</v>
      </c>
      <c r="C602" s="7" t="s">
        <v>123</v>
      </c>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row>
    <row r="603" spans="2:34" hidden="1" outlineLevel="2" x14ac:dyDescent="0.2">
      <c r="B603" s="22" t="s">
        <v>386</v>
      </c>
      <c r="C603" s="7" t="s">
        <v>123</v>
      </c>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row>
    <row r="604" spans="2:34" hidden="1" outlineLevel="2" x14ac:dyDescent="0.2">
      <c r="B604" s="22" t="s">
        <v>133</v>
      </c>
      <c r="C604" s="7" t="s">
        <v>123</v>
      </c>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row>
    <row r="605" spans="2:34" hidden="1" outlineLevel="1" collapsed="1" x14ac:dyDescent="0.2">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row>
    <row r="606" spans="2:34" hidden="1" outlineLevel="1" x14ac:dyDescent="0.2">
      <c r="B606" s="21" t="s">
        <v>390</v>
      </c>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row>
    <row r="607" spans="2:34" hidden="1" outlineLevel="1" x14ac:dyDescent="0.2">
      <c r="B607" s="22" t="s">
        <v>385</v>
      </c>
      <c r="C607" s="7" t="s">
        <v>118</v>
      </c>
      <c r="D607" s="25"/>
      <c r="E607" s="25"/>
      <c r="F607" s="25"/>
      <c r="G607" s="25"/>
      <c r="H607" s="25"/>
      <c r="I607" s="25"/>
      <c r="J607" s="25"/>
      <c r="K607" s="25"/>
      <c r="L607" s="25"/>
      <c r="M607" s="25"/>
      <c r="N607" s="25"/>
      <c r="O607" s="25"/>
      <c r="P607" s="25"/>
      <c r="Q607" s="150">
        <v>1.7500000000000002E-2</v>
      </c>
      <c r="R607" s="25"/>
      <c r="S607" s="25"/>
      <c r="T607" s="25"/>
      <c r="U607" s="25"/>
      <c r="V607" s="25"/>
      <c r="W607" s="25"/>
      <c r="X607" s="25"/>
      <c r="Y607" s="25"/>
      <c r="Z607" s="25"/>
      <c r="AA607" s="25"/>
      <c r="AB607" s="25"/>
      <c r="AC607" s="25"/>
      <c r="AD607" s="25"/>
      <c r="AE607" s="25"/>
      <c r="AF607" s="25"/>
      <c r="AG607" s="25"/>
      <c r="AH607" s="25"/>
    </row>
    <row r="608" spans="2:34" hidden="1" outlineLevel="1" x14ac:dyDescent="0.2">
      <c r="B608" s="22" t="s">
        <v>132</v>
      </c>
      <c r="C608" s="7" t="s">
        <v>118</v>
      </c>
      <c r="D608" s="25"/>
      <c r="E608" s="25"/>
      <c r="F608" s="25"/>
      <c r="G608" s="25"/>
      <c r="H608" s="25"/>
      <c r="I608" s="25"/>
      <c r="J608" s="25"/>
      <c r="K608" s="25"/>
      <c r="L608" s="25"/>
      <c r="M608" s="25"/>
      <c r="N608" s="25"/>
      <c r="O608" s="25"/>
      <c r="P608" s="25"/>
      <c r="Q608" s="150">
        <v>1.7500000000000002E-2</v>
      </c>
      <c r="R608" s="25"/>
      <c r="S608" s="25"/>
      <c r="T608" s="25"/>
      <c r="U608" s="25"/>
      <c r="V608" s="25"/>
      <c r="W608" s="25"/>
      <c r="X608" s="25"/>
      <c r="Y608" s="25"/>
      <c r="Z608" s="25"/>
      <c r="AA608" s="25"/>
      <c r="AB608" s="25"/>
      <c r="AC608" s="25"/>
      <c r="AD608" s="25"/>
      <c r="AE608" s="25"/>
      <c r="AF608" s="25"/>
      <c r="AG608" s="25"/>
      <c r="AH608" s="25"/>
    </row>
    <row r="609" spans="2:34" hidden="1" outlineLevel="1" x14ac:dyDescent="0.2">
      <c r="B609" s="22" t="s">
        <v>386</v>
      </c>
      <c r="C609" s="7" t="s">
        <v>118</v>
      </c>
      <c r="D609" s="25"/>
      <c r="E609" s="25"/>
      <c r="F609" s="25"/>
      <c r="G609" s="25"/>
      <c r="H609" s="25"/>
      <c r="I609" s="25"/>
      <c r="J609" s="25"/>
      <c r="K609" s="25"/>
      <c r="L609" s="25"/>
      <c r="M609" s="25"/>
      <c r="N609" s="25"/>
      <c r="O609" s="25"/>
      <c r="P609" s="25"/>
      <c r="Q609" s="150">
        <v>1.7500000000000002E-2</v>
      </c>
      <c r="R609" s="25"/>
      <c r="S609" s="25"/>
      <c r="T609" s="25"/>
      <c r="U609" s="25"/>
      <c r="V609" s="25"/>
      <c r="W609" s="25"/>
      <c r="X609" s="25"/>
      <c r="Y609" s="25"/>
      <c r="Z609" s="25"/>
      <c r="AA609" s="25"/>
      <c r="AB609" s="25"/>
      <c r="AC609" s="25"/>
      <c r="AD609" s="25"/>
      <c r="AE609" s="25"/>
      <c r="AF609" s="25"/>
      <c r="AG609" s="25"/>
      <c r="AH609" s="25"/>
    </row>
    <row r="610" spans="2:34" hidden="1" outlineLevel="1" x14ac:dyDescent="0.2">
      <c r="B610" s="22" t="s">
        <v>133</v>
      </c>
      <c r="C610" s="7" t="s">
        <v>118</v>
      </c>
      <c r="D610" s="25"/>
      <c r="E610" s="25"/>
      <c r="F610" s="25"/>
      <c r="G610" s="25"/>
      <c r="H610" s="25"/>
      <c r="I610" s="25"/>
      <c r="J610" s="25"/>
      <c r="K610" s="25"/>
      <c r="L610" s="25"/>
      <c r="M610" s="25"/>
      <c r="N610" s="25"/>
      <c r="O610" s="25"/>
      <c r="P610" s="25"/>
      <c r="Q610" s="150"/>
      <c r="R610" s="25"/>
      <c r="S610" s="25"/>
      <c r="T610" s="25"/>
      <c r="U610" s="25"/>
      <c r="V610" s="25"/>
      <c r="W610" s="25"/>
      <c r="X610" s="25"/>
      <c r="Y610" s="25"/>
      <c r="Z610" s="25"/>
      <c r="AA610" s="25"/>
      <c r="AB610" s="25"/>
      <c r="AC610" s="25"/>
      <c r="AD610" s="25"/>
      <c r="AE610" s="25"/>
      <c r="AF610" s="25"/>
      <c r="AG610" s="25"/>
      <c r="AH610" s="25"/>
    </row>
    <row r="611" spans="2:34" hidden="1" outlineLevel="1" x14ac:dyDescent="0.2">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row>
    <row r="612" spans="2:34" hidden="1" outlineLevel="1" x14ac:dyDescent="0.2">
      <c r="B612" s="21" t="s">
        <v>391</v>
      </c>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row>
    <row r="613" spans="2:34" hidden="1" outlineLevel="1" x14ac:dyDescent="0.2">
      <c r="B613" s="22" t="s">
        <v>385</v>
      </c>
      <c r="C613" s="7" t="s">
        <v>123</v>
      </c>
      <c r="D613" s="25"/>
      <c r="E613" s="25"/>
      <c r="F613" s="25"/>
      <c r="G613" s="25"/>
      <c r="H613" s="25"/>
      <c r="I613" s="25"/>
      <c r="J613" s="25"/>
      <c r="K613" s="25"/>
      <c r="L613" s="25"/>
      <c r="M613" s="25"/>
      <c r="N613" s="25"/>
      <c r="O613" s="25"/>
      <c r="P613" s="25"/>
      <c r="Q613" s="151"/>
      <c r="R613" s="25"/>
      <c r="S613" s="25"/>
      <c r="T613" s="25"/>
      <c r="U613" s="25"/>
      <c r="V613" s="25"/>
      <c r="W613" s="25"/>
      <c r="X613" s="25"/>
      <c r="Y613" s="25"/>
      <c r="Z613" s="25"/>
      <c r="AA613" s="25"/>
      <c r="AB613" s="25"/>
      <c r="AC613" s="25"/>
      <c r="AD613" s="25"/>
      <c r="AE613" s="25"/>
      <c r="AF613" s="25"/>
      <c r="AG613" s="25"/>
      <c r="AH613" s="25"/>
    </row>
    <row r="614" spans="2:34" hidden="1" outlineLevel="1" x14ac:dyDescent="0.2">
      <c r="B614" s="22" t="s">
        <v>132</v>
      </c>
      <c r="C614" s="7" t="s">
        <v>123</v>
      </c>
      <c r="D614" s="25"/>
      <c r="E614" s="25"/>
      <c r="F614" s="25"/>
      <c r="G614" s="25"/>
      <c r="H614" s="25"/>
      <c r="I614" s="25"/>
      <c r="J614" s="25"/>
      <c r="K614" s="25"/>
      <c r="L614" s="25"/>
      <c r="M614" s="25"/>
      <c r="N614" s="25"/>
      <c r="O614" s="25"/>
      <c r="P614" s="25"/>
      <c r="Q614" s="151"/>
      <c r="R614" s="25"/>
      <c r="S614" s="25"/>
      <c r="T614" s="25"/>
      <c r="U614" s="25"/>
      <c r="V614" s="25"/>
      <c r="W614" s="25"/>
      <c r="X614" s="25"/>
      <c r="Y614" s="25"/>
      <c r="Z614" s="25"/>
      <c r="AA614" s="25"/>
      <c r="AB614" s="25"/>
      <c r="AC614" s="25"/>
      <c r="AD614" s="25"/>
      <c r="AE614" s="25"/>
      <c r="AF614" s="25"/>
      <c r="AG614" s="25"/>
      <c r="AH614" s="25"/>
    </row>
    <row r="615" spans="2:34" hidden="1" outlineLevel="1" x14ac:dyDescent="0.2">
      <c r="B615" s="22" t="s">
        <v>386</v>
      </c>
      <c r="C615" s="7" t="s">
        <v>123</v>
      </c>
      <c r="D615" s="25"/>
      <c r="E615" s="25"/>
      <c r="F615" s="25"/>
      <c r="G615" s="25"/>
      <c r="H615" s="25"/>
      <c r="I615" s="25"/>
      <c r="J615" s="25"/>
      <c r="K615" s="25"/>
      <c r="L615" s="25"/>
      <c r="M615" s="25"/>
      <c r="N615" s="25"/>
      <c r="O615" s="25"/>
      <c r="P615" s="25"/>
      <c r="Q615" s="151"/>
      <c r="R615" s="25"/>
      <c r="S615" s="25"/>
      <c r="T615" s="25"/>
      <c r="U615" s="25"/>
      <c r="V615" s="25"/>
      <c r="W615" s="25"/>
      <c r="X615" s="25"/>
      <c r="Y615" s="25"/>
      <c r="Z615" s="25"/>
      <c r="AA615" s="25"/>
      <c r="AB615" s="25"/>
      <c r="AC615" s="25"/>
      <c r="AD615" s="25"/>
      <c r="AE615" s="25"/>
      <c r="AF615" s="25"/>
      <c r="AG615" s="25"/>
      <c r="AH615" s="25"/>
    </row>
    <row r="616" spans="2:34" hidden="1" outlineLevel="1" x14ac:dyDescent="0.2">
      <c r="B616" s="22" t="s">
        <v>133</v>
      </c>
      <c r="C616" s="7" t="s">
        <v>123</v>
      </c>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row>
    <row r="617" spans="2:34" hidden="1" outlineLevel="1" x14ac:dyDescent="0.2">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row>
    <row r="618" spans="2:34" hidden="1" outlineLevel="1" x14ac:dyDescent="0.2">
      <c r="B618" s="21" t="s">
        <v>397</v>
      </c>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row>
    <row r="619" spans="2:34" hidden="1" outlineLevel="1" x14ac:dyDescent="0.2">
      <c r="B619" s="22" t="s">
        <v>385</v>
      </c>
      <c r="C619" s="7" t="s">
        <v>123</v>
      </c>
      <c r="D619" s="25"/>
      <c r="E619" s="25"/>
      <c r="F619" s="25"/>
      <c r="G619" s="25"/>
      <c r="H619" s="25"/>
      <c r="I619" s="25"/>
      <c r="J619" s="25"/>
      <c r="K619" s="25"/>
      <c r="L619" s="25"/>
      <c r="M619" s="25"/>
      <c r="N619" s="25"/>
      <c r="O619" s="25"/>
      <c r="P619" s="25"/>
      <c r="Q619" s="151">
        <f>Q565*Q607</f>
        <v>35.586950000000002</v>
      </c>
      <c r="R619" s="25"/>
      <c r="S619" s="25"/>
      <c r="T619" s="25"/>
      <c r="U619" s="25"/>
      <c r="V619" s="25"/>
      <c r="W619" s="25"/>
      <c r="X619" s="25"/>
      <c r="Y619" s="25"/>
      <c r="Z619" s="25"/>
      <c r="AA619" s="25"/>
      <c r="AB619" s="25"/>
      <c r="AC619" s="25"/>
      <c r="AD619" s="25"/>
      <c r="AE619" s="25"/>
      <c r="AF619" s="25"/>
      <c r="AG619" s="25"/>
      <c r="AH619" s="25"/>
    </row>
    <row r="620" spans="2:34" hidden="1" outlineLevel="1" x14ac:dyDescent="0.2">
      <c r="B620" s="22" t="s">
        <v>132</v>
      </c>
      <c r="C620" s="7" t="s">
        <v>123</v>
      </c>
      <c r="D620" s="25"/>
      <c r="E620" s="25"/>
      <c r="F620" s="25"/>
      <c r="G620" s="25"/>
      <c r="H620" s="25"/>
      <c r="I620" s="25"/>
      <c r="J620" s="25"/>
      <c r="K620" s="25"/>
      <c r="L620" s="25"/>
      <c r="M620" s="25"/>
      <c r="N620" s="25"/>
      <c r="O620" s="25"/>
      <c r="P620" s="25"/>
      <c r="Q620" s="151">
        <f>Q566*Q608</f>
        <v>6.3574000000000002</v>
      </c>
      <c r="R620" s="25"/>
      <c r="S620" s="25"/>
      <c r="T620" s="25"/>
      <c r="U620" s="25"/>
      <c r="V620" s="25"/>
      <c r="W620" s="25"/>
      <c r="X620" s="25"/>
      <c r="Y620" s="25"/>
      <c r="Z620" s="25"/>
      <c r="AA620" s="25"/>
      <c r="AB620" s="25"/>
      <c r="AC620" s="25"/>
      <c r="AD620" s="25"/>
      <c r="AE620" s="25"/>
      <c r="AF620" s="25"/>
      <c r="AG620" s="25"/>
      <c r="AH620" s="25"/>
    </row>
    <row r="621" spans="2:34" hidden="1" outlineLevel="1" x14ac:dyDescent="0.2">
      <c r="B621" s="22" t="s">
        <v>386</v>
      </c>
      <c r="C621" s="7" t="s">
        <v>123</v>
      </c>
      <c r="D621" s="25"/>
      <c r="E621" s="25"/>
      <c r="F621" s="25"/>
      <c r="G621" s="25"/>
      <c r="H621" s="25"/>
      <c r="I621" s="25"/>
      <c r="J621" s="25"/>
      <c r="K621" s="25"/>
      <c r="L621" s="25"/>
      <c r="M621" s="25"/>
      <c r="N621" s="25"/>
      <c r="O621" s="25"/>
      <c r="P621" s="25"/>
      <c r="Q621" s="151">
        <f>Q567*Q609</f>
        <v>11.507125</v>
      </c>
      <c r="R621" s="25"/>
      <c r="S621" s="25"/>
      <c r="T621" s="25"/>
      <c r="U621" s="25"/>
      <c r="V621" s="25"/>
      <c r="W621" s="25"/>
      <c r="X621" s="25"/>
      <c r="Y621" s="25"/>
      <c r="Z621" s="25"/>
      <c r="AA621" s="25"/>
      <c r="AB621" s="25"/>
      <c r="AC621" s="25"/>
      <c r="AD621" s="25"/>
      <c r="AE621" s="25"/>
      <c r="AF621" s="25"/>
      <c r="AG621" s="25"/>
      <c r="AH621" s="25"/>
    </row>
    <row r="622" spans="2:34" hidden="1" outlineLevel="1" x14ac:dyDescent="0.2">
      <c r="B622" s="22" t="s">
        <v>133</v>
      </c>
      <c r="C622" s="7" t="s">
        <v>123</v>
      </c>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row>
    <row r="623" spans="2:34" hidden="1" outlineLevel="1" x14ac:dyDescent="0.2"/>
    <row r="624" spans="2:34" hidden="1" outlineLevel="1" x14ac:dyDescent="0.2"/>
    <row r="625" hidden="1" outlineLevel="1" x14ac:dyDescent="0.2"/>
    <row r="626" hidden="1" outlineLevel="1" x14ac:dyDescent="0.2"/>
    <row r="627" hidden="1" outlineLevel="1" x14ac:dyDescent="0.2"/>
    <row r="628" collapsed="1" x14ac:dyDescent="0.2"/>
    <row r="732" spans="2:29" ht="15" x14ac:dyDescent="0.25">
      <c r="B732" s="161" t="s">
        <v>360</v>
      </c>
    </row>
    <row r="733" spans="2:29" x14ac:dyDescent="0.2">
      <c r="B733" s="20"/>
    </row>
    <row r="734" spans="2:29" x14ac:dyDescent="0.2">
      <c r="B734" s="21" t="s">
        <v>183</v>
      </c>
    </row>
    <row r="735" spans="2:29" x14ac:dyDescent="0.2">
      <c r="B735" s="22" t="s">
        <v>277</v>
      </c>
      <c r="C735" s="7" t="s">
        <v>123</v>
      </c>
      <c r="W735" s="121"/>
      <c r="X735" s="121">
        <v>29.3</v>
      </c>
      <c r="Y735" s="121">
        <v>39.4</v>
      </c>
      <c r="Z735" s="121">
        <v>44.91</v>
      </c>
      <c r="AA735" s="121">
        <v>70.06</v>
      </c>
      <c r="AB735" s="121"/>
      <c r="AC735" s="121"/>
    </row>
    <row r="737" spans="2:29" x14ac:dyDescent="0.2">
      <c r="B737" s="22" t="s">
        <v>278</v>
      </c>
      <c r="C737" s="7" t="s">
        <v>123</v>
      </c>
      <c r="D737" s="25">
        <f t="shared" ref="D737:Y737" si="90">D24</f>
        <v>0</v>
      </c>
      <c r="E737" s="25">
        <f t="shared" si="90"/>
        <v>11934</v>
      </c>
      <c r="F737" s="25">
        <f t="shared" si="90"/>
        <v>12851.4</v>
      </c>
      <c r="G737" s="25">
        <f t="shared" si="90"/>
        <v>13925.31</v>
      </c>
      <c r="H737" s="25">
        <f t="shared" si="90"/>
        <v>15015.84</v>
      </c>
      <c r="I737" s="25">
        <f t="shared" si="90"/>
        <v>15955.29</v>
      </c>
      <c r="J737" s="25">
        <f t="shared" si="90"/>
        <v>16101</v>
      </c>
      <c r="K737" s="25">
        <f t="shared" si="90"/>
        <v>17594.28</v>
      </c>
      <c r="L737" s="25">
        <f t="shared" si="90"/>
        <v>15459</v>
      </c>
      <c r="M737" s="25">
        <f t="shared" si="90"/>
        <v>19369.47</v>
      </c>
      <c r="N737" s="25">
        <f t="shared" si="90"/>
        <v>19672.52</v>
      </c>
      <c r="O737" s="25">
        <f t="shared" si="90"/>
        <v>20167.939999999999</v>
      </c>
      <c r="P737" s="25">
        <f t="shared" si="90"/>
        <v>20427.689999999999</v>
      </c>
      <c r="Q737" s="25">
        <f t="shared" si="90"/>
        <v>20515.830000000002</v>
      </c>
      <c r="R737" s="25">
        <f t="shared" si="90"/>
        <v>20912.86</v>
      </c>
      <c r="S737" s="25">
        <f t="shared" si="90"/>
        <v>22567.66</v>
      </c>
      <c r="T737" s="25">
        <f t="shared" si="90"/>
        <v>20640.98</v>
      </c>
      <c r="U737" s="25">
        <f t="shared" si="90"/>
        <v>22931.05</v>
      </c>
      <c r="V737" s="25">
        <f t="shared" si="90"/>
        <v>28088.42</v>
      </c>
      <c r="W737" s="25">
        <f t="shared" si="90"/>
        <v>29923.3</v>
      </c>
      <c r="X737" s="25">
        <f t="shared" si="90"/>
        <v>31533.18</v>
      </c>
      <c r="Y737" s="25">
        <f t="shared" si="90"/>
        <v>43302.080000000002</v>
      </c>
      <c r="Z737" s="23">
        <f>Y737</f>
        <v>43302.080000000002</v>
      </c>
      <c r="AA737" s="23">
        <f>Z737</f>
        <v>43302.080000000002</v>
      </c>
      <c r="AB737" s="23"/>
      <c r="AC737" s="23"/>
    </row>
    <row r="738" spans="2:29" x14ac:dyDescent="0.2">
      <c r="B738" s="22" t="s">
        <v>282</v>
      </c>
      <c r="C738" s="7" t="s">
        <v>123</v>
      </c>
      <c r="W738" s="25"/>
      <c r="X738" s="25">
        <f>X26</f>
        <v>41693.57</v>
      </c>
      <c r="Y738" s="25">
        <f>Y26</f>
        <v>59905.07</v>
      </c>
      <c r="Z738" s="23">
        <f>Y738</f>
        <v>59905.07</v>
      </c>
      <c r="AA738" s="23">
        <f>Z738</f>
        <v>59905.07</v>
      </c>
      <c r="AB738" s="23"/>
      <c r="AC738" s="23"/>
    </row>
    <row r="740" spans="2:29" x14ac:dyDescent="0.2">
      <c r="B740" s="73" t="s">
        <v>287</v>
      </c>
      <c r="C740" s="7" t="s">
        <v>118</v>
      </c>
      <c r="W740" s="123">
        <v>0.37</v>
      </c>
      <c r="X740" s="123">
        <v>0.37</v>
      </c>
      <c r="Y740" s="123">
        <v>0.37</v>
      </c>
      <c r="Z740" s="123">
        <v>0.37</v>
      </c>
      <c r="AA740" s="123">
        <v>0.37</v>
      </c>
      <c r="AB740" s="123"/>
      <c r="AC740" s="123"/>
    </row>
    <row r="741" spans="2:29" x14ac:dyDescent="0.2">
      <c r="B741" s="22" t="s">
        <v>288</v>
      </c>
      <c r="C741" s="7" t="s">
        <v>123</v>
      </c>
      <c r="D741" s="25"/>
      <c r="E741" s="25"/>
      <c r="F741" s="25"/>
      <c r="G741" s="25"/>
      <c r="H741" s="25"/>
      <c r="I741" s="25"/>
      <c r="J741" s="25"/>
      <c r="K741" s="25"/>
      <c r="L741" s="25"/>
      <c r="M741" s="25"/>
      <c r="N741" s="25"/>
      <c r="O741" s="25"/>
      <c r="P741" s="25"/>
      <c r="Q741" s="25"/>
      <c r="R741" s="25"/>
      <c r="S741" s="25"/>
      <c r="T741" s="25"/>
      <c r="U741" s="25"/>
      <c r="V741" s="25"/>
      <c r="W741" s="25">
        <f>W738*W740</f>
        <v>0</v>
      </c>
      <c r="X741" s="25">
        <f>X738*X740</f>
        <v>15426.6209</v>
      </c>
      <c r="Y741" s="25">
        <f>Y738*Y740</f>
        <v>22164.875899999999</v>
      </c>
      <c r="Z741" s="25">
        <f>Z738*Z740</f>
        <v>22164.875899999999</v>
      </c>
      <c r="AA741" s="25">
        <f>AA738*AA740</f>
        <v>22164.875899999999</v>
      </c>
      <c r="AB741" s="25"/>
      <c r="AC741" s="25"/>
    </row>
    <row r="743" spans="2:29" x14ac:dyDescent="0.2">
      <c r="B743" s="18" t="s">
        <v>284</v>
      </c>
      <c r="V743" s="123">
        <v>0.16</v>
      </c>
      <c r="W743" s="123">
        <v>0.16</v>
      </c>
      <c r="X743" s="123">
        <v>0.16</v>
      </c>
      <c r="Y743" s="123">
        <v>0.16</v>
      </c>
      <c r="Z743" s="123">
        <v>0.16</v>
      </c>
      <c r="AA743" s="123">
        <v>0.16</v>
      </c>
      <c r="AB743" s="123"/>
      <c r="AC743" s="123"/>
    </row>
    <row r="744" spans="2:29" x14ac:dyDescent="0.2">
      <c r="B744" s="18" t="s">
        <v>285</v>
      </c>
      <c r="V744" s="123">
        <v>0.12</v>
      </c>
      <c r="W744" s="123">
        <v>0.12</v>
      </c>
      <c r="X744" s="123">
        <v>0.12</v>
      </c>
      <c r="Y744" s="123">
        <v>0.12</v>
      </c>
      <c r="Z744" s="123">
        <v>0.12</v>
      </c>
      <c r="AA744" s="123">
        <v>0.12</v>
      </c>
      <c r="AB744" s="123"/>
      <c r="AC744" s="123"/>
    </row>
    <row r="747" spans="2:29" x14ac:dyDescent="0.2">
      <c r="B747" s="12" t="s">
        <v>306</v>
      </c>
    </row>
    <row r="752" spans="2:29" x14ac:dyDescent="0.2">
      <c r="B752" s="22" t="s">
        <v>286</v>
      </c>
      <c r="C752" s="7" t="s">
        <v>123</v>
      </c>
      <c r="D752" s="25"/>
      <c r="E752" s="25"/>
      <c r="F752" s="25"/>
      <c r="G752" s="25"/>
      <c r="H752" s="25"/>
      <c r="I752" s="25"/>
      <c r="J752" s="25"/>
      <c r="K752" s="25"/>
      <c r="L752" s="25"/>
      <c r="M752" s="25"/>
      <c r="N752" s="25"/>
      <c r="O752" s="25"/>
      <c r="P752" s="25"/>
      <c r="Q752" s="25"/>
      <c r="R752" s="25"/>
      <c r="S752" s="25"/>
      <c r="T752" s="25"/>
      <c r="U752" s="25"/>
      <c r="V752" s="25"/>
      <c r="W752" s="25"/>
      <c r="X752" s="25">
        <f>X741*X744</f>
        <v>1851.1945079999998</v>
      </c>
      <c r="Y752" s="25">
        <f>Y741*Y744</f>
        <v>2659.7851079999996</v>
      </c>
      <c r="Z752" s="25">
        <f>Z741*Z744</f>
        <v>2659.7851079999996</v>
      </c>
      <c r="AA752" s="25">
        <f>AA741*AA744</f>
        <v>2659.7851079999996</v>
      </c>
      <c r="AB752" s="25"/>
      <c r="AC752" s="25"/>
    </row>
    <row r="753" spans="2:29" x14ac:dyDescent="0.2">
      <c r="B753" s="22"/>
    </row>
    <row r="754" spans="2:29" x14ac:dyDescent="0.2">
      <c r="B754" s="73" t="s">
        <v>279</v>
      </c>
      <c r="C754" s="7" t="s">
        <v>118</v>
      </c>
      <c r="X754" s="122">
        <v>0.1</v>
      </c>
      <c r="Y754" s="122">
        <v>0.1</v>
      </c>
      <c r="Z754" s="122">
        <v>0.1</v>
      </c>
      <c r="AA754" s="122">
        <v>0.15</v>
      </c>
      <c r="AB754" s="122"/>
      <c r="AC754" s="122"/>
    </row>
    <row r="755" spans="2:29" x14ac:dyDescent="0.2">
      <c r="B755" s="22" t="s">
        <v>280</v>
      </c>
      <c r="C755" s="7" t="s">
        <v>123</v>
      </c>
      <c r="D755" s="25"/>
      <c r="E755" s="25"/>
      <c r="F755" s="25"/>
      <c r="G755" s="25"/>
      <c r="H755" s="25"/>
      <c r="I755" s="25"/>
      <c r="J755" s="25"/>
      <c r="K755" s="25"/>
      <c r="L755" s="25"/>
      <c r="M755" s="25"/>
      <c r="N755" s="25"/>
      <c r="O755" s="25"/>
      <c r="P755" s="25"/>
      <c r="Q755" s="25"/>
      <c r="R755" s="25"/>
      <c r="S755" s="25"/>
      <c r="T755" s="25"/>
      <c r="U755" s="25"/>
      <c r="V755" s="25"/>
      <c r="W755" s="25"/>
      <c r="X755" s="25">
        <f>X752*X754</f>
        <v>185.11945079999998</v>
      </c>
      <c r="Y755" s="25">
        <f>Y752*Y754</f>
        <v>265.97851079999998</v>
      </c>
      <c r="Z755" s="25">
        <f>Z752*Z754</f>
        <v>265.97851079999998</v>
      </c>
      <c r="AA755" s="25">
        <f>AA752*AA754</f>
        <v>398.96776619999991</v>
      </c>
      <c r="AB755" s="25"/>
      <c r="AC755" s="25"/>
    </row>
    <row r="756" spans="2:29" x14ac:dyDescent="0.2">
      <c r="B756" s="22" t="s">
        <v>298</v>
      </c>
      <c r="X756" s="122"/>
      <c r="Y756" s="122"/>
      <c r="Z756" s="122"/>
      <c r="AA756" s="122"/>
      <c r="AB756" s="122"/>
      <c r="AC756" s="122"/>
    </row>
    <row r="757" spans="2:29" x14ac:dyDescent="0.2">
      <c r="B757" s="73" t="s">
        <v>281</v>
      </c>
      <c r="C757" s="7" t="s">
        <v>118</v>
      </c>
      <c r="X757" s="122">
        <v>0.2</v>
      </c>
      <c r="Y757" s="122">
        <v>0.2</v>
      </c>
      <c r="Z757" s="122">
        <v>0.2</v>
      </c>
      <c r="AA757" s="122">
        <f>1/3</f>
        <v>0.33333333333333331</v>
      </c>
      <c r="AB757" s="122"/>
      <c r="AC757" s="122"/>
    </row>
    <row r="758" spans="2:29" x14ac:dyDescent="0.2">
      <c r="B758" s="22" t="s">
        <v>143</v>
      </c>
      <c r="C758" s="7" t="s">
        <v>123</v>
      </c>
      <c r="X758" s="25">
        <f>X755*X757</f>
        <v>37.023890160000001</v>
      </c>
      <c r="Y758" s="25">
        <f>Y755*Y757</f>
        <v>53.195702159999996</v>
      </c>
      <c r="Z758" s="25">
        <f>Z755*Z757</f>
        <v>53.195702159999996</v>
      </c>
      <c r="AA758" s="25">
        <f>AA755*AA757</f>
        <v>132.98925539999996</v>
      </c>
      <c r="AB758" s="25"/>
      <c r="AC758" s="25"/>
    </row>
    <row r="760" spans="2:29" x14ac:dyDescent="0.2">
      <c r="B760" s="12" t="s">
        <v>293</v>
      </c>
      <c r="X760" s="129">
        <f>X754*X757</f>
        <v>2.0000000000000004E-2</v>
      </c>
      <c r="Y760" s="129">
        <f>Y754*Y757</f>
        <v>2.0000000000000004E-2</v>
      </c>
      <c r="Z760" s="129">
        <f>Z754*Z757</f>
        <v>2.0000000000000004E-2</v>
      </c>
      <c r="AA760" s="129">
        <f>AA754*AA757</f>
        <v>4.9999999999999996E-2</v>
      </c>
      <c r="AB760" s="129"/>
      <c r="AC760" s="129"/>
    </row>
    <row r="763" spans="2:29" x14ac:dyDescent="0.2">
      <c r="B763" s="12" t="s">
        <v>295</v>
      </c>
    </row>
    <row r="764" spans="2:29" x14ac:dyDescent="0.2">
      <c r="B764" s="12" t="s">
        <v>296</v>
      </c>
    </row>
    <row r="765" spans="2:29" x14ac:dyDescent="0.2">
      <c r="B765" s="12" t="s">
        <v>28</v>
      </c>
    </row>
    <row r="766" spans="2:29" x14ac:dyDescent="0.2">
      <c r="B766" s="12" t="s">
        <v>297</v>
      </c>
    </row>
    <row r="767" spans="2:29" x14ac:dyDescent="0.2">
      <c r="B767" s="12" t="s">
        <v>305</v>
      </c>
    </row>
    <row r="770" spans="2:2" x14ac:dyDescent="0.2">
      <c r="B770" s="12" t="s">
        <v>283</v>
      </c>
    </row>
    <row r="795" spans="2:2" x14ac:dyDescent="0.2">
      <c r="B795" s="66"/>
    </row>
  </sheetData>
  <phoneticPr fontId="4" type="noConversion"/>
  <hyperlinks>
    <hyperlink ref="B732" r:id="rId1" xr:uid="{55A15FED-A1B7-40B0-89D5-34B2CBA1B905}"/>
  </hyperlinks>
  <pageMargins left="0.7" right="0.7" top="0.75" bottom="0.75" header="0.3" footer="0.3"/>
  <pageSetup paperSize="9" orientation="portrait" r:id="rId2"/>
  <drawing r:id="rId3"/>
  <legacyDrawing r:id="rId4"/>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F92FC-31A2-4FE7-B584-3BFE4EF036D6}">
  <sheetPr>
    <tabColor theme="4" tint="0.79998168889431442"/>
  </sheetPr>
  <dimension ref="A2:AJ190"/>
  <sheetViews>
    <sheetView zoomScaleNormal="100" workbookViewId="0">
      <pane xSplit="3" ySplit="3" topLeftCell="M148" activePane="bottomRight" state="frozen"/>
      <selection activeCell="F27" sqref="F27"/>
      <selection pane="topRight" activeCell="F27" sqref="F27"/>
      <selection pane="bottomLeft" activeCell="F27" sqref="F27"/>
      <selection pane="bottomRight" activeCell="U171" sqref="U171:AC171"/>
    </sheetView>
  </sheetViews>
  <sheetFormatPr defaultRowHeight="15" customHeight="1" outlineLevelCol="1" x14ac:dyDescent="0.2"/>
  <cols>
    <col min="1" max="1" width="2.7109375" style="12" customWidth="1"/>
    <col min="2" max="2" width="38.42578125" style="12" bestFit="1" customWidth="1"/>
    <col min="3" max="3" width="9.140625" style="12"/>
    <col min="4" max="12" width="11.28515625" style="12" customWidth="1" outlineLevel="1"/>
    <col min="13" max="29" width="11.28515625" style="12" customWidth="1"/>
    <col min="30" max="16384" width="9.140625" style="12"/>
  </cols>
  <sheetData>
    <row r="2" spans="1:34" s="399" customFormat="1" ht="15" customHeight="1" x14ac:dyDescent="0.2">
      <c r="A2" s="2"/>
      <c r="B2" s="2"/>
      <c r="C2" s="3" t="s">
        <v>415</v>
      </c>
      <c r="D2" s="63" t="s">
        <v>149</v>
      </c>
      <c r="E2" s="63" t="s">
        <v>150</v>
      </c>
      <c r="F2" s="63" t="s">
        <v>151</v>
      </c>
      <c r="G2" s="63" t="s">
        <v>152</v>
      </c>
      <c r="H2" s="63" t="s">
        <v>153</v>
      </c>
      <c r="I2" s="63" t="s">
        <v>154</v>
      </c>
      <c r="J2" s="63" t="s">
        <v>155</v>
      </c>
      <c r="K2" s="63" t="s">
        <v>156</v>
      </c>
      <c r="L2" s="63" t="s">
        <v>157</v>
      </c>
      <c r="M2" s="63" t="s">
        <v>158</v>
      </c>
      <c r="N2" s="63" t="s">
        <v>159</v>
      </c>
      <c r="O2" s="63" t="s">
        <v>160</v>
      </c>
      <c r="P2" s="63" t="s">
        <v>161</v>
      </c>
      <c r="Q2" s="63" t="s">
        <v>162</v>
      </c>
      <c r="R2" s="63" t="s">
        <v>163</v>
      </c>
      <c r="S2" s="63" t="s">
        <v>164</v>
      </c>
      <c r="T2" s="63" t="s">
        <v>165</v>
      </c>
      <c r="U2" s="63" t="s">
        <v>166</v>
      </c>
      <c r="V2" s="63" t="s">
        <v>167</v>
      </c>
      <c r="W2" s="63" t="s">
        <v>168</v>
      </c>
      <c r="X2" s="63" t="s">
        <v>169</v>
      </c>
      <c r="Y2" s="63" t="s">
        <v>170</v>
      </c>
      <c r="Z2" s="63" t="s">
        <v>171</v>
      </c>
      <c r="AA2" s="63" t="s">
        <v>172</v>
      </c>
      <c r="AB2" s="63" t="s">
        <v>173</v>
      </c>
      <c r="AC2" s="63" t="s">
        <v>174</v>
      </c>
      <c r="AD2" s="63" t="s">
        <v>200</v>
      </c>
      <c r="AE2" s="63" t="s">
        <v>201</v>
      </c>
      <c r="AF2" s="63" t="s">
        <v>202</v>
      </c>
      <c r="AG2" s="63" t="s">
        <v>203</v>
      </c>
      <c r="AH2" s="63" t="s">
        <v>204</v>
      </c>
    </row>
    <row r="3" spans="1:34" ht="15" customHeight="1" x14ac:dyDescent="0.2">
      <c r="B3" s="64"/>
      <c r="C3" s="9"/>
      <c r="D3" s="9">
        <v>36707</v>
      </c>
      <c r="E3" s="9">
        <f>EOMONTH(D3,12)</f>
        <v>37072</v>
      </c>
      <c r="F3" s="9">
        <f t="shared" ref="F3:AH3" si="0">EOMONTH(E3,12)</f>
        <v>37437</v>
      </c>
      <c r="G3" s="9">
        <f t="shared" si="0"/>
        <v>37802</v>
      </c>
      <c r="H3" s="9">
        <f t="shared" si="0"/>
        <v>38168</v>
      </c>
      <c r="I3" s="9">
        <f t="shared" si="0"/>
        <v>38533</v>
      </c>
      <c r="J3" s="9">
        <f t="shared" si="0"/>
        <v>38898</v>
      </c>
      <c r="K3" s="9">
        <f t="shared" si="0"/>
        <v>39263</v>
      </c>
      <c r="L3" s="9">
        <f t="shared" si="0"/>
        <v>39629</v>
      </c>
      <c r="M3" s="9">
        <f t="shared" si="0"/>
        <v>39994</v>
      </c>
      <c r="N3" s="9">
        <f t="shared" si="0"/>
        <v>40359</v>
      </c>
      <c r="O3" s="9">
        <f t="shared" si="0"/>
        <v>40724</v>
      </c>
      <c r="P3" s="9">
        <f t="shared" si="0"/>
        <v>41090</v>
      </c>
      <c r="Q3" s="9">
        <f t="shared" si="0"/>
        <v>41455</v>
      </c>
      <c r="R3" s="9">
        <f t="shared" si="0"/>
        <v>41820</v>
      </c>
      <c r="S3" s="9">
        <f t="shared" si="0"/>
        <v>42185</v>
      </c>
      <c r="T3" s="9">
        <f t="shared" si="0"/>
        <v>42551</v>
      </c>
      <c r="U3" s="9">
        <f t="shared" si="0"/>
        <v>42916</v>
      </c>
      <c r="V3" s="9">
        <f t="shared" si="0"/>
        <v>43281</v>
      </c>
      <c r="W3" s="9">
        <f t="shared" si="0"/>
        <v>43646</v>
      </c>
      <c r="X3" s="9">
        <f t="shared" si="0"/>
        <v>44012</v>
      </c>
      <c r="Y3" s="9">
        <f t="shared" si="0"/>
        <v>44377</v>
      </c>
      <c r="Z3" s="9">
        <f t="shared" si="0"/>
        <v>44742</v>
      </c>
      <c r="AA3" s="9">
        <f t="shared" si="0"/>
        <v>45107</v>
      </c>
      <c r="AB3" s="9">
        <f>EOMONTH(AA3,12)</f>
        <v>45473</v>
      </c>
      <c r="AC3" s="9">
        <f t="shared" si="0"/>
        <v>45838</v>
      </c>
      <c r="AD3" s="9">
        <f t="shared" si="0"/>
        <v>46203</v>
      </c>
      <c r="AE3" s="9">
        <f t="shared" si="0"/>
        <v>46568</v>
      </c>
      <c r="AF3" s="9">
        <f t="shared" si="0"/>
        <v>46934</v>
      </c>
      <c r="AG3" s="9">
        <f t="shared" si="0"/>
        <v>47299</v>
      </c>
      <c r="AH3" s="9">
        <f t="shared" si="0"/>
        <v>47664</v>
      </c>
    </row>
    <row r="4" spans="1:34" ht="15" customHeight="1" x14ac:dyDescent="0.2">
      <c r="C4" s="7"/>
      <c r="G4" s="65"/>
      <c r="H4" s="65"/>
      <c r="I4" s="65"/>
      <c r="J4" s="65"/>
      <c r="K4" s="65"/>
      <c r="L4" s="65"/>
      <c r="M4" s="65"/>
      <c r="N4" s="65"/>
      <c r="O4" s="65"/>
    </row>
    <row r="5" spans="1:34" ht="15" customHeight="1" x14ac:dyDescent="0.25">
      <c r="B5" s="161" t="s">
        <v>444</v>
      </c>
      <c r="C5" s="7"/>
      <c r="D5" s="12" t="s">
        <v>443</v>
      </c>
      <c r="G5" s="65"/>
      <c r="H5" s="65"/>
      <c r="I5" s="65"/>
      <c r="J5" s="65"/>
      <c r="K5" s="65"/>
      <c r="L5" s="65"/>
      <c r="M5" s="65"/>
      <c r="N5" s="65"/>
      <c r="O5" s="65"/>
    </row>
    <row r="6" spans="1:34" ht="15" customHeight="1" x14ac:dyDescent="0.2">
      <c r="G6" s="65"/>
      <c r="H6" s="65"/>
      <c r="I6" s="65"/>
      <c r="J6" s="65"/>
      <c r="K6" s="65"/>
      <c r="L6" s="65"/>
      <c r="M6" s="65"/>
      <c r="N6" s="65"/>
      <c r="O6" s="65"/>
    </row>
    <row r="7" spans="1:34" ht="15" customHeight="1" x14ac:dyDescent="0.25">
      <c r="B7" s="161" t="s">
        <v>448</v>
      </c>
      <c r="C7" s="7"/>
      <c r="D7" s="12" t="s">
        <v>447</v>
      </c>
      <c r="G7" s="65"/>
      <c r="H7" s="65"/>
      <c r="I7" s="65"/>
      <c r="J7" s="65"/>
      <c r="K7" s="65"/>
      <c r="L7" s="65"/>
      <c r="M7" s="65"/>
      <c r="N7" s="65"/>
      <c r="O7" s="65"/>
    </row>
    <row r="8" spans="1:34" ht="15" customHeight="1" x14ac:dyDescent="0.2">
      <c r="C8" s="7"/>
      <c r="D8" s="12" t="s">
        <v>449</v>
      </c>
      <c r="G8" s="65"/>
      <c r="H8" s="65"/>
      <c r="I8" s="65"/>
      <c r="J8" s="65"/>
      <c r="K8" s="65"/>
      <c r="L8" s="65"/>
      <c r="M8" s="65"/>
      <c r="N8" s="65"/>
      <c r="O8" s="65"/>
    </row>
    <row r="9" spans="1:34" ht="15" customHeight="1" x14ac:dyDescent="0.2">
      <c r="C9" s="7"/>
      <c r="G9" s="65"/>
      <c r="H9" s="65"/>
      <c r="I9" s="65"/>
      <c r="J9" s="65"/>
      <c r="K9" s="65"/>
      <c r="L9" s="65"/>
      <c r="M9" s="65"/>
      <c r="N9" s="65"/>
      <c r="O9" s="65"/>
    </row>
    <row r="10" spans="1:34" s="399" customFormat="1" ht="15" customHeight="1" x14ac:dyDescent="0.2">
      <c r="C10" s="6"/>
      <c r="G10" s="400"/>
      <c r="H10" s="400"/>
      <c r="I10" s="400"/>
      <c r="J10" s="400"/>
      <c r="K10" s="400"/>
      <c r="L10" s="400"/>
      <c r="M10" s="400"/>
      <c r="N10" s="400"/>
      <c r="O10" s="400"/>
    </row>
    <row r="11" spans="1:34" ht="15" customHeight="1" x14ac:dyDescent="0.2">
      <c r="C11" s="7"/>
      <c r="G11" s="65"/>
      <c r="H11" s="65"/>
      <c r="I11" s="65"/>
      <c r="J11" s="65"/>
      <c r="K11" s="65"/>
      <c r="L11" s="65"/>
      <c r="M11" s="65"/>
      <c r="N11" s="65"/>
      <c r="O11" s="65"/>
    </row>
    <row r="12" spans="1:34" ht="15" customHeight="1" x14ac:dyDescent="0.2">
      <c r="A12" s="12" t="s">
        <v>0</v>
      </c>
      <c r="B12" s="20" t="s">
        <v>445</v>
      </c>
      <c r="C12" s="7"/>
      <c r="G12" s="65"/>
      <c r="H12" s="65"/>
      <c r="I12" s="65"/>
      <c r="J12" s="65"/>
      <c r="K12" s="65"/>
      <c r="L12" s="65"/>
      <c r="M12" s="65"/>
      <c r="N12" s="65"/>
      <c r="O12" s="65"/>
    </row>
    <row r="13" spans="1:34" ht="15" customHeight="1" x14ac:dyDescent="0.2">
      <c r="B13" s="20"/>
      <c r="C13" s="7"/>
      <c r="G13" s="65"/>
      <c r="H13" s="65"/>
      <c r="I13" s="65"/>
      <c r="J13" s="65"/>
      <c r="K13" s="65"/>
      <c r="L13" s="65"/>
      <c r="M13" s="65"/>
      <c r="N13" s="65"/>
      <c r="O13" s="65"/>
    </row>
    <row r="14" spans="1:34" ht="15" customHeight="1" x14ac:dyDescent="0.2">
      <c r="B14" s="168" t="s">
        <v>416</v>
      </c>
      <c r="C14" s="7"/>
      <c r="G14" s="65"/>
      <c r="H14" s="65"/>
      <c r="I14" s="65"/>
      <c r="J14" s="65"/>
      <c r="K14" s="65"/>
      <c r="L14" s="65"/>
      <c r="M14" s="65"/>
      <c r="N14" s="65"/>
      <c r="O14" s="65"/>
    </row>
    <row r="15" spans="1:34" ht="15" customHeight="1" x14ac:dyDescent="0.2">
      <c r="B15" s="85" t="s">
        <v>455</v>
      </c>
      <c r="C15" s="7" t="s">
        <v>414</v>
      </c>
      <c r="D15" s="24"/>
      <c r="E15" s="24"/>
      <c r="F15" s="24"/>
      <c r="G15" s="24"/>
      <c r="H15" s="24"/>
      <c r="I15" s="24"/>
      <c r="J15" s="24"/>
      <c r="K15" s="24"/>
      <c r="L15" s="24"/>
      <c r="M15" s="24"/>
      <c r="N15" s="24"/>
      <c r="O15" s="24"/>
      <c r="P15" s="24"/>
      <c r="Q15" s="24">
        <v>0</v>
      </c>
      <c r="R15" s="24">
        <v>10000000</v>
      </c>
      <c r="S15" s="24">
        <v>10000000</v>
      </c>
      <c r="T15" s="24">
        <v>0</v>
      </c>
      <c r="U15" s="24">
        <v>0</v>
      </c>
      <c r="V15" s="24">
        <v>0</v>
      </c>
      <c r="W15" s="24">
        <v>0</v>
      </c>
      <c r="X15" s="24">
        <v>0</v>
      </c>
      <c r="Y15" s="24">
        <v>0</v>
      </c>
      <c r="Z15" s="24">
        <v>0</v>
      </c>
      <c r="AA15" s="24"/>
      <c r="AB15" s="24"/>
      <c r="AC15" s="24"/>
      <c r="AD15" s="24"/>
      <c r="AE15" s="24"/>
      <c r="AF15" s="24"/>
      <c r="AG15" s="24"/>
      <c r="AH15" s="24"/>
    </row>
    <row r="16" spans="1:34" ht="15" customHeight="1" x14ac:dyDescent="0.2">
      <c r="B16" s="85" t="s">
        <v>431</v>
      </c>
      <c r="C16" s="7" t="s">
        <v>414</v>
      </c>
      <c r="D16" s="24"/>
      <c r="E16" s="24"/>
      <c r="F16" s="24"/>
      <c r="G16" s="24"/>
      <c r="H16" s="24"/>
      <c r="I16" s="24"/>
      <c r="J16" s="24"/>
      <c r="K16" s="24"/>
      <c r="L16" s="24"/>
      <c r="M16" s="24"/>
      <c r="N16" s="24"/>
      <c r="O16" s="24"/>
      <c r="P16" s="24"/>
      <c r="Q16" s="24">
        <v>0</v>
      </c>
      <c r="R16" s="24">
        <v>0</v>
      </c>
      <c r="S16" s="24">
        <v>0</v>
      </c>
      <c r="T16" s="24">
        <v>18531227</v>
      </c>
      <c r="U16" s="24">
        <v>35760485</v>
      </c>
      <c r="V16" s="24">
        <v>36840000</v>
      </c>
      <c r="W16" s="24">
        <v>43140000</v>
      </c>
      <c r="X16" s="24">
        <v>47870000</v>
      </c>
      <c r="Y16" s="24">
        <v>72390000</v>
      </c>
      <c r="Z16" s="24">
        <v>67020000</v>
      </c>
      <c r="AA16" s="24"/>
      <c r="AB16" s="24">
        <v>63600000</v>
      </c>
      <c r="AC16" s="24">
        <v>62900000</v>
      </c>
      <c r="AD16" s="24"/>
      <c r="AE16" s="24"/>
      <c r="AF16" s="24"/>
      <c r="AG16" s="24"/>
      <c r="AH16" s="24"/>
    </row>
    <row r="17" spans="2:34" ht="15" customHeight="1" x14ac:dyDescent="0.2">
      <c r="B17" s="85" t="s">
        <v>302</v>
      </c>
      <c r="C17" s="7" t="s">
        <v>414</v>
      </c>
      <c r="D17" s="24"/>
      <c r="E17" s="24"/>
      <c r="F17" s="24"/>
      <c r="G17" s="24"/>
      <c r="H17" s="24"/>
      <c r="I17" s="24"/>
      <c r="J17" s="24"/>
      <c r="K17" s="24"/>
      <c r="L17" s="24"/>
      <c r="M17" s="24"/>
      <c r="N17" s="24"/>
      <c r="O17" s="24"/>
      <c r="P17" s="24"/>
      <c r="Q17" s="24">
        <v>0</v>
      </c>
      <c r="R17" s="24">
        <v>0</v>
      </c>
      <c r="S17" s="24">
        <v>0</v>
      </c>
      <c r="T17" s="24">
        <v>0</v>
      </c>
      <c r="U17" s="24">
        <v>0</v>
      </c>
      <c r="V17" s="24">
        <v>0</v>
      </c>
      <c r="W17" s="24">
        <v>12824000</v>
      </c>
      <c r="X17" s="24">
        <v>29329000</v>
      </c>
      <c r="Y17" s="24">
        <v>39320000</v>
      </c>
      <c r="Z17" s="23"/>
      <c r="AA17" s="24"/>
      <c r="AB17" s="279"/>
      <c r="AC17" s="279"/>
      <c r="AD17" s="24"/>
      <c r="AE17" s="24"/>
      <c r="AF17" s="24"/>
      <c r="AG17" s="24"/>
      <c r="AH17" s="24"/>
    </row>
    <row r="18" spans="2:34" ht="15" customHeight="1" x14ac:dyDescent="0.2">
      <c r="B18" s="85" t="s">
        <v>452</v>
      </c>
      <c r="C18" s="7" t="s">
        <v>414</v>
      </c>
      <c r="D18" s="24"/>
      <c r="E18" s="24"/>
      <c r="F18" s="24"/>
      <c r="G18" s="24"/>
      <c r="H18" s="24"/>
      <c r="I18" s="24"/>
      <c r="J18" s="24"/>
      <c r="K18" s="24"/>
      <c r="L18" s="24"/>
      <c r="M18" s="24"/>
      <c r="N18" s="24"/>
      <c r="O18" s="24"/>
      <c r="P18" s="24"/>
      <c r="Q18" s="24">
        <v>59333072</v>
      </c>
      <c r="R18" s="24">
        <v>68349847</v>
      </c>
      <c r="S18" s="24">
        <v>66184776</v>
      </c>
      <c r="T18" s="24">
        <v>79337441</v>
      </c>
      <c r="U18" s="24">
        <v>91055051</v>
      </c>
      <c r="V18" s="24">
        <v>118080000</v>
      </c>
      <c r="W18" s="24">
        <v>129600000</v>
      </c>
      <c r="X18" s="24">
        <v>135000000</v>
      </c>
      <c r="Y18" s="23">
        <f>X18*(1+21.33%)</f>
        <v>163795500</v>
      </c>
      <c r="Z18" s="23">
        <f>Y18*(1+10%)</f>
        <v>180175050</v>
      </c>
      <c r="AA18" s="24"/>
      <c r="AB18" s="279"/>
      <c r="AC18" s="279"/>
      <c r="AD18" s="24"/>
      <c r="AE18" s="24"/>
      <c r="AF18" s="24"/>
      <c r="AG18" s="24"/>
      <c r="AH18" s="24"/>
    </row>
    <row r="19" spans="2:34" ht="15" customHeight="1" x14ac:dyDescent="0.2">
      <c r="B19" s="85" t="s">
        <v>454</v>
      </c>
      <c r="C19" s="7" t="s">
        <v>414</v>
      </c>
      <c r="D19" s="24"/>
      <c r="E19" s="24"/>
      <c r="F19" s="24"/>
      <c r="G19" s="24"/>
      <c r="H19" s="24"/>
      <c r="I19" s="24"/>
      <c r="J19" s="24"/>
      <c r="K19" s="24"/>
      <c r="L19" s="24"/>
      <c r="M19" s="24"/>
      <c r="N19" s="24"/>
      <c r="O19" s="24"/>
      <c r="P19" s="24"/>
      <c r="Q19" s="24">
        <v>7461949</v>
      </c>
      <c r="R19" s="24">
        <v>3323617</v>
      </c>
      <c r="S19" s="24">
        <v>2861111</v>
      </c>
      <c r="T19" s="24">
        <v>1440162</v>
      </c>
      <c r="U19" s="24">
        <v>1629278</v>
      </c>
      <c r="V19" s="24"/>
      <c r="W19" s="24"/>
      <c r="X19" s="24"/>
      <c r="Y19" s="23"/>
      <c r="Z19" s="23"/>
      <c r="AA19" s="24"/>
      <c r="AB19" s="279"/>
      <c r="AC19" s="279"/>
      <c r="AD19" s="24"/>
      <c r="AE19" s="24"/>
      <c r="AF19" s="24"/>
      <c r="AG19" s="24"/>
      <c r="AH19" s="24"/>
    </row>
    <row r="20" spans="2:34" ht="15" customHeight="1" x14ac:dyDescent="0.2">
      <c r="B20" s="85" t="s">
        <v>453</v>
      </c>
      <c r="C20" s="7" t="s">
        <v>414</v>
      </c>
      <c r="D20" s="24"/>
      <c r="E20" s="24"/>
      <c r="F20" s="24"/>
      <c r="G20" s="24"/>
      <c r="H20" s="24"/>
      <c r="I20" s="24"/>
      <c r="J20" s="24"/>
      <c r="K20" s="24"/>
      <c r="L20" s="24"/>
      <c r="M20" s="24"/>
      <c r="N20" s="24"/>
      <c r="O20" s="24"/>
      <c r="P20" s="24"/>
      <c r="Q20" s="24">
        <v>6363424</v>
      </c>
      <c r="R20" s="24">
        <v>5659600</v>
      </c>
      <c r="S20" s="24">
        <v>6032995</v>
      </c>
      <c r="T20" s="24">
        <v>5845600</v>
      </c>
      <c r="U20" s="24">
        <v>5922400</v>
      </c>
      <c r="V20" s="24"/>
      <c r="W20" s="24"/>
      <c r="X20" s="24"/>
      <c r="Y20" s="23"/>
      <c r="Z20" s="23"/>
      <c r="AA20" s="24"/>
      <c r="AB20" s="279"/>
      <c r="AC20" s="279"/>
      <c r="AD20" s="24"/>
      <c r="AE20" s="24"/>
      <c r="AF20" s="24"/>
      <c r="AG20" s="24"/>
      <c r="AH20" s="24"/>
    </row>
    <row r="21" spans="2:34" ht="15" customHeight="1" x14ac:dyDescent="0.2">
      <c r="B21" s="85" t="s">
        <v>451</v>
      </c>
      <c r="C21" s="7" t="s">
        <v>414</v>
      </c>
      <c r="D21" s="24"/>
      <c r="E21" s="24"/>
      <c r="F21" s="24"/>
      <c r="G21" s="24"/>
      <c r="H21" s="24"/>
      <c r="I21" s="24"/>
      <c r="J21" s="24"/>
      <c r="K21" s="24"/>
      <c r="L21" s="24"/>
      <c r="M21" s="24"/>
      <c r="N21" s="24"/>
      <c r="O21" s="24"/>
      <c r="P21" s="24"/>
      <c r="Q21" s="24"/>
      <c r="R21" s="24"/>
      <c r="S21" s="24"/>
      <c r="T21" s="24"/>
      <c r="U21" s="24"/>
      <c r="V21" s="24">
        <v>8916503</v>
      </c>
      <c r="W21" s="24"/>
      <c r="X21" s="24"/>
      <c r="Y21" s="23"/>
      <c r="Z21" s="23"/>
      <c r="AA21" s="24"/>
      <c r="AB21" s="279"/>
      <c r="AC21" s="279"/>
      <c r="AD21" s="24"/>
      <c r="AE21" s="24"/>
      <c r="AF21" s="24"/>
      <c r="AG21" s="24"/>
      <c r="AH21" s="24"/>
    </row>
    <row r="22" spans="2:34" ht="15" customHeight="1" x14ac:dyDescent="0.2">
      <c r="B22" s="85" t="s">
        <v>439</v>
      </c>
      <c r="C22" s="7" t="s">
        <v>414</v>
      </c>
      <c r="Q22" s="25">
        <f t="shared" ref="Q22:Z22" si="1">Q23-SUM(Q15:Q21)</f>
        <v>0</v>
      </c>
      <c r="R22" s="25">
        <f t="shared" si="1"/>
        <v>0</v>
      </c>
      <c r="S22" s="25">
        <f t="shared" si="1"/>
        <v>0</v>
      </c>
      <c r="T22" s="25">
        <f t="shared" si="1"/>
        <v>0</v>
      </c>
      <c r="U22" s="25">
        <f t="shared" si="1"/>
        <v>1077600</v>
      </c>
      <c r="V22" s="25">
        <f t="shared" si="1"/>
        <v>7475397</v>
      </c>
      <c r="W22" s="25">
        <f t="shared" si="1"/>
        <v>19447648</v>
      </c>
      <c r="X22" s="25">
        <f t="shared" si="1"/>
        <v>22365481</v>
      </c>
      <c r="Y22" s="25">
        <f t="shared" si="1"/>
        <v>23680667</v>
      </c>
      <c r="Z22" s="25">
        <f t="shared" si="1"/>
        <v>66913832</v>
      </c>
      <c r="AB22" s="280"/>
      <c r="AC22" s="280"/>
    </row>
    <row r="23" spans="2:34" ht="15" customHeight="1" x14ac:dyDescent="0.2">
      <c r="B23" s="160" t="s">
        <v>441</v>
      </c>
      <c r="C23" s="157" t="s">
        <v>414</v>
      </c>
      <c r="D23" s="158"/>
      <c r="E23" s="158"/>
      <c r="F23" s="158"/>
      <c r="G23" s="158"/>
      <c r="H23" s="158"/>
      <c r="I23" s="158"/>
      <c r="J23" s="158"/>
      <c r="K23" s="158"/>
      <c r="L23" s="158"/>
      <c r="M23" s="158"/>
      <c r="N23" s="158"/>
      <c r="O23" s="158"/>
      <c r="P23" s="158"/>
      <c r="Q23" s="158">
        <v>73158445</v>
      </c>
      <c r="R23" s="158">
        <v>87333064</v>
      </c>
      <c r="S23" s="158">
        <v>85078882</v>
      </c>
      <c r="T23" s="158">
        <v>105154430</v>
      </c>
      <c r="U23" s="158">
        <v>135444814</v>
      </c>
      <c r="V23" s="158">
        <v>171311900</v>
      </c>
      <c r="W23" s="158">
        <v>205011648</v>
      </c>
      <c r="X23" s="158">
        <v>234564481</v>
      </c>
      <c r="Y23" s="158">
        <v>299186167</v>
      </c>
      <c r="Z23" s="158">
        <v>314108882</v>
      </c>
      <c r="AA23" s="158">
        <v>335002506</v>
      </c>
      <c r="AB23" s="158">
        <v>315796093</v>
      </c>
      <c r="AC23" s="158">
        <v>302836666</v>
      </c>
      <c r="AD23" s="158"/>
      <c r="AE23" s="158"/>
      <c r="AF23" s="158"/>
      <c r="AG23" s="158"/>
      <c r="AH23" s="158"/>
    </row>
    <row r="24" spans="2:34" ht="15" customHeight="1" x14ac:dyDescent="0.2">
      <c r="B24" s="73" t="s">
        <v>442</v>
      </c>
      <c r="C24" s="7" t="s">
        <v>414</v>
      </c>
      <c r="D24" s="24"/>
      <c r="E24" s="24"/>
      <c r="F24" s="24"/>
      <c r="G24" s="24"/>
      <c r="H24" s="24"/>
      <c r="I24" s="24"/>
      <c r="J24" s="24"/>
      <c r="K24" s="24"/>
      <c r="L24" s="24"/>
      <c r="M24" s="24"/>
      <c r="N24" s="24"/>
      <c r="O24" s="24"/>
      <c r="P24" s="24"/>
      <c r="Q24" s="24">
        <v>6171891</v>
      </c>
      <c r="R24" s="24">
        <v>7865176</v>
      </c>
      <c r="S24" s="24">
        <v>7115839</v>
      </c>
      <c r="T24" s="24">
        <v>6734191</v>
      </c>
      <c r="U24" s="24">
        <v>13096688</v>
      </c>
      <c r="V24" s="24">
        <v>13846223</v>
      </c>
      <c r="W24" s="24">
        <v>15197550</v>
      </c>
      <c r="X24" s="24">
        <v>14566962</v>
      </c>
      <c r="Y24" s="24">
        <v>26059550</v>
      </c>
      <c r="Z24" s="24">
        <v>26749712</v>
      </c>
      <c r="AA24" s="24">
        <v>40327246</v>
      </c>
      <c r="AB24" s="279"/>
      <c r="AC24" s="279"/>
      <c r="AD24" s="24"/>
      <c r="AE24" s="24"/>
      <c r="AF24" s="24"/>
      <c r="AG24" s="24"/>
      <c r="AH24" s="24"/>
    </row>
    <row r="25" spans="2:34" ht="15" customHeight="1" x14ac:dyDescent="0.2">
      <c r="B25" s="73" t="s">
        <v>450</v>
      </c>
      <c r="C25" s="7" t="s">
        <v>414</v>
      </c>
      <c r="D25" s="24"/>
      <c r="E25" s="24"/>
      <c r="F25" s="24"/>
      <c r="G25" s="24"/>
      <c r="H25" s="24"/>
      <c r="I25" s="24"/>
      <c r="J25" s="24"/>
      <c r="K25" s="24"/>
      <c r="L25" s="24"/>
      <c r="M25" s="24"/>
      <c r="N25" s="24"/>
      <c r="O25" s="24"/>
      <c r="P25" s="24"/>
      <c r="Q25" s="24">
        <v>7557068</v>
      </c>
      <c r="R25" s="24">
        <v>7651582</v>
      </c>
      <c r="S25" s="24">
        <v>8446657</v>
      </c>
      <c r="T25" s="24">
        <v>8933316</v>
      </c>
      <c r="U25" s="24">
        <v>9118897</v>
      </c>
      <c r="V25" s="24">
        <v>9561720</v>
      </c>
      <c r="W25" s="24">
        <v>10178760</v>
      </c>
      <c r="X25" s="24">
        <v>10698838</v>
      </c>
      <c r="Y25" s="24">
        <v>10000000</v>
      </c>
      <c r="Z25" s="24">
        <v>9928153</v>
      </c>
      <c r="AA25" s="24">
        <v>9237073</v>
      </c>
      <c r="AB25" s="280"/>
      <c r="AC25" s="280"/>
    </row>
    <row r="26" spans="2:34" ht="15" customHeight="1" x14ac:dyDescent="0.2">
      <c r="B26" s="73" t="s">
        <v>297</v>
      </c>
      <c r="C26" s="7" t="s">
        <v>414</v>
      </c>
      <c r="D26" s="70"/>
      <c r="E26" s="70"/>
      <c r="F26" s="70"/>
      <c r="G26" s="70"/>
      <c r="H26" s="70"/>
      <c r="I26" s="70"/>
      <c r="J26" s="70"/>
      <c r="K26" s="70"/>
      <c r="L26" s="70"/>
      <c r="M26" s="70"/>
      <c r="N26" s="70"/>
      <c r="O26" s="70"/>
      <c r="P26" s="70"/>
      <c r="Q26" s="70">
        <f t="shared" ref="Q26:V26" si="2">Q27-Q23</f>
        <v>31495342</v>
      </c>
      <c r="R26" s="70">
        <f t="shared" si="2"/>
        <v>32177880</v>
      </c>
      <c r="S26" s="70">
        <f t="shared" si="2"/>
        <v>33871001</v>
      </c>
      <c r="T26" s="70">
        <f t="shared" si="2"/>
        <v>34341938</v>
      </c>
      <c r="U26" s="70">
        <f t="shared" si="2"/>
        <v>41762726</v>
      </c>
      <c r="V26" s="70">
        <f t="shared" si="2"/>
        <v>48224679</v>
      </c>
      <c r="W26" s="70">
        <f>W27-W23</f>
        <v>50806787</v>
      </c>
      <c r="X26" s="70">
        <f>X27-X23</f>
        <v>55231192</v>
      </c>
      <c r="Y26" s="70">
        <f>Y27-Y23</f>
        <v>68416990</v>
      </c>
      <c r="Z26" s="70">
        <f>Z27-Z23</f>
        <v>64564619</v>
      </c>
      <c r="AA26" s="70">
        <f>AA27-AA23</f>
        <v>86532086</v>
      </c>
      <c r="AB26" s="281"/>
      <c r="AC26" s="281"/>
      <c r="AD26" s="70"/>
      <c r="AE26" s="70"/>
      <c r="AF26" s="70"/>
      <c r="AG26" s="70"/>
      <c r="AH26" s="70"/>
    </row>
    <row r="27" spans="2:34" ht="15" customHeight="1" thickBot="1" x14ac:dyDescent="0.25">
      <c r="B27" s="136" t="s">
        <v>418</v>
      </c>
      <c r="C27" s="137" t="s">
        <v>414</v>
      </c>
      <c r="D27" s="139"/>
      <c r="E27" s="139"/>
      <c r="F27" s="139"/>
      <c r="G27" s="139"/>
      <c r="H27" s="139"/>
      <c r="I27" s="139"/>
      <c r="J27" s="139"/>
      <c r="K27" s="139"/>
      <c r="L27" s="139"/>
      <c r="M27" s="139"/>
      <c r="N27" s="139"/>
      <c r="O27" s="139"/>
      <c r="P27" s="139"/>
      <c r="Q27" s="139">
        <v>104653787</v>
      </c>
      <c r="R27" s="139">
        <v>119510944</v>
      </c>
      <c r="S27" s="139">
        <v>118949883</v>
      </c>
      <c r="T27" s="139">
        <v>139496368</v>
      </c>
      <c r="U27" s="139">
        <v>177207540</v>
      </c>
      <c r="V27" s="139">
        <v>219536579</v>
      </c>
      <c r="W27" s="139">
        <v>255818435</v>
      </c>
      <c r="X27" s="139">
        <v>289795673</v>
      </c>
      <c r="Y27" s="139">
        <v>367603157</v>
      </c>
      <c r="Z27" s="139">
        <v>378673501</v>
      </c>
      <c r="AA27" s="139">
        <v>421534592</v>
      </c>
      <c r="AB27" s="139">
        <v>417438607</v>
      </c>
      <c r="AC27" s="139">
        <v>410426485</v>
      </c>
      <c r="AD27" s="139"/>
      <c r="AE27" s="139"/>
      <c r="AF27" s="139"/>
      <c r="AG27" s="139"/>
      <c r="AH27" s="139"/>
    </row>
    <row r="28" spans="2:34" ht="15" customHeight="1" thickTop="1" x14ac:dyDescent="0.2">
      <c r="B28" s="82"/>
      <c r="C28" s="7"/>
    </row>
    <row r="29" spans="2:34" ht="15" customHeight="1" x14ac:dyDescent="0.2">
      <c r="B29" s="12" t="s">
        <v>438</v>
      </c>
      <c r="D29" s="24"/>
      <c r="E29" s="24"/>
      <c r="F29" s="24"/>
      <c r="G29" s="24"/>
      <c r="H29" s="24"/>
      <c r="I29" s="24"/>
      <c r="J29" s="24"/>
      <c r="K29" s="24"/>
      <c r="L29" s="24"/>
      <c r="M29" s="24"/>
      <c r="N29" s="24"/>
      <c r="O29" s="24"/>
      <c r="P29" s="24"/>
      <c r="Q29" s="24">
        <v>145900000</v>
      </c>
      <c r="R29" s="24">
        <v>140900000</v>
      </c>
      <c r="S29" s="24">
        <v>150400000</v>
      </c>
      <c r="T29" s="24">
        <v>151200000</v>
      </c>
      <c r="U29" s="24"/>
      <c r="V29" s="24"/>
      <c r="W29" s="24">
        <v>148000000</v>
      </c>
      <c r="X29" s="24">
        <v>138000000</v>
      </c>
      <c r="Y29" s="24">
        <v>163900000</v>
      </c>
      <c r="Z29" s="24"/>
      <c r="AA29" s="24">
        <v>177000000</v>
      </c>
      <c r="AB29" s="24">
        <v>165500000</v>
      </c>
      <c r="AC29" s="279"/>
    </row>
    <row r="30" spans="2:34" ht="15" customHeight="1" x14ac:dyDescent="0.2">
      <c r="B30" s="12" t="s">
        <v>439</v>
      </c>
      <c r="R30" s="70">
        <f>R23</f>
        <v>87333064</v>
      </c>
      <c r="S30" s="70">
        <f>S23</f>
        <v>85078882</v>
      </c>
      <c r="T30" s="70">
        <f>T23</f>
        <v>105154430</v>
      </c>
      <c r="X30" s="70">
        <f>X23</f>
        <v>234564481</v>
      </c>
      <c r="Y30" s="70">
        <f>Y23</f>
        <v>299186167</v>
      </c>
      <c r="Z30" s="24"/>
      <c r="AA30" s="24">
        <v>335000000</v>
      </c>
      <c r="AB30" s="24">
        <v>315800000</v>
      </c>
      <c r="AC30" s="24">
        <v>315900000</v>
      </c>
    </row>
    <row r="31" spans="2:34" ht="15" customHeight="1" x14ac:dyDescent="0.2">
      <c r="B31" s="12" t="s">
        <v>440</v>
      </c>
      <c r="R31" s="70">
        <f>SUM(R29:R30)</f>
        <v>228233064</v>
      </c>
      <c r="S31" s="70">
        <f>SUM(S29:S30)</f>
        <v>235478882</v>
      </c>
      <c r="T31" s="70">
        <f>SUM(T29:T30)</f>
        <v>256354430</v>
      </c>
      <c r="X31" s="70">
        <f>SUM(X29:X30)</f>
        <v>372564481</v>
      </c>
      <c r="Y31" s="70">
        <f>SUM(Y29:Y30)</f>
        <v>463086167</v>
      </c>
      <c r="Z31" s="24"/>
      <c r="AA31" s="24">
        <v>512000000</v>
      </c>
      <c r="AB31" s="24">
        <v>481300000</v>
      </c>
      <c r="AC31" s="279"/>
    </row>
    <row r="32" spans="2:34" ht="15" customHeight="1" x14ac:dyDescent="0.2">
      <c r="Y32" s="121"/>
      <c r="Z32" s="121"/>
      <c r="AA32" s="121"/>
    </row>
    <row r="33" spans="1:34" ht="15" customHeight="1" x14ac:dyDescent="0.2">
      <c r="B33" s="168" t="s">
        <v>446</v>
      </c>
    </row>
    <row r="34" spans="1:34" ht="15" customHeight="1" x14ac:dyDescent="0.2">
      <c r="B34" s="85" t="s">
        <v>456</v>
      </c>
      <c r="C34" s="7" t="s">
        <v>414</v>
      </c>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row>
    <row r="35" spans="1:34" ht="15" customHeight="1" x14ac:dyDescent="0.2">
      <c r="B35" s="85" t="s">
        <v>411</v>
      </c>
      <c r="C35" s="7" t="s">
        <v>414</v>
      </c>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row>
    <row r="36" spans="1:34" ht="15" customHeight="1" thickBot="1" x14ac:dyDescent="0.25">
      <c r="B36" s="155" t="s">
        <v>419</v>
      </c>
      <c r="C36" s="137" t="s">
        <v>414</v>
      </c>
      <c r="D36" s="139"/>
      <c r="E36" s="139"/>
      <c r="F36" s="139"/>
      <c r="G36" s="139"/>
      <c r="H36" s="139"/>
      <c r="I36" s="139"/>
      <c r="J36" s="139"/>
      <c r="K36" s="139"/>
      <c r="L36" s="139"/>
      <c r="M36" s="139"/>
      <c r="N36" s="139"/>
      <c r="O36" s="139"/>
      <c r="P36" s="139"/>
      <c r="Q36" s="139"/>
      <c r="R36" s="139"/>
      <c r="S36" s="139"/>
      <c r="T36" s="139">
        <v>4200000000</v>
      </c>
      <c r="U36" s="139"/>
      <c r="V36" s="139"/>
      <c r="W36" s="139"/>
      <c r="X36" s="139"/>
      <c r="Y36" s="139"/>
      <c r="Z36" s="139"/>
      <c r="AA36" s="139"/>
      <c r="AB36" s="139"/>
      <c r="AC36" s="139"/>
      <c r="AD36" s="139"/>
      <c r="AE36" s="139"/>
      <c r="AF36" s="139"/>
      <c r="AG36" s="139"/>
      <c r="AH36" s="139"/>
    </row>
    <row r="37" spans="1:34" ht="15" customHeight="1" thickTop="1" x14ac:dyDescent="0.2">
      <c r="B37" s="73"/>
      <c r="C37" s="7"/>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row>
    <row r="38" spans="1:34" ht="15" customHeight="1" x14ac:dyDescent="0.2">
      <c r="B38" s="73" t="s">
        <v>421</v>
      </c>
      <c r="N38" s="129"/>
      <c r="O38" s="129"/>
      <c r="P38" s="129"/>
      <c r="Q38" s="129"/>
      <c r="R38" s="129"/>
      <c r="S38" s="129"/>
      <c r="T38" s="129">
        <f>T18/T36</f>
        <v>1.8889866904761906E-2</v>
      </c>
      <c r="U38" s="129"/>
      <c r="V38" s="129"/>
      <c r="W38" s="129"/>
      <c r="X38" s="129"/>
      <c r="Y38" s="129"/>
      <c r="Z38" s="129"/>
      <c r="AA38" s="129"/>
      <c r="AB38" s="129"/>
      <c r="AC38" s="129"/>
      <c r="AD38" s="129"/>
      <c r="AE38" s="129"/>
      <c r="AF38" s="129"/>
      <c r="AG38" s="129"/>
      <c r="AH38" s="129"/>
    </row>
    <row r="39" spans="1:34" ht="15" customHeight="1" x14ac:dyDescent="0.2">
      <c r="B39" s="73" t="s">
        <v>422</v>
      </c>
      <c r="R39" s="129"/>
      <c r="S39" s="129"/>
      <c r="T39" s="129"/>
      <c r="U39" s="129"/>
      <c r="V39" s="129"/>
      <c r="W39" s="129"/>
      <c r="X39" s="129"/>
      <c r="Y39" s="129"/>
      <c r="Z39" s="129"/>
      <c r="AA39" s="129"/>
      <c r="AB39" s="129"/>
      <c r="AC39" s="129"/>
      <c r="AD39" s="129"/>
      <c r="AE39" s="129"/>
      <c r="AF39" s="129"/>
      <c r="AG39" s="129"/>
      <c r="AH39" s="129"/>
    </row>
    <row r="40" spans="1:34" ht="15" customHeight="1" x14ac:dyDescent="0.2">
      <c r="Y40" s="70"/>
    </row>
    <row r="41" spans="1:34" s="399" customFormat="1" ht="15" customHeight="1" x14ac:dyDescent="0.2">
      <c r="Y41" s="401"/>
    </row>
    <row r="42" spans="1:34" ht="15" customHeight="1" x14ac:dyDescent="0.2">
      <c r="Y42" s="70"/>
    </row>
    <row r="43" spans="1:34" ht="15" customHeight="1" x14ac:dyDescent="0.2">
      <c r="A43" s="12" t="s">
        <v>0</v>
      </c>
      <c r="B43" s="20" t="s">
        <v>371</v>
      </c>
      <c r="C43" s="7"/>
      <c r="G43" s="65"/>
      <c r="H43" s="65"/>
      <c r="I43" s="65"/>
      <c r="J43" s="65"/>
      <c r="K43" s="65"/>
      <c r="L43" s="65"/>
      <c r="M43" s="65"/>
      <c r="N43" s="65"/>
      <c r="O43" s="65"/>
    </row>
    <row r="44" spans="1:34" ht="15" customHeight="1" x14ac:dyDescent="0.2">
      <c r="B44" s="20"/>
      <c r="C44" s="7"/>
      <c r="G44" s="65"/>
      <c r="H44" s="65"/>
      <c r="I44" s="65"/>
      <c r="J44" s="65"/>
      <c r="K44" s="65"/>
      <c r="L44" s="65"/>
      <c r="M44" s="65"/>
      <c r="N44" s="65"/>
      <c r="O44" s="65"/>
    </row>
    <row r="45" spans="1:34" ht="15" customHeight="1" x14ac:dyDescent="0.2">
      <c r="B45" s="168" t="s">
        <v>416</v>
      </c>
      <c r="C45" s="7"/>
      <c r="G45" s="65"/>
      <c r="H45" s="65"/>
      <c r="I45" s="65"/>
      <c r="J45" s="65"/>
      <c r="K45" s="65"/>
      <c r="L45" s="65"/>
      <c r="M45" s="65"/>
      <c r="N45" s="65"/>
      <c r="O45" s="65"/>
    </row>
    <row r="46" spans="1:34" ht="15" customHeight="1" x14ac:dyDescent="0.2">
      <c r="B46" s="85" t="s">
        <v>406</v>
      </c>
      <c r="C46" s="7" t="s">
        <v>414</v>
      </c>
      <c r="D46" s="24"/>
      <c r="E46" s="24"/>
      <c r="F46" s="24"/>
      <c r="G46" s="24"/>
      <c r="H46" s="24"/>
      <c r="I46" s="24"/>
      <c r="J46" s="24"/>
      <c r="K46" s="24"/>
      <c r="L46" s="24"/>
      <c r="M46" s="24">
        <v>26844754</v>
      </c>
      <c r="N46" s="24">
        <v>27395713</v>
      </c>
      <c r="O46" s="24">
        <v>25830848</v>
      </c>
      <c r="P46" s="24">
        <v>24468845</v>
      </c>
      <c r="Q46" s="24">
        <v>22902813</v>
      </c>
      <c r="R46" s="24">
        <v>21443201</v>
      </c>
      <c r="S46" s="24">
        <v>20385149</v>
      </c>
      <c r="T46" s="24">
        <v>19104384</v>
      </c>
      <c r="U46" s="24">
        <v>17391243</v>
      </c>
      <c r="V46" s="24">
        <v>16332417</v>
      </c>
      <c r="W46" s="24">
        <v>15280342</v>
      </c>
      <c r="X46" s="24">
        <v>13635222</v>
      </c>
      <c r="Y46" s="24">
        <v>14105690</v>
      </c>
      <c r="Z46" s="24">
        <v>13874739</v>
      </c>
      <c r="AA46" s="24">
        <v>12876759</v>
      </c>
      <c r="AB46" s="70">
        <f>AB48-AB47</f>
        <v>12258139</v>
      </c>
      <c r="AC46" s="70">
        <f>AC48-AC47</f>
        <v>11689427.958000001</v>
      </c>
      <c r="AD46" s="24"/>
      <c r="AE46" s="24"/>
      <c r="AF46" s="24"/>
      <c r="AG46" s="24"/>
      <c r="AH46" s="24"/>
    </row>
    <row r="47" spans="1:34" ht="15" customHeight="1" x14ac:dyDescent="0.2">
      <c r="B47" s="85" t="s">
        <v>407</v>
      </c>
      <c r="C47" s="7" t="s">
        <v>414</v>
      </c>
      <c r="D47" s="24"/>
      <c r="E47" s="24"/>
      <c r="F47" s="24"/>
      <c r="G47" s="24"/>
      <c r="H47" s="24"/>
      <c r="I47" s="24"/>
      <c r="J47" s="24"/>
      <c r="K47" s="24"/>
      <c r="L47" s="24"/>
      <c r="M47" s="24">
        <v>6144733</v>
      </c>
      <c r="N47" s="24">
        <v>6259211</v>
      </c>
      <c r="O47" s="24">
        <v>7077104</v>
      </c>
      <c r="P47" s="24">
        <v>9097313</v>
      </c>
      <c r="Q47" s="24">
        <v>11242727</v>
      </c>
      <c r="R47" s="24">
        <v>12015077</v>
      </c>
      <c r="S47" s="24">
        <v>15266533</v>
      </c>
      <c r="T47" s="24">
        <v>16698542</v>
      </c>
      <c r="U47" s="24">
        <v>18398435</v>
      </c>
      <c r="V47" s="24">
        <v>20304409</v>
      </c>
      <c r="W47" s="24">
        <v>19494346</v>
      </c>
      <c r="X47" s="24">
        <v>18854786</v>
      </c>
      <c r="Y47" s="24">
        <v>23955856</v>
      </c>
      <c r="Z47" s="24">
        <v>17894252</v>
      </c>
      <c r="AA47" s="24">
        <v>19471309</v>
      </c>
      <c r="AB47" s="23">
        <f>AB48*59.1%</f>
        <v>17712861</v>
      </c>
      <c r="AC47" s="23">
        <f>AC48*59.8%</f>
        <v>17388751.041999999</v>
      </c>
      <c r="AD47" s="24"/>
      <c r="AE47" s="24"/>
      <c r="AF47" s="24"/>
      <c r="AG47" s="24"/>
      <c r="AH47" s="24"/>
    </row>
    <row r="48" spans="1:34" s="66" customFormat="1" ht="15" customHeight="1" x14ac:dyDescent="0.2">
      <c r="B48" s="160" t="s">
        <v>402</v>
      </c>
      <c r="C48" s="157" t="s">
        <v>414</v>
      </c>
      <c r="D48" s="158"/>
      <c r="E48" s="158"/>
      <c r="F48" s="158"/>
      <c r="G48" s="158"/>
      <c r="H48" s="158"/>
      <c r="I48" s="158"/>
      <c r="J48" s="158"/>
      <c r="K48" s="158"/>
      <c r="L48" s="158"/>
      <c r="M48" s="158">
        <v>32989364</v>
      </c>
      <c r="N48" s="158">
        <v>33654924</v>
      </c>
      <c r="O48" s="158">
        <v>32907952</v>
      </c>
      <c r="P48" s="158">
        <v>33566158</v>
      </c>
      <c r="Q48" s="158">
        <v>34145540</v>
      </c>
      <c r="R48" s="158">
        <v>33458278</v>
      </c>
      <c r="S48" s="158">
        <v>35651682</v>
      </c>
      <c r="T48" s="158">
        <v>35802926</v>
      </c>
      <c r="U48" s="158">
        <v>35789678</v>
      </c>
      <c r="V48" s="158">
        <v>36636826</v>
      </c>
      <c r="W48" s="158">
        <v>34774688</v>
      </c>
      <c r="X48" s="158">
        <v>32490008</v>
      </c>
      <c r="Y48" s="158">
        <v>38061546</v>
      </c>
      <c r="Z48" s="158">
        <v>31768991</v>
      </c>
      <c r="AA48" s="158">
        <v>32348068</v>
      </c>
      <c r="AB48" s="158">
        <v>29971000</v>
      </c>
      <c r="AC48" s="158">
        <v>29078179</v>
      </c>
      <c r="AD48" s="158"/>
      <c r="AE48" s="158"/>
      <c r="AF48" s="158"/>
      <c r="AG48" s="158"/>
      <c r="AH48" s="158"/>
    </row>
    <row r="49" spans="2:34" ht="15" customHeight="1" x14ac:dyDescent="0.2">
      <c r="B49" s="73" t="s">
        <v>403</v>
      </c>
      <c r="C49" s="7" t="s">
        <v>414</v>
      </c>
      <c r="D49" s="24"/>
      <c r="E49" s="24"/>
      <c r="F49" s="24"/>
      <c r="G49" s="24"/>
      <c r="H49" s="24"/>
      <c r="I49" s="24"/>
      <c r="J49" s="24"/>
      <c r="K49" s="24"/>
      <c r="L49" s="24"/>
      <c r="M49" s="24">
        <v>0</v>
      </c>
      <c r="N49" s="24">
        <v>0</v>
      </c>
      <c r="O49" s="24">
        <v>0</v>
      </c>
      <c r="P49" s="24">
        <v>22748365</v>
      </c>
      <c r="Q49" s="24">
        <v>6995743</v>
      </c>
      <c r="R49" s="24">
        <v>9472759</v>
      </c>
      <c r="S49" s="24">
        <v>10769201</v>
      </c>
      <c r="T49" s="24">
        <v>10128235</v>
      </c>
      <c r="U49" s="24">
        <v>10259805</v>
      </c>
      <c r="V49" s="24">
        <v>11292259</v>
      </c>
      <c r="W49" s="24">
        <v>11588829</v>
      </c>
      <c r="X49" s="24">
        <v>13167549</v>
      </c>
      <c r="Y49" s="24">
        <v>16784389</v>
      </c>
      <c r="Z49" s="24">
        <v>19307371</v>
      </c>
      <c r="AA49" s="24">
        <v>18186371</v>
      </c>
      <c r="AB49" s="24">
        <v>18652000</v>
      </c>
      <c r="AC49" s="24">
        <v>18256345</v>
      </c>
      <c r="AD49" s="24"/>
      <c r="AE49" s="24"/>
      <c r="AF49" s="24"/>
      <c r="AG49" s="24"/>
      <c r="AH49" s="24"/>
    </row>
    <row r="50" spans="2:34" ht="15" customHeight="1" x14ac:dyDescent="0.2">
      <c r="B50" s="73" t="s">
        <v>404</v>
      </c>
      <c r="C50" s="7" t="s">
        <v>414</v>
      </c>
      <c r="D50" s="24"/>
      <c r="E50" s="24"/>
      <c r="F50" s="24"/>
      <c r="G50" s="24"/>
      <c r="H50" s="24"/>
      <c r="I50" s="24"/>
      <c r="J50" s="24"/>
      <c r="K50" s="24"/>
      <c r="L50" s="24"/>
      <c r="M50" s="24">
        <v>0</v>
      </c>
      <c r="N50" s="24">
        <v>0</v>
      </c>
      <c r="O50" s="24">
        <v>0</v>
      </c>
      <c r="P50" s="24">
        <v>0</v>
      </c>
      <c r="Q50" s="24">
        <v>0</v>
      </c>
      <c r="R50" s="24">
        <v>0</v>
      </c>
      <c r="S50" s="24">
        <v>0</v>
      </c>
      <c r="T50" s="24">
        <v>3044587</v>
      </c>
      <c r="U50" s="24">
        <v>5875267</v>
      </c>
      <c r="V50" s="24">
        <v>6052216</v>
      </c>
      <c r="W50" s="24">
        <v>7117983</v>
      </c>
      <c r="X50" s="24">
        <v>7836002</v>
      </c>
      <c r="Y50" s="24">
        <v>11893256</v>
      </c>
      <c r="Z50" s="24">
        <v>10920974</v>
      </c>
      <c r="AA50" s="24">
        <v>10895739</v>
      </c>
      <c r="AB50" s="24">
        <v>10447000</v>
      </c>
      <c r="AC50" s="24">
        <v>10329149</v>
      </c>
      <c r="AD50" s="24"/>
      <c r="AE50" s="24"/>
      <c r="AF50" s="24"/>
      <c r="AG50" s="24"/>
      <c r="AH50" s="24"/>
    </row>
    <row r="51" spans="2:34" ht="15" customHeight="1" x14ac:dyDescent="0.2">
      <c r="B51" s="73" t="s">
        <v>405</v>
      </c>
      <c r="C51" s="7" t="s">
        <v>414</v>
      </c>
      <c r="D51" s="24"/>
      <c r="E51" s="24"/>
      <c r="F51" s="24"/>
      <c r="G51" s="24"/>
      <c r="H51" s="24"/>
      <c r="I51" s="24"/>
      <c r="J51" s="24"/>
      <c r="K51" s="24"/>
      <c r="L51" s="24"/>
      <c r="M51" s="24">
        <v>0</v>
      </c>
      <c r="N51" s="24">
        <v>0</v>
      </c>
      <c r="O51" s="24">
        <v>0</v>
      </c>
      <c r="P51" s="24">
        <v>0</v>
      </c>
      <c r="Q51" s="24">
        <v>0</v>
      </c>
      <c r="R51" s="24">
        <v>0</v>
      </c>
      <c r="S51" s="24">
        <v>0</v>
      </c>
      <c r="T51" s="24">
        <v>0</v>
      </c>
      <c r="U51" s="24">
        <v>0</v>
      </c>
      <c r="V51" s="24">
        <v>0</v>
      </c>
      <c r="W51" s="24">
        <v>2673842</v>
      </c>
      <c r="X51" s="24">
        <v>5570133</v>
      </c>
      <c r="Y51" s="24">
        <v>8197967</v>
      </c>
      <c r="Z51" s="24">
        <v>9715272</v>
      </c>
      <c r="AA51" s="24">
        <v>13804130</v>
      </c>
      <c r="AB51" s="24">
        <v>15579000</v>
      </c>
      <c r="AC51" s="24">
        <v>14024528</v>
      </c>
      <c r="AD51" s="24"/>
      <c r="AE51" s="24"/>
      <c r="AF51" s="24"/>
      <c r="AG51" s="24"/>
      <c r="AH51" s="24"/>
    </row>
    <row r="52" spans="2:34" ht="15" customHeight="1" x14ac:dyDescent="0.2">
      <c r="B52" s="73" t="s">
        <v>297</v>
      </c>
      <c r="C52" s="7" t="s">
        <v>414</v>
      </c>
      <c r="D52" s="70"/>
      <c r="E52" s="70"/>
      <c r="F52" s="70"/>
      <c r="G52" s="70"/>
      <c r="H52" s="70"/>
      <c r="I52" s="70"/>
      <c r="J52" s="70"/>
      <c r="K52" s="70"/>
      <c r="L52" s="70"/>
      <c r="M52" s="70">
        <f t="shared" ref="M52:Z52" si="3">M53-SUM(M48:M51)</f>
        <v>1015649</v>
      </c>
      <c r="N52" s="70">
        <f t="shared" si="3"/>
        <v>2755825</v>
      </c>
      <c r="O52" s="70">
        <f t="shared" si="3"/>
        <v>2327670</v>
      </c>
      <c r="P52" s="70">
        <f t="shared" si="3"/>
        <v>6661151</v>
      </c>
      <c r="Q52" s="70">
        <f t="shared" si="3"/>
        <v>3339278</v>
      </c>
      <c r="R52" s="70">
        <f t="shared" si="3"/>
        <v>4115873</v>
      </c>
      <c r="S52" s="70">
        <f t="shared" si="3"/>
        <v>3745729</v>
      </c>
      <c r="T52" s="70">
        <f t="shared" si="3"/>
        <v>4119472</v>
      </c>
      <c r="U52" s="70">
        <f t="shared" si="3"/>
        <v>3993581</v>
      </c>
      <c r="V52" s="70">
        <f t="shared" si="3"/>
        <v>5185837</v>
      </c>
      <c r="W52" s="70">
        <f t="shared" si="3"/>
        <v>3542357</v>
      </c>
      <c r="X52" s="70">
        <f t="shared" si="3"/>
        <v>3363065</v>
      </c>
      <c r="Y52" s="70">
        <f t="shared" si="3"/>
        <v>4244022</v>
      </c>
      <c r="Z52" s="70">
        <f t="shared" si="3"/>
        <v>5070468</v>
      </c>
      <c r="AA52" s="70">
        <f>AA53-SUM(AA48:AA51)</f>
        <v>5488168</v>
      </c>
      <c r="AB52" s="70">
        <f>AB53-SUM(AB48:AB51)</f>
        <v>5455000</v>
      </c>
      <c r="AC52" s="70">
        <f>AC53-SUM(AC48:AC51)</f>
        <v>5737790</v>
      </c>
      <c r="AD52" s="70"/>
      <c r="AE52" s="70"/>
      <c r="AF52" s="70"/>
      <c r="AG52" s="70"/>
      <c r="AH52" s="70"/>
    </row>
    <row r="53" spans="2:34" ht="15" customHeight="1" thickBot="1" x14ac:dyDescent="0.25">
      <c r="B53" s="136" t="s">
        <v>418</v>
      </c>
      <c r="C53" s="137" t="s">
        <v>414</v>
      </c>
      <c r="D53" s="139"/>
      <c r="E53" s="139"/>
      <c r="F53" s="139"/>
      <c r="G53" s="139"/>
      <c r="H53" s="139"/>
      <c r="I53" s="139"/>
      <c r="J53" s="139"/>
      <c r="K53" s="139"/>
      <c r="L53" s="139"/>
      <c r="M53" s="139">
        <v>34005013</v>
      </c>
      <c r="N53" s="139">
        <v>36410749</v>
      </c>
      <c r="O53" s="139">
        <v>35235622</v>
      </c>
      <c r="P53" s="139">
        <v>62975674</v>
      </c>
      <c r="Q53" s="139">
        <v>44480561</v>
      </c>
      <c r="R53" s="139">
        <v>47046910</v>
      </c>
      <c r="S53" s="139">
        <v>50166612</v>
      </c>
      <c r="T53" s="139">
        <v>53095220</v>
      </c>
      <c r="U53" s="139">
        <v>55918331</v>
      </c>
      <c r="V53" s="139">
        <v>59167138</v>
      </c>
      <c r="W53" s="139">
        <v>59697699</v>
      </c>
      <c r="X53" s="139">
        <v>62426757</v>
      </c>
      <c r="Y53" s="139">
        <v>79181180</v>
      </c>
      <c r="Z53" s="139">
        <v>76783076</v>
      </c>
      <c r="AA53" s="139">
        <v>80722476</v>
      </c>
      <c r="AB53" s="139">
        <v>80104000</v>
      </c>
      <c r="AC53" s="139">
        <v>77425991</v>
      </c>
      <c r="AD53" s="139"/>
      <c r="AE53" s="139"/>
      <c r="AF53" s="139"/>
      <c r="AG53" s="139"/>
      <c r="AH53" s="139"/>
    </row>
    <row r="54" spans="2:34" ht="15" customHeight="1" thickTop="1" x14ac:dyDescent="0.2">
      <c r="B54" s="82"/>
      <c r="C54" s="7"/>
    </row>
    <row r="55" spans="2:34" ht="15" customHeight="1" x14ac:dyDescent="0.2">
      <c r="B55" s="168" t="s">
        <v>417</v>
      </c>
    </row>
    <row r="56" spans="2:34" ht="15" customHeight="1" x14ac:dyDescent="0.2">
      <c r="B56" s="85" t="s">
        <v>408</v>
      </c>
      <c r="C56" s="7" t="s">
        <v>414</v>
      </c>
      <c r="D56" s="24"/>
      <c r="E56" s="24"/>
      <c r="F56" s="24"/>
      <c r="G56" s="24"/>
      <c r="H56" s="24"/>
      <c r="I56" s="24"/>
      <c r="J56" s="24"/>
      <c r="K56" s="24"/>
      <c r="L56" s="24"/>
      <c r="M56" s="24"/>
      <c r="N56" s="24">
        <v>208710000</v>
      </c>
      <c r="O56" s="24">
        <v>192651000</v>
      </c>
      <c r="P56" s="24">
        <v>188931000</v>
      </c>
      <c r="Q56" s="24">
        <v>192759000</v>
      </c>
      <c r="R56" s="24">
        <v>185902000</v>
      </c>
      <c r="S56" s="24">
        <v>167176000</v>
      </c>
      <c r="T56" s="24">
        <v>158829000</v>
      </c>
      <c r="U56" s="24">
        <v>137516000</v>
      </c>
      <c r="V56" s="24">
        <v>143889553</v>
      </c>
      <c r="W56" s="24">
        <v>138385804</v>
      </c>
      <c r="X56" s="24">
        <v>119282880</v>
      </c>
      <c r="Y56" s="24">
        <v>137534150</v>
      </c>
      <c r="Z56" s="24">
        <v>126276254</v>
      </c>
      <c r="AA56" s="24">
        <v>132900000</v>
      </c>
      <c r="AB56" s="24">
        <v>124283000</v>
      </c>
      <c r="AC56" s="24">
        <v>126775769</v>
      </c>
      <c r="AD56" s="24"/>
      <c r="AE56" s="24"/>
      <c r="AF56" s="24"/>
      <c r="AG56" s="24"/>
      <c r="AH56" s="24"/>
    </row>
    <row r="57" spans="2:34" ht="15" customHeight="1" x14ac:dyDescent="0.2">
      <c r="B57" s="85" t="s">
        <v>409</v>
      </c>
      <c r="C57" s="7" t="s">
        <v>414</v>
      </c>
      <c r="D57" s="24"/>
      <c r="E57" s="24"/>
      <c r="F57" s="24"/>
      <c r="G57" s="24"/>
      <c r="H57" s="24"/>
      <c r="I57" s="24"/>
      <c r="J57" s="24"/>
      <c r="K57" s="24"/>
      <c r="L57" s="24"/>
      <c r="M57" s="24"/>
      <c r="N57" s="24"/>
      <c r="O57" s="24"/>
      <c r="P57" s="24"/>
      <c r="Q57" s="24"/>
      <c r="R57" s="24">
        <v>271650000</v>
      </c>
      <c r="S57" s="24">
        <v>254738000</v>
      </c>
      <c r="T57" s="24">
        <v>241579000</v>
      </c>
      <c r="U57" s="24">
        <v>202954000</v>
      </c>
      <c r="V57" s="24">
        <v>206853125</v>
      </c>
      <c r="W57" s="24">
        <v>187501324</v>
      </c>
      <c r="X57" s="24">
        <v>159656913</v>
      </c>
      <c r="Y57" s="24">
        <v>174772514</v>
      </c>
      <c r="Z57" s="24">
        <v>179559430</v>
      </c>
      <c r="AA57" s="24">
        <v>184781000</v>
      </c>
      <c r="AB57" s="24">
        <v>175603000</v>
      </c>
      <c r="AC57" s="24">
        <v>177826003</v>
      </c>
      <c r="AD57" s="24"/>
      <c r="AE57" s="24"/>
      <c r="AF57" s="24"/>
      <c r="AG57" s="24"/>
      <c r="AH57" s="24"/>
    </row>
    <row r="58" spans="2:34" ht="15" customHeight="1" x14ac:dyDescent="0.2">
      <c r="B58" s="85" t="s">
        <v>411</v>
      </c>
      <c r="C58" s="7" t="s">
        <v>414</v>
      </c>
      <c r="D58" s="24"/>
      <c r="E58" s="24"/>
      <c r="F58" s="24"/>
      <c r="G58" s="24"/>
      <c r="H58" s="24"/>
      <c r="I58" s="24"/>
      <c r="J58" s="24"/>
      <c r="K58" s="24"/>
      <c r="L58" s="24"/>
      <c r="M58" s="24"/>
      <c r="N58" s="24"/>
      <c r="O58" s="24"/>
      <c r="P58" s="24"/>
      <c r="Q58" s="24"/>
      <c r="R58" s="24">
        <v>194373000</v>
      </c>
      <c r="S58" s="24">
        <v>230728000</v>
      </c>
      <c r="T58" s="24">
        <v>262311000</v>
      </c>
      <c r="U58" s="24">
        <v>275395000</v>
      </c>
      <c r="V58" s="24">
        <v>344616124</v>
      </c>
      <c r="W58" s="24">
        <v>373501926</v>
      </c>
      <c r="X58" s="24">
        <v>463483261</v>
      </c>
      <c r="Y58" s="24">
        <v>617727464</v>
      </c>
      <c r="Z58" s="24">
        <v>749851771</v>
      </c>
      <c r="AA58" s="24">
        <v>694563000</v>
      </c>
      <c r="AB58" s="24">
        <v>597428000</v>
      </c>
      <c r="AC58" s="24">
        <v>590061157</v>
      </c>
      <c r="AD58" s="24"/>
      <c r="AE58" s="24"/>
      <c r="AF58" s="24"/>
      <c r="AG58" s="24"/>
      <c r="AH58" s="24"/>
    </row>
    <row r="59" spans="2:34" ht="15" customHeight="1" thickBot="1" x14ac:dyDescent="0.25">
      <c r="B59" s="155" t="s">
        <v>419</v>
      </c>
      <c r="C59" s="137" t="s">
        <v>414</v>
      </c>
      <c r="D59" s="139"/>
      <c r="E59" s="139"/>
      <c r="F59" s="139"/>
      <c r="G59" s="139"/>
      <c r="H59" s="139"/>
      <c r="I59" s="139"/>
      <c r="J59" s="139"/>
      <c r="K59" s="139"/>
      <c r="L59" s="139"/>
      <c r="M59" s="139"/>
      <c r="N59" s="139"/>
      <c r="O59" s="139"/>
      <c r="P59" s="139"/>
      <c r="Q59" s="139"/>
      <c r="R59" s="139">
        <v>651925000</v>
      </c>
      <c r="S59" s="139">
        <v>652642000</v>
      </c>
      <c r="T59" s="139">
        <v>662719000</v>
      </c>
      <c r="U59" s="139">
        <v>615865000</v>
      </c>
      <c r="V59" s="139">
        <v>695358802</v>
      </c>
      <c r="W59" s="139">
        <v>699389054</v>
      </c>
      <c r="X59" s="139">
        <v>742423054</v>
      </c>
      <c r="Y59" s="139">
        <v>930034128</v>
      </c>
      <c r="Z59" s="139">
        <v>1055687456</v>
      </c>
      <c r="AA59" s="139">
        <v>1012000000</v>
      </c>
      <c r="AB59" s="139">
        <v>897314000</v>
      </c>
      <c r="AC59" s="139">
        <v>894662929</v>
      </c>
      <c r="AD59" s="139"/>
      <c r="AE59" s="139"/>
      <c r="AF59" s="139"/>
      <c r="AG59" s="139"/>
      <c r="AH59" s="139"/>
    </row>
    <row r="60" spans="2:34" ht="15" customHeight="1" thickTop="1" x14ac:dyDescent="0.2">
      <c r="B60" s="73"/>
      <c r="C60" s="7"/>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row>
    <row r="61" spans="2:34" ht="15" customHeight="1" x14ac:dyDescent="0.2">
      <c r="B61" s="85" t="s">
        <v>410</v>
      </c>
      <c r="C61" s="7" t="s">
        <v>414</v>
      </c>
      <c r="D61" s="24"/>
      <c r="E61" s="24"/>
      <c r="F61" s="24"/>
      <c r="G61" s="24"/>
      <c r="H61" s="24"/>
      <c r="I61" s="24"/>
      <c r="J61" s="24"/>
      <c r="K61" s="24"/>
      <c r="L61" s="24"/>
      <c r="M61" s="24"/>
      <c r="N61" s="24">
        <v>56211</v>
      </c>
      <c r="O61" s="24">
        <v>53604</v>
      </c>
      <c r="P61" s="24">
        <v>49484</v>
      </c>
      <c r="Q61" s="24">
        <v>50302</v>
      </c>
      <c r="R61" s="24">
        <v>46336</v>
      </c>
      <c r="S61" s="24">
        <v>45281</v>
      </c>
      <c r="T61" s="24">
        <v>43066</v>
      </c>
      <c r="U61" s="24">
        <v>37831</v>
      </c>
      <c r="V61" s="24">
        <v>38319</v>
      </c>
      <c r="W61" s="24">
        <v>36727</v>
      </c>
      <c r="X61" s="24">
        <v>31341</v>
      </c>
      <c r="Y61" s="24">
        <v>35723</v>
      </c>
      <c r="Z61" s="24">
        <v>31768</v>
      </c>
      <c r="AA61" s="24">
        <v>32716</v>
      </c>
      <c r="AB61" s="24">
        <v>31117</v>
      </c>
      <c r="AC61" s="24">
        <v>31560</v>
      </c>
      <c r="AD61" s="24"/>
      <c r="AE61" s="24"/>
      <c r="AF61" s="24"/>
      <c r="AG61" s="24"/>
      <c r="AH61" s="24"/>
    </row>
    <row r="62" spans="2:34" ht="15" customHeight="1" x14ac:dyDescent="0.2">
      <c r="B62" s="85" t="s">
        <v>412</v>
      </c>
      <c r="C62" s="7" t="s">
        <v>414</v>
      </c>
      <c r="D62" s="24"/>
      <c r="E62" s="24"/>
      <c r="F62" s="24"/>
      <c r="G62" s="24"/>
      <c r="H62" s="24"/>
      <c r="I62" s="24"/>
      <c r="J62" s="24"/>
      <c r="K62" s="24"/>
      <c r="L62" s="24"/>
      <c r="M62" s="24"/>
      <c r="N62" s="24"/>
      <c r="O62" s="24"/>
      <c r="P62" s="24"/>
      <c r="Q62" s="24"/>
      <c r="R62" s="24">
        <v>67709</v>
      </c>
      <c r="S62" s="24">
        <v>68997</v>
      </c>
      <c r="T62" s="24">
        <v>65504</v>
      </c>
      <c r="U62" s="24">
        <v>55833</v>
      </c>
      <c r="V62" s="24">
        <v>55087</v>
      </c>
      <c r="W62" s="24">
        <v>49761</v>
      </c>
      <c r="X62" s="24">
        <v>41949</v>
      </c>
      <c r="Y62" s="24">
        <v>45395</v>
      </c>
      <c r="Z62" s="24">
        <v>45172</v>
      </c>
      <c r="AA62" s="24">
        <v>45501</v>
      </c>
      <c r="AB62" s="24">
        <v>43967</v>
      </c>
      <c r="AC62" s="24">
        <v>44268</v>
      </c>
      <c r="AD62" s="24"/>
      <c r="AE62" s="24"/>
      <c r="AF62" s="24"/>
      <c r="AG62" s="24"/>
      <c r="AH62" s="24"/>
    </row>
    <row r="63" spans="2:34" ht="15" customHeight="1" x14ac:dyDescent="0.2">
      <c r="B63" s="85" t="s">
        <v>413</v>
      </c>
      <c r="C63" s="7" t="s">
        <v>414</v>
      </c>
      <c r="D63" s="24"/>
      <c r="E63" s="24"/>
      <c r="F63" s="24"/>
      <c r="G63" s="24"/>
      <c r="H63" s="24"/>
      <c r="I63" s="24"/>
      <c r="J63" s="24"/>
      <c r="K63" s="24"/>
      <c r="L63" s="24"/>
      <c r="M63" s="24"/>
      <c r="N63" s="24"/>
      <c r="O63" s="24"/>
      <c r="P63" s="24"/>
      <c r="Q63" s="24"/>
      <c r="R63" s="24">
        <v>48448</v>
      </c>
      <c r="S63" s="24">
        <v>62494</v>
      </c>
      <c r="T63" s="24">
        <v>71126</v>
      </c>
      <c r="U63" s="24">
        <v>75762</v>
      </c>
      <c r="V63" s="24">
        <v>91775</v>
      </c>
      <c r="W63" s="24">
        <v>99125</v>
      </c>
      <c r="X63" s="24">
        <v>121777</v>
      </c>
      <c r="Y63" s="24">
        <v>160449</v>
      </c>
      <c r="Z63" s="24">
        <v>188642</v>
      </c>
      <c r="AA63" s="24">
        <v>171033</v>
      </c>
      <c r="AB63" s="24">
        <v>149581</v>
      </c>
      <c r="AC63" s="24">
        <v>146891</v>
      </c>
      <c r="AD63" s="24"/>
      <c r="AE63" s="24"/>
      <c r="AF63" s="24"/>
      <c r="AG63" s="24"/>
      <c r="AH63" s="24"/>
    </row>
    <row r="64" spans="2:34" ht="15" customHeight="1" thickBot="1" x14ac:dyDescent="0.25">
      <c r="B64" s="155" t="s">
        <v>420</v>
      </c>
      <c r="C64" s="137" t="s">
        <v>414</v>
      </c>
      <c r="D64" s="139"/>
      <c r="E64" s="139"/>
      <c r="F64" s="139"/>
      <c r="G64" s="139"/>
      <c r="H64" s="139"/>
      <c r="I64" s="139"/>
      <c r="J64" s="139"/>
      <c r="K64" s="139"/>
      <c r="L64" s="139"/>
      <c r="M64" s="139"/>
      <c r="N64" s="139"/>
      <c r="O64" s="139"/>
      <c r="P64" s="139"/>
      <c r="Q64" s="139"/>
      <c r="R64" s="139">
        <v>169287</v>
      </c>
      <c r="S64" s="139">
        <v>176772</v>
      </c>
      <c r="T64" s="139">
        <v>179696</v>
      </c>
      <c r="U64" s="139">
        <v>169426</v>
      </c>
      <c r="V64" s="139">
        <v>185182</v>
      </c>
      <c r="W64" s="139">
        <v>185613</v>
      </c>
      <c r="X64" s="139">
        <v>195066</v>
      </c>
      <c r="Y64" s="139">
        <v>241567</v>
      </c>
      <c r="Z64" s="139">
        <v>265582</v>
      </c>
      <c r="AA64" s="139">
        <v>249250</v>
      </c>
      <c r="AB64" s="139">
        <v>224665</v>
      </c>
      <c r="AC64" s="139">
        <v>222719</v>
      </c>
      <c r="AD64" s="139"/>
      <c r="AE64" s="139"/>
      <c r="AF64" s="139"/>
      <c r="AG64" s="139"/>
      <c r="AH64" s="139"/>
    </row>
    <row r="65" spans="1:36" ht="15" customHeight="1" thickTop="1" x14ac:dyDescent="0.2"/>
    <row r="66" spans="1:36" ht="15" customHeight="1" x14ac:dyDescent="0.2">
      <c r="B66" s="73" t="s">
        <v>421</v>
      </c>
      <c r="N66" s="129"/>
      <c r="O66" s="129"/>
      <c r="P66" s="129"/>
      <c r="Q66" s="129"/>
      <c r="R66" s="129">
        <f t="shared" ref="R66:Z66" si="4">R49/R59</f>
        <v>1.4530442919047436E-2</v>
      </c>
      <c r="S66" s="129">
        <f t="shared" si="4"/>
        <v>1.6500931598027711E-2</v>
      </c>
      <c r="T66" s="129">
        <f t="shared" si="4"/>
        <v>1.5282849895657133E-2</v>
      </c>
      <c r="U66" s="129">
        <f t="shared" si="4"/>
        <v>1.6659178553741487E-2</v>
      </c>
      <c r="V66" s="129">
        <f t="shared" si="4"/>
        <v>1.6239470856658545E-2</v>
      </c>
      <c r="W66" s="129">
        <f t="shared" si="4"/>
        <v>1.6569931905168193E-2</v>
      </c>
      <c r="X66" s="129">
        <f t="shared" si="4"/>
        <v>1.7735910717018223E-2</v>
      </c>
      <c r="Y66" s="129">
        <f t="shared" si="4"/>
        <v>1.8047067838353564E-2</v>
      </c>
      <c r="Z66" s="129">
        <f t="shared" si="4"/>
        <v>1.8288908227777598E-2</v>
      </c>
      <c r="AA66" s="129">
        <f>AA49/AA59</f>
        <v>1.7970722332015809E-2</v>
      </c>
      <c r="AB66" s="129">
        <f>AB49/AB59</f>
        <v>2.0786480540814029E-2</v>
      </c>
      <c r="AC66" s="129">
        <f>AC49/AC59</f>
        <v>2.0405835995021986E-2</v>
      </c>
      <c r="AD66" s="129"/>
      <c r="AE66" s="129"/>
      <c r="AF66" s="129"/>
      <c r="AG66" s="129"/>
      <c r="AH66" s="129"/>
    </row>
    <row r="67" spans="1:36" ht="15" customHeight="1" x14ac:dyDescent="0.2">
      <c r="B67" s="73" t="s">
        <v>480</v>
      </c>
      <c r="R67" s="129">
        <f>R48/(R56+R57)</f>
        <v>7.3124536664685102E-2</v>
      </c>
      <c r="S67" s="129">
        <f t="shared" ref="S67:Z67" si="5">S48/(S56+S57)</f>
        <v>8.4499879122285584E-2</v>
      </c>
      <c r="T67" s="129">
        <f t="shared" si="5"/>
        <v>8.941611056722143E-2</v>
      </c>
      <c r="U67" s="129">
        <f t="shared" si="5"/>
        <v>0.10511844802772638</v>
      </c>
      <c r="V67" s="129">
        <f t="shared" si="5"/>
        <v>0.10445499877263296</v>
      </c>
      <c r="W67" s="129">
        <f t="shared" si="5"/>
        <v>0.10670776785022329</v>
      </c>
      <c r="X67" s="129">
        <f t="shared" si="5"/>
        <v>0.11647677676451133</v>
      </c>
      <c r="Y67" s="129">
        <f t="shared" si="5"/>
        <v>0.12187234659840623</v>
      </c>
      <c r="Z67" s="129">
        <f t="shared" si="5"/>
        <v>0.10387601140748508</v>
      </c>
      <c r="AA67" s="129">
        <f>AA48/(AA56+AA57)</f>
        <v>0.10182563011322679</v>
      </c>
      <c r="AB67" s="129">
        <f>AB48/(AB56+AB57)</f>
        <v>9.9941311031525315E-2</v>
      </c>
      <c r="AC67" s="129">
        <f>AC48/(AC56+AC57)</f>
        <v>9.5462934470387784E-2</v>
      </c>
      <c r="AD67" s="129"/>
      <c r="AE67" s="129"/>
      <c r="AF67" s="129"/>
      <c r="AG67" s="129"/>
      <c r="AH67" s="129"/>
    </row>
    <row r="69" spans="1:36" s="399" customFormat="1" ht="15" customHeight="1" x14ac:dyDescent="0.2"/>
    <row r="71" spans="1:36" ht="15" customHeight="1" x14ac:dyDescent="0.2">
      <c r="A71" s="12" t="s">
        <v>0</v>
      </c>
      <c r="B71" s="20" t="s">
        <v>423</v>
      </c>
      <c r="C71" s="7"/>
      <c r="G71" s="65"/>
      <c r="H71" s="65"/>
      <c r="I71" s="65"/>
      <c r="J71" s="65"/>
      <c r="K71" s="65"/>
      <c r="L71" s="65"/>
      <c r="M71" s="65"/>
      <c r="N71" s="65"/>
      <c r="O71" s="65"/>
    </row>
    <row r="72" spans="1:36" ht="15" customHeight="1" x14ac:dyDescent="0.2">
      <c r="B72" s="20"/>
      <c r="C72" s="7"/>
      <c r="G72" s="65"/>
      <c r="H72" s="65"/>
      <c r="I72" s="65"/>
      <c r="J72" s="65"/>
      <c r="K72" s="65"/>
      <c r="L72" s="65"/>
      <c r="M72" s="65"/>
      <c r="N72" s="65"/>
      <c r="O72" s="65"/>
      <c r="P72" s="24"/>
      <c r="Q72" s="24"/>
      <c r="R72" s="24"/>
      <c r="S72" s="24"/>
      <c r="T72" s="24"/>
    </row>
    <row r="73" spans="1:36" ht="15" customHeight="1" x14ac:dyDescent="0.2">
      <c r="B73" s="168" t="s">
        <v>416</v>
      </c>
      <c r="C73" s="7"/>
      <c r="G73" s="65"/>
      <c r="H73" s="65"/>
      <c r="I73" s="65"/>
      <c r="J73" s="65"/>
      <c r="K73" s="65"/>
      <c r="L73" s="65"/>
      <c r="M73" s="65"/>
      <c r="N73" s="65"/>
      <c r="O73" s="65"/>
    </row>
    <row r="74" spans="1:36" ht="15" customHeight="1" x14ac:dyDescent="0.2">
      <c r="B74" s="85" t="s">
        <v>406</v>
      </c>
      <c r="C74" s="7" t="s">
        <v>414</v>
      </c>
      <c r="G74" s="65"/>
      <c r="H74" s="65"/>
      <c r="I74" s="65"/>
      <c r="J74" s="65"/>
      <c r="K74" s="65"/>
      <c r="L74" s="24"/>
      <c r="M74" s="24">
        <v>24251027</v>
      </c>
      <c r="N74" s="24">
        <v>24739284</v>
      </c>
      <c r="O74" s="24">
        <v>23332526</v>
      </c>
    </row>
    <row r="75" spans="1:36" ht="15" customHeight="1" x14ac:dyDescent="0.2">
      <c r="B75" s="85" t="s">
        <v>407</v>
      </c>
      <c r="C75" s="7" t="s">
        <v>414</v>
      </c>
      <c r="G75" s="65"/>
      <c r="H75" s="65"/>
      <c r="I75" s="65"/>
      <c r="J75" s="65"/>
      <c r="K75" s="65"/>
      <c r="L75" s="24"/>
      <c r="M75" s="24">
        <v>5462228</v>
      </c>
      <c r="N75" s="24">
        <v>5556833</v>
      </c>
      <c r="O75" s="24">
        <v>6535018</v>
      </c>
    </row>
    <row r="76" spans="1:36" ht="15" customHeight="1" x14ac:dyDescent="0.2">
      <c r="B76" s="85" t="s">
        <v>437</v>
      </c>
      <c r="C76" s="7" t="s">
        <v>414</v>
      </c>
      <c r="D76" s="24"/>
      <c r="E76" s="24"/>
      <c r="F76" s="24"/>
      <c r="G76" s="24"/>
      <c r="H76" s="24"/>
      <c r="I76" s="24"/>
      <c r="J76" s="24"/>
      <c r="K76" s="24"/>
      <c r="L76" s="24"/>
      <c r="M76" s="24">
        <v>0</v>
      </c>
      <c r="N76" s="24">
        <v>0</v>
      </c>
      <c r="O76" s="24">
        <v>126828</v>
      </c>
      <c r="P76" s="24"/>
      <c r="Q76" s="24"/>
      <c r="R76" s="24"/>
      <c r="S76" s="24"/>
      <c r="T76" s="24"/>
      <c r="U76" s="24"/>
      <c r="V76" s="24"/>
      <c r="W76" s="24"/>
      <c r="X76" s="24"/>
      <c r="Y76" s="24"/>
      <c r="Z76" s="24"/>
      <c r="AA76" s="24"/>
      <c r="AB76" s="24"/>
      <c r="AC76" s="24"/>
      <c r="AD76" s="24"/>
      <c r="AE76" s="24"/>
      <c r="AF76" s="24"/>
      <c r="AG76" s="24"/>
      <c r="AH76" s="24"/>
    </row>
    <row r="77" spans="1:36" s="66" customFormat="1" ht="15" customHeight="1" x14ac:dyDescent="0.2">
      <c r="B77" s="160" t="s">
        <v>430</v>
      </c>
      <c r="C77" s="157" t="s">
        <v>414</v>
      </c>
      <c r="D77" s="158"/>
      <c r="E77" s="158"/>
      <c r="F77" s="158"/>
      <c r="G77" s="158"/>
      <c r="H77" s="158"/>
      <c r="I77" s="158"/>
      <c r="J77" s="158"/>
      <c r="K77" s="158"/>
      <c r="L77" s="159"/>
      <c r="M77" s="159">
        <f>SUM(M74:M76)</f>
        <v>29713255</v>
      </c>
      <c r="N77" s="159">
        <f>SUM(N74:N76)</f>
        <v>30296117</v>
      </c>
      <c r="O77" s="158">
        <v>29994372</v>
      </c>
      <c r="P77" s="158">
        <v>30704497</v>
      </c>
      <c r="Q77" s="158">
        <v>30448406</v>
      </c>
      <c r="R77" s="158">
        <v>32018231</v>
      </c>
      <c r="S77" s="158">
        <v>34020554</v>
      </c>
      <c r="T77" s="158">
        <v>34936094</v>
      </c>
      <c r="U77" s="158">
        <v>35324735</v>
      </c>
      <c r="V77" s="158">
        <v>35565620</v>
      </c>
      <c r="W77" s="158">
        <v>34244576</v>
      </c>
      <c r="X77" s="158">
        <v>33680824</v>
      </c>
      <c r="Y77" s="158">
        <v>38508184</v>
      </c>
      <c r="Z77" s="158">
        <v>34002358</v>
      </c>
      <c r="AA77" s="158">
        <v>33906528</v>
      </c>
      <c r="AB77" s="158">
        <v>31016595</v>
      </c>
      <c r="AC77" s="158">
        <v>30259625</v>
      </c>
      <c r="AD77" s="158"/>
      <c r="AE77" s="158"/>
      <c r="AF77" s="158"/>
      <c r="AG77" s="158"/>
      <c r="AH77" s="158"/>
    </row>
    <row r="78" spans="1:36" ht="15" customHeight="1" x14ac:dyDescent="0.2">
      <c r="B78" s="73" t="s">
        <v>429</v>
      </c>
      <c r="C78" s="7" t="s">
        <v>414</v>
      </c>
      <c r="D78" s="24"/>
      <c r="E78" s="24"/>
      <c r="F78" s="24"/>
      <c r="G78" s="24"/>
      <c r="H78" s="24"/>
      <c r="I78" s="24"/>
      <c r="J78" s="24"/>
      <c r="K78" s="24"/>
      <c r="L78" s="24"/>
      <c r="M78" s="24">
        <v>6790233</v>
      </c>
      <c r="N78" s="24">
        <v>4508916</v>
      </c>
      <c r="O78" s="24">
        <v>5285537</v>
      </c>
      <c r="P78" s="24">
        <v>8905038</v>
      </c>
      <c r="Q78" s="24">
        <v>6734242</v>
      </c>
      <c r="R78" s="24">
        <v>14187573</v>
      </c>
      <c r="S78" s="24">
        <v>12235588</v>
      </c>
      <c r="T78" s="24">
        <v>18611653</v>
      </c>
      <c r="U78" s="24">
        <v>20877617</v>
      </c>
      <c r="V78" s="24">
        <v>24512581</v>
      </c>
      <c r="W78" s="24">
        <v>25148952</v>
      </c>
      <c r="X78" s="24">
        <v>35537137</v>
      </c>
      <c r="Y78" s="24">
        <v>51942178</v>
      </c>
      <c r="Z78" s="24">
        <v>68784474</v>
      </c>
      <c r="AA78" s="24">
        <v>62599660</v>
      </c>
      <c r="AB78" s="24">
        <v>57793297</v>
      </c>
      <c r="AC78" s="24">
        <v>61747275</v>
      </c>
      <c r="AD78" s="24"/>
      <c r="AE78" s="24"/>
      <c r="AF78" s="24"/>
      <c r="AG78" s="24"/>
      <c r="AH78" s="24"/>
      <c r="AJ78" s="24" t="s">
        <v>436</v>
      </c>
    </row>
    <row r="79" spans="1:36" ht="15" customHeight="1" x14ac:dyDescent="0.2">
      <c r="B79" s="73" t="s">
        <v>433</v>
      </c>
      <c r="C79" s="7" t="s">
        <v>414</v>
      </c>
      <c r="D79" s="24"/>
      <c r="E79" s="24"/>
      <c r="F79" s="24"/>
      <c r="G79" s="24"/>
      <c r="H79" s="24"/>
      <c r="I79" s="24"/>
      <c r="J79" s="24"/>
      <c r="K79" s="24"/>
      <c r="L79" s="24"/>
      <c r="M79" s="24"/>
      <c r="N79" s="24">
        <v>0</v>
      </c>
      <c r="O79" s="24">
        <v>0</v>
      </c>
      <c r="P79" s="24">
        <v>6913157</v>
      </c>
      <c r="Q79" s="24">
        <v>0</v>
      </c>
      <c r="R79" s="24">
        <v>0</v>
      </c>
      <c r="S79" s="24">
        <v>0</v>
      </c>
      <c r="T79" s="24">
        <v>0</v>
      </c>
      <c r="U79" s="24">
        <v>0</v>
      </c>
      <c r="V79" s="24">
        <v>0</v>
      </c>
      <c r="W79" s="24">
        <v>0</v>
      </c>
      <c r="X79" s="24">
        <v>0</v>
      </c>
      <c r="Y79" s="24">
        <v>0</v>
      </c>
      <c r="Z79" s="24">
        <v>0</v>
      </c>
      <c r="AA79" s="24">
        <v>0</v>
      </c>
      <c r="AB79" s="24">
        <v>0</v>
      </c>
      <c r="AC79" s="24">
        <v>0</v>
      </c>
      <c r="AD79" s="24"/>
      <c r="AE79" s="24"/>
      <c r="AF79" s="24"/>
      <c r="AG79" s="24"/>
      <c r="AH79" s="24"/>
    </row>
    <row r="80" spans="1:36" ht="15" customHeight="1" x14ac:dyDescent="0.2">
      <c r="B80" s="73" t="s">
        <v>431</v>
      </c>
      <c r="C80" s="7" t="s">
        <v>414</v>
      </c>
      <c r="D80" s="24"/>
      <c r="E80" s="24"/>
      <c r="F80" s="24"/>
      <c r="G80" s="24"/>
      <c r="H80" s="24"/>
      <c r="I80" s="24"/>
      <c r="J80" s="24"/>
      <c r="K80" s="24"/>
      <c r="L80" s="24"/>
      <c r="M80" s="24"/>
      <c r="N80" s="24">
        <v>0</v>
      </c>
      <c r="O80" s="24">
        <v>0</v>
      </c>
      <c r="P80" s="24">
        <v>0</v>
      </c>
      <c r="Q80" s="24">
        <v>0</v>
      </c>
      <c r="R80" s="24">
        <v>0</v>
      </c>
      <c r="S80" s="24">
        <v>0</v>
      </c>
      <c r="T80" s="24">
        <v>0</v>
      </c>
      <c r="U80" s="24">
        <v>6706949</v>
      </c>
      <c r="V80" s="24">
        <v>5149482</v>
      </c>
      <c r="W80" s="24">
        <v>5622095</v>
      </c>
      <c r="X80" s="24">
        <v>6172810</v>
      </c>
      <c r="Y80" s="23">
        <v>8500000</v>
      </c>
      <c r="Z80" s="24">
        <v>0</v>
      </c>
      <c r="AA80" s="24">
        <v>0</v>
      </c>
      <c r="AB80" s="24">
        <v>0</v>
      </c>
      <c r="AC80" s="24">
        <v>0</v>
      </c>
      <c r="AD80" s="24"/>
      <c r="AE80" s="24"/>
      <c r="AF80" s="24"/>
      <c r="AG80" s="24"/>
      <c r="AH80" s="24"/>
    </row>
    <row r="81" spans="2:34" ht="15" customHeight="1" x14ac:dyDescent="0.2">
      <c r="B81" s="73" t="s">
        <v>302</v>
      </c>
      <c r="C81" s="7" t="s">
        <v>414</v>
      </c>
      <c r="D81" s="24"/>
      <c r="E81" s="24"/>
      <c r="F81" s="24"/>
      <c r="G81" s="24"/>
      <c r="H81" s="24"/>
      <c r="I81" s="24"/>
      <c r="J81" s="24"/>
      <c r="K81" s="24"/>
      <c r="L81" s="24"/>
      <c r="M81" s="24"/>
      <c r="N81" s="24">
        <v>0</v>
      </c>
      <c r="O81" s="24">
        <v>0</v>
      </c>
      <c r="P81" s="24">
        <v>0</v>
      </c>
      <c r="Q81" s="24">
        <v>0</v>
      </c>
      <c r="R81" s="24">
        <v>0</v>
      </c>
      <c r="S81" s="24">
        <v>0</v>
      </c>
      <c r="T81" s="24">
        <v>0</v>
      </c>
      <c r="U81" s="24">
        <v>0</v>
      </c>
      <c r="V81" s="24">
        <v>0</v>
      </c>
      <c r="W81" s="24">
        <v>2317329</v>
      </c>
      <c r="X81" s="24">
        <v>5295452</v>
      </c>
      <c r="Y81" s="23">
        <f>Y85-Y80</f>
        <v>7977957</v>
      </c>
      <c r="Z81" s="70">
        <f>Z85</f>
        <v>8599192</v>
      </c>
      <c r="AA81" s="70">
        <f>AA85</f>
        <v>8579322</v>
      </c>
      <c r="AB81" s="70">
        <f>AB85</f>
        <v>8225952</v>
      </c>
      <c r="AC81" s="70">
        <f>AC85</f>
        <v>8133188</v>
      </c>
      <c r="AD81" s="24"/>
      <c r="AE81" s="24"/>
      <c r="AF81" s="24"/>
      <c r="AG81" s="24"/>
      <c r="AH81" s="24"/>
    </row>
    <row r="82" spans="2:34" ht="15" customHeight="1" x14ac:dyDescent="0.2">
      <c r="B82" s="73" t="s">
        <v>297</v>
      </c>
      <c r="C82" s="7" t="s">
        <v>414</v>
      </c>
      <c r="D82" s="70"/>
      <c r="E82" s="70"/>
      <c r="F82" s="70"/>
      <c r="G82" s="70"/>
      <c r="H82" s="70"/>
      <c r="I82" s="70"/>
      <c r="J82" s="70"/>
      <c r="K82" s="70"/>
      <c r="L82" s="70"/>
      <c r="M82" s="70">
        <f t="shared" ref="M82:Z82" si="6">M83-SUM(M77:M81)</f>
        <v>267576</v>
      </c>
      <c r="N82" s="70">
        <f t="shared" si="6"/>
        <v>289087</v>
      </c>
      <c r="O82" s="70">
        <f t="shared" si="6"/>
        <v>528667</v>
      </c>
      <c r="P82" s="70">
        <f t="shared" si="6"/>
        <v>1987541</v>
      </c>
      <c r="Q82" s="70">
        <f t="shared" si="6"/>
        <v>2722696</v>
      </c>
      <c r="R82" s="70">
        <f t="shared" si="6"/>
        <v>1993552</v>
      </c>
      <c r="S82" s="70">
        <f t="shared" si="6"/>
        <v>2222715</v>
      </c>
      <c r="T82" s="70">
        <f t="shared" si="6"/>
        <v>2325186</v>
      </c>
      <c r="U82" s="70">
        <f t="shared" si="6"/>
        <v>1901253</v>
      </c>
      <c r="V82" s="70">
        <f t="shared" si="6"/>
        <v>1813364</v>
      </c>
      <c r="W82" s="70">
        <f t="shared" si="6"/>
        <v>2073348</v>
      </c>
      <c r="X82" s="70">
        <f t="shared" si="6"/>
        <v>5508509</v>
      </c>
      <c r="Y82" s="70">
        <f t="shared" si="6"/>
        <v>7880367</v>
      </c>
      <c r="Z82" s="70">
        <f t="shared" si="6"/>
        <v>1470673</v>
      </c>
      <c r="AA82" s="70">
        <f>AA83-SUM(AA77:AA81)</f>
        <v>13887390</v>
      </c>
      <c r="AB82" s="70">
        <f>AB83-SUM(AB77:AB81)</f>
        <v>16041787</v>
      </c>
      <c r="AC82" s="70">
        <f>AC83-SUM(AC77:AC81)</f>
        <v>18987648</v>
      </c>
      <c r="AD82" s="70"/>
      <c r="AE82" s="70"/>
      <c r="AF82" s="70"/>
      <c r="AG82" s="70"/>
      <c r="AH82" s="70"/>
    </row>
    <row r="83" spans="2:34" ht="15" customHeight="1" thickBot="1" x14ac:dyDescent="0.25">
      <c r="B83" s="136" t="s">
        <v>418</v>
      </c>
      <c r="C83" s="137" t="s">
        <v>414</v>
      </c>
      <c r="D83" s="139"/>
      <c r="E83" s="139"/>
      <c r="F83" s="139"/>
      <c r="G83" s="139"/>
      <c r="H83" s="139"/>
      <c r="I83" s="139"/>
      <c r="J83" s="139"/>
      <c r="K83" s="139"/>
      <c r="L83" s="139"/>
      <c r="M83" s="139">
        <v>36771064</v>
      </c>
      <c r="N83" s="139">
        <v>35094120</v>
      </c>
      <c r="O83" s="139">
        <v>35808576</v>
      </c>
      <c r="P83" s="139">
        <v>48510233</v>
      </c>
      <c r="Q83" s="139">
        <v>39905344</v>
      </c>
      <c r="R83" s="139">
        <v>48199356</v>
      </c>
      <c r="S83" s="139">
        <v>48478857</v>
      </c>
      <c r="T83" s="139">
        <v>55872933</v>
      </c>
      <c r="U83" s="139">
        <v>64810554</v>
      </c>
      <c r="V83" s="139">
        <v>67041047</v>
      </c>
      <c r="W83" s="139">
        <v>69406300</v>
      </c>
      <c r="X83" s="139">
        <v>86194732</v>
      </c>
      <c r="Y83" s="139">
        <v>114808686</v>
      </c>
      <c r="Z83" s="139">
        <v>112856697</v>
      </c>
      <c r="AA83" s="139">
        <v>118972900</v>
      </c>
      <c r="AB83" s="139">
        <v>113077631</v>
      </c>
      <c r="AC83" s="139">
        <v>119127736</v>
      </c>
      <c r="AD83" s="139"/>
      <c r="AE83" s="139"/>
      <c r="AF83" s="139"/>
      <c r="AG83" s="139"/>
      <c r="AH83" s="139"/>
    </row>
    <row r="84" spans="2:34" ht="15" customHeight="1" thickTop="1" x14ac:dyDescent="0.2">
      <c r="B84" s="86"/>
      <c r="C84" s="124"/>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row>
    <row r="85" spans="2:34" ht="15" customHeight="1" x14ac:dyDescent="0.2">
      <c r="B85" s="73" t="s">
        <v>432</v>
      </c>
      <c r="C85" s="7"/>
      <c r="D85" s="87"/>
      <c r="E85" s="87"/>
      <c r="F85" s="87"/>
      <c r="G85" s="87"/>
      <c r="H85" s="87"/>
      <c r="I85" s="87"/>
      <c r="J85" s="87"/>
      <c r="K85" s="87"/>
      <c r="L85" s="87"/>
      <c r="M85" s="87"/>
      <c r="N85" s="87"/>
      <c r="O85" s="87"/>
      <c r="P85" s="87"/>
      <c r="Q85" s="87"/>
      <c r="R85" s="87"/>
      <c r="S85" s="87"/>
      <c r="T85" s="87"/>
      <c r="U85" s="87"/>
      <c r="V85" s="87">
        <v>5149482</v>
      </c>
      <c r="W85" s="87">
        <v>7939424</v>
      </c>
      <c r="X85" s="87">
        <v>11468262</v>
      </c>
      <c r="Y85" s="87">
        <v>16477957</v>
      </c>
      <c r="Z85" s="87">
        <v>8599192</v>
      </c>
      <c r="AA85" s="87">
        <v>8579322</v>
      </c>
      <c r="AB85" s="87">
        <v>8225952</v>
      </c>
      <c r="AC85" s="87">
        <v>8133188</v>
      </c>
      <c r="AD85" s="87"/>
      <c r="AE85" s="87"/>
      <c r="AF85" s="87"/>
      <c r="AG85" s="87"/>
      <c r="AH85" s="87"/>
    </row>
    <row r="86" spans="2:34" ht="15" customHeight="1" x14ac:dyDescent="0.2">
      <c r="B86" s="86"/>
      <c r="C86" s="124"/>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row>
    <row r="87" spans="2:34" ht="15" customHeight="1" x14ac:dyDescent="0.2">
      <c r="B87" s="168" t="s">
        <v>424</v>
      </c>
    </row>
    <row r="88" spans="2:34" ht="15" customHeight="1" x14ac:dyDescent="0.2">
      <c r="B88" s="148" t="s">
        <v>425</v>
      </c>
      <c r="C88" s="7" t="s">
        <v>414</v>
      </c>
      <c r="D88" s="24"/>
      <c r="E88" s="24"/>
      <c r="F88" s="24"/>
      <c r="G88" s="24"/>
      <c r="H88" s="24"/>
      <c r="I88" s="24"/>
      <c r="J88" s="24"/>
      <c r="K88" s="24"/>
      <c r="L88" s="24"/>
      <c r="M88" s="24"/>
      <c r="N88" s="24"/>
      <c r="O88" s="24"/>
      <c r="P88" s="24"/>
      <c r="Q88" s="24">
        <v>320126692</v>
      </c>
      <c r="R88" s="24">
        <v>341868069</v>
      </c>
      <c r="S88" s="24">
        <v>338181403</v>
      </c>
      <c r="T88" s="24">
        <v>327225510</v>
      </c>
      <c r="U88" s="24">
        <v>315891124</v>
      </c>
      <c r="V88" s="24"/>
      <c r="W88" s="24">
        <v>355678079</v>
      </c>
      <c r="X88" s="24">
        <v>340000245</v>
      </c>
      <c r="Y88" s="24">
        <v>407365532</v>
      </c>
      <c r="Z88" s="24">
        <v>423885685</v>
      </c>
      <c r="AA88" s="24">
        <v>434150836</v>
      </c>
      <c r="AB88" s="24">
        <v>417073408</v>
      </c>
      <c r="AC88" s="24">
        <v>446669776</v>
      </c>
      <c r="AD88" s="24"/>
      <c r="AE88" s="24"/>
      <c r="AF88" s="24"/>
      <c r="AG88" s="24"/>
      <c r="AH88" s="24"/>
    </row>
    <row r="89" spans="2:34" ht="15" customHeight="1" x14ac:dyDescent="0.2">
      <c r="B89" s="148" t="s">
        <v>426</v>
      </c>
      <c r="C89" s="7" t="s">
        <v>414</v>
      </c>
      <c r="D89" s="24"/>
      <c r="E89" s="24"/>
      <c r="F89" s="24"/>
      <c r="G89" s="24"/>
      <c r="H89" s="24"/>
      <c r="I89" s="24"/>
      <c r="J89" s="24"/>
      <c r="K89" s="24"/>
      <c r="L89" s="24"/>
      <c r="M89" s="24"/>
      <c r="N89" s="24"/>
      <c r="O89" s="24"/>
      <c r="P89" s="24"/>
      <c r="Q89" s="24">
        <v>469164813</v>
      </c>
      <c r="R89" s="24">
        <v>481222938</v>
      </c>
      <c r="S89" s="24">
        <v>463894019</v>
      </c>
      <c r="T89" s="24">
        <v>451575894</v>
      </c>
      <c r="U89" s="24">
        <v>430560774</v>
      </c>
      <c r="V89" s="24"/>
      <c r="W89" s="24">
        <v>322495671</v>
      </c>
      <c r="X89" s="24">
        <v>299248773</v>
      </c>
      <c r="Y89" s="24">
        <v>336598715</v>
      </c>
      <c r="Z89" s="24">
        <v>350203836</v>
      </c>
      <c r="AA89" s="24">
        <v>318771879</v>
      </c>
      <c r="AB89" s="24">
        <v>293577306</v>
      </c>
      <c r="AC89" s="24">
        <v>293177795</v>
      </c>
      <c r="AD89" s="24"/>
      <c r="AE89" s="24"/>
      <c r="AF89" s="24"/>
      <c r="AG89" s="24"/>
      <c r="AH89" s="24"/>
    </row>
    <row r="90" spans="2:34" ht="15" customHeight="1" x14ac:dyDescent="0.2">
      <c r="B90" s="156" t="s">
        <v>434</v>
      </c>
      <c r="C90" s="157" t="s">
        <v>414</v>
      </c>
      <c r="D90" s="158"/>
      <c r="E90" s="158"/>
      <c r="F90" s="158"/>
      <c r="G90" s="158"/>
      <c r="H90" s="158"/>
      <c r="I90" s="158"/>
      <c r="J90" s="158"/>
      <c r="K90" s="158"/>
      <c r="L90" s="158"/>
      <c r="M90" s="158"/>
      <c r="N90" s="158"/>
      <c r="O90" s="158"/>
      <c r="P90" s="158"/>
      <c r="Q90" s="159">
        <f>SUM(Q88:Q89)</f>
        <v>789291505</v>
      </c>
      <c r="R90" s="159">
        <f>SUM(R88:R89)</f>
        <v>823091007</v>
      </c>
      <c r="S90" s="159">
        <f>SUM(S88:S89)</f>
        <v>802075422</v>
      </c>
      <c r="T90" s="159">
        <f>SUM(T88:T89)</f>
        <v>778801404</v>
      </c>
      <c r="U90" s="159">
        <f>SUM(U88:U89)</f>
        <v>746451898</v>
      </c>
      <c r="V90" s="158">
        <v>751600000</v>
      </c>
      <c r="W90" s="158">
        <v>678200000</v>
      </c>
      <c r="X90" s="159">
        <f t="shared" ref="X90:AC90" si="7">SUM(X88:X89)</f>
        <v>639249018</v>
      </c>
      <c r="Y90" s="159">
        <f t="shared" si="7"/>
        <v>743964247</v>
      </c>
      <c r="Z90" s="159">
        <f t="shared" si="7"/>
        <v>774089521</v>
      </c>
      <c r="AA90" s="159">
        <f t="shared" si="7"/>
        <v>752922715</v>
      </c>
      <c r="AB90" s="159">
        <f t="shared" si="7"/>
        <v>710650714</v>
      </c>
      <c r="AC90" s="159">
        <f t="shared" si="7"/>
        <v>739847571</v>
      </c>
      <c r="AD90" s="158"/>
      <c r="AE90" s="158"/>
      <c r="AF90" s="158"/>
      <c r="AG90" s="158"/>
      <c r="AH90" s="158"/>
    </row>
    <row r="91" spans="2:34" ht="15" customHeight="1" x14ac:dyDescent="0.2">
      <c r="B91" s="148" t="s">
        <v>427</v>
      </c>
      <c r="C91" s="7" t="s">
        <v>414</v>
      </c>
      <c r="D91" s="24"/>
      <c r="E91" s="24"/>
      <c r="F91" s="24"/>
      <c r="G91" s="24"/>
      <c r="H91" s="24"/>
      <c r="I91" s="24"/>
      <c r="J91" s="24"/>
      <c r="K91" s="24"/>
      <c r="L91" s="24"/>
      <c r="M91" s="24"/>
      <c r="N91" s="24"/>
      <c r="O91" s="24"/>
      <c r="P91" s="24"/>
      <c r="Q91" s="24"/>
      <c r="R91" s="24"/>
      <c r="S91" s="24"/>
      <c r="T91" s="24"/>
      <c r="U91" s="24"/>
      <c r="V91" s="24"/>
      <c r="W91" s="24">
        <v>562969269</v>
      </c>
      <c r="X91" s="24">
        <v>793415508</v>
      </c>
      <c r="Y91" s="24">
        <v>1252904526</v>
      </c>
      <c r="Z91" s="24">
        <v>1734806429</v>
      </c>
      <c r="AA91" s="24">
        <v>1635001686</v>
      </c>
      <c r="AB91" s="24">
        <v>1473561463</v>
      </c>
      <c r="AC91" s="24">
        <v>1557364714</v>
      </c>
      <c r="AD91" s="24"/>
      <c r="AE91" s="24"/>
      <c r="AF91" s="24"/>
      <c r="AG91" s="24"/>
      <c r="AH91" s="24"/>
    </row>
    <row r="92" spans="2:34" ht="15" customHeight="1" x14ac:dyDescent="0.2">
      <c r="B92" s="148" t="s">
        <v>428</v>
      </c>
      <c r="C92" s="7" t="s">
        <v>414</v>
      </c>
      <c r="D92" s="24"/>
      <c r="E92" s="24"/>
      <c r="F92" s="24"/>
      <c r="G92" s="24"/>
      <c r="H92" s="24"/>
      <c r="I92" s="24"/>
      <c r="J92" s="24"/>
      <c r="K92" s="24"/>
      <c r="L92" s="24"/>
      <c r="M92" s="24"/>
      <c r="N92" s="24"/>
      <c r="O92" s="24"/>
      <c r="P92" s="24"/>
      <c r="Q92" s="24"/>
      <c r="R92" s="24"/>
      <c r="S92" s="24"/>
      <c r="T92" s="24"/>
      <c r="U92" s="24"/>
      <c r="V92" s="24"/>
      <c r="W92" s="24">
        <v>192777962</v>
      </c>
      <c r="X92" s="24">
        <v>249610902</v>
      </c>
      <c r="Y92" s="24">
        <v>340000940</v>
      </c>
      <c r="Z92" s="24">
        <v>471201497</v>
      </c>
      <c r="AA92" s="24">
        <v>392437074</v>
      </c>
      <c r="AB92" s="24">
        <v>375517281</v>
      </c>
      <c r="AC92" s="24">
        <v>393717882</v>
      </c>
      <c r="AD92" s="24"/>
      <c r="AE92" s="24"/>
      <c r="AF92" s="24"/>
      <c r="AG92" s="24"/>
      <c r="AH92" s="24"/>
    </row>
    <row r="93" spans="2:34" ht="15" customHeight="1" x14ac:dyDescent="0.2">
      <c r="B93" s="148" t="s">
        <v>297</v>
      </c>
      <c r="C93" s="7"/>
      <c r="D93" s="24"/>
      <c r="E93" s="24"/>
      <c r="F93" s="24"/>
      <c r="G93" s="24"/>
      <c r="H93" s="24"/>
      <c r="I93" s="24"/>
      <c r="J93" s="24"/>
      <c r="K93" s="24"/>
      <c r="L93" s="24"/>
      <c r="M93" s="24"/>
      <c r="N93" s="24"/>
      <c r="O93" s="24"/>
      <c r="P93" s="24"/>
      <c r="Q93" s="24"/>
      <c r="R93" s="24"/>
      <c r="S93" s="24"/>
      <c r="T93" s="24"/>
      <c r="U93" s="24"/>
      <c r="V93" s="24"/>
      <c r="W93" s="70">
        <f t="shared" ref="W93:AC93" si="8">W95-SUM(W90:W92)</f>
        <v>62052769</v>
      </c>
      <c r="X93" s="70">
        <f t="shared" si="8"/>
        <v>97724572</v>
      </c>
      <c r="Y93" s="70">
        <f t="shared" si="8"/>
        <v>133130287</v>
      </c>
      <c r="Z93" s="70">
        <f t="shared" si="8"/>
        <v>129902553</v>
      </c>
      <c r="AA93" s="70">
        <f t="shared" si="8"/>
        <v>119638525</v>
      </c>
      <c r="AB93" s="70">
        <f t="shared" si="8"/>
        <v>110270542</v>
      </c>
      <c r="AC93" s="70">
        <f t="shared" si="8"/>
        <v>69069833</v>
      </c>
      <c r="AD93" s="70"/>
      <c r="AE93" s="70"/>
      <c r="AF93" s="70"/>
      <c r="AG93" s="70"/>
      <c r="AH93" s="70"/>
    </row>
    <row r="94" spans="2:34" ht="15" customHeight="1" x14ac:dyDescent="0.2">
      <c r="B94" s="156" t="s">
        <v>435</v>
      </c>
      <c r="C94" s="157"/>
      <c r="D94" s="158"/>
      <c r="E94" s="158"/>
      <c r="F94" s="158"/>
      <c r="G94" s="158"/>
      <c r="H94" s="158"/>
      <c r="I94" s="158"/>
      <c r="J94" s="158"/>
      <c r="K94" s="158"/>
      <c r="L94" s="158"/>
      <c r="M94" s="158"/>
      <c r="N94" s="158"/>
      <c r="O94" s="158"/>
      <c r="P94" s="158"/>
      <c r="Q94" s="158">
        <v>245463808</v>
      </c>
      <c r="R94" s="158">
        <v>315139186</v>
      </c>
      <c r="S94" s="158">
        <v>383994820</v>
      </c>
      <c r="T94" s="158">
        <v>476134950</v>
      </c>
      <c r="U94" s="158">
        <v>567731917</v>
      </c>
      <c r="V94" s="158">
        <v>740200000</v>
      </c>
      <c r="W94" s="158">
        <v>817800000</v>
      </c>
      <c r="X94" s="159">
        <f t="shared" ref="X94:AC94" si="9">SUM(X91:X93)</f>
        <v>1140750982</v>
      </c>
      <c r="Y94" s="159">
        <f t="shared" si="9"/>
        <v>1726035753</v>
      </c>
      <c r="Z94" s="159">
        <f t="shared" si="9"/>
        <v>2335910479</v>
      </c>
      <c r="AA94" s="159">
        <f t="shared" si="9"/>
        <v>2147077285</v>
      </c>
      <c r="AB94" s="159">
        <f t="shared" si="9"/>
        <v>1959349286</v>
      </c>
      <c r="AC94" s="159">
        <f t="shared" si="9"/>
        <v>2020152429</v>
      </c>
      <c r="AD94" s="158"/>
      <c r="AE94" s="158"/>
      <c r="AF94" s="158"/>
      <c r="AG94" s="158"/>
      <c r="AH94" s="158"/>
    </row>
    <row r="95" spans="2:34" ht="15" customHeight="1" thickBot="1" x14ac:dyDescent="0.25">
      <c r="B95" s="155" t="s">
        <v>419</v>
      </c>
      <c r="C95" s="137" t="s">
        <v>414</v>
      </c>
      <c r="D95" s="139"/>
      <c r="E95" s="139"/>
      <c r="F95" s="139"/>
      <c r="G95" s="139"/>
      <c r="H95" s="139"/>
      <c r="I95" s="139"/>
      <c r="J95" s="139"/>
      <c r="K95" s="139"/>
      <c r="L95" s="139"/>
      <c r="M95" s="139"/>
      <c r="N95" s="139"/>
      <c r="O95" s="139"/>
      <c r="P95" s="139">
        <v>910000000</v>
      </c>
      <c r="Q95" s="139">
        <v>1030000000</v>
      </c>
      <c r="R95" s="139">
        <v>1140000000</v>
      </c>
      <c r="S95" s="139">
        <v>1190000000</v>
      </c>
      <c r="T95" s="139">
        <v>1250000000</v>
      </c>
      <c r="U95" s="139">
        <v>1320000000</v>
      </c>
      <c r="V95" s="139">
        <v>1491000000</v>
      </c>
      <c r="W95" s="139">
        <v>1496000000</v>
      </c>
      <c r="X95" s="139">
        <v>1780000000</v>
      </c>
      <c r="Y95" s="139">
        <v>2470000000</v>
      </c>
      <c r="Z95" s="139">
        <v>3110000000</v>
      </c>
      <c r="AA95" s="139">
        <v>2900000000</v>
      </c>
      <c r="AB95" s="139">
        <v>2670000000</v>
      </c>
      <c r="AC95" s="139">
        <v>2760000000</v>
      </c>
      <c r="AD95" s="139"/>
      <c r="AE95" s="139"/>
      <c r="AF95" s="139"/>
      <c r="AG95" s="139"/>
      <c r="AH95" s="139"/>
    </row>
    <row r="96" spans="2:34" ht="15" customHeight="1" thickTop="1" x14ac:dyDescent="0.2">
      <c r="B96" s="73"/>
      <c r="C96" s="7"/>
      <c r="D96" s="24"/>
      <c r="E96" s="24"/>
      <c r="F96" s="24"/>
      <c r="G96" s="24"/>
      <c r="H96" s="24"/>
      <c r="I96" s="24"/>
      <c r="J96" s="24"/>
      <c r="K96" s="24"/>
      <c r="L96" s="24"/>
      <c r="M96" s="24"/>
      <c r="N96" s="24"/>
      <c r="O96" s="24"/>
      <c r="P96" s="24"/>
      <c r="Q96" s="24"/>
      <c r="R96" s="24"/>
      <c r="S96" s="24"/>
      <c r="T96" s="24"/>
      <c r="U96" s="24"/>
      <c r="V96" s="24"/>
      <c r="W96" s="24"/>
      <c r="X96" s="24"/>
      <c r="Y96" s="24"/>
      <c r="Z96" s="24"/>
      <c r="AA96" s="24"/>
    </row>
    <row r="97" spans="1:36" ht="15" customHeight="1" x14ac:dyDescent="0.2">
      <c r="B97" s="73" t="s">
        <v>421</v>
      </c>
      <c r="N97" s="129"/>
      <c r="O97" s="129"/>
      <c r="P97" s="129">
        <f t="shared" ref="P97:AA97" si="10">P78/P95</f>
        <v>9.7857560439560433E-3</v>
      </c>
      <c r="Q97" s="129">
        <f t="shared" si="10"/>
        <v>6.5380990291262139E-3</v>
      </c>
      <c r="R97" s="129">
        <f t="shared" si="10"/>
        <v>1.244523947368421E-2</v>
      </c>
      <c r="S97" s="129">
        <f t="shared" si="10"/>
        <v>1.0282006722689075E-2</v>
      </c>
      <c r="T97" s="129">
        <f t="shared" si="10"/>
        <v>1.48893224E-2</v>
      </c>
      <c r="U97" s="129">
        <f t="shared" si="10"/>
        <v>1.5816376515151515E-2</v>
      </c>
      <c r="V97" s="129">
        <f t="shared" si="10"/>
        <v>1.6440362843729042E-2</v>
      </c>
      <c r="W97" s="129">
        <f t="shared" si="10"/>
        <v>1.6810796791443851E-2</v>
      </c>
      <c r="X97" s="129">
        <f t="shared" si="10"/>
        <v>1.996468370786517E-2</v>
      </c>
      <c r="Y97" s="129">
        <f t="shared" si="10"/>
        <v>2.102922186234818E-2</v>
      </c>
      <c r="Z97" s="129">
        <f t="shared" si="10"/>
        <v>2.2117194212218649E-2</v>
      </c>
      <c r="AA97" s="129">
        <f t="shared" si="10"/>
        <v>2.1586089655172412E-2</v>
      </c>
      <c r="AB97" s="129">
        <f>AB78/AB95</f>
        <v>2.1645429588014981E-2</v>
      </c>
      <c r="AC97" s="129">
        <f>AC78/AC95</f>
        <v>2.2372201086956523E-2</v>
      </c>
    </row>
    <row r="98" spans="1:36" ht="15" customHeight="1" x14ac:dyDescent="0.2">
      <c r="B98" s="73" t="s">
        <v>422</v>
      </c>
      <c r="P98" s="129" t="e">
        <f t="shared" ref="P98:AA98" si="11">P77/P90</f>
        <v>#DIV/0!</v>
      </c>
      <c r="Q98" s="129">
        <f t="shared" si="11"/>
        <v>3.8576882947701306E-2</v>
      </c>
      <c r="R98" s="129">
        <f t="shared" si="11"/>
        <v>3.8899988856274798E-2</v>
      </c>
      <c r="S98" s="129">
        <f t="shared" si="11"/>
        <v>4.2415654521826253E-2</v>
      </c>
      <c r="T98" s="129">
        <f t="shared" si="11"/>
        <v>4.4858796890407247E-2</v>
      </c>
      <c r="U98" s="129">
        <f t="shared" si="11"/>
        <v>4.7323524924575915E-2</v>
      </c>
      <c r="V98" s="129">
        <f t="shared" si="11"/>
        <v>4.731987759446514E-2</v>
      </c>
      <c r="W98" s="129">
        <f t="shared" si="11"/>
        <v>5.0493329401356535E-2</v>
      </c>
      <c r="X98" s="129">
        <f t="shared" si="11"/>
        <v>5.2688112224835673E-2</v>
      </c>
      <c r="Y98" s="129">
        <f t="shared" si="11"/>
        <v>5.1760799198728162E-2</v>
      </c>
      <c r="Z98" s="129">
        <f t="shared" si="11"/>
        <v>4.3925614644769233E-2</v>
      </c>
      <c r="AA98" s="129">
        <f t="shared" si="11"/>
        <v>4.5033211675649873E-2</v>
      </c>
      <c r="AB98" s="129">
        <f>AB77/AB90</f>
        <v>4.3645344173959419E-2</v>
      </c>
      <c r="AC98" s="129">
        <f>AC77/AC90</f>
        <v>4.0899809888001917E-2</v>
      </c>
    </row>
    <row r="100" spans="1:36" s="399" customFormat="1" ht="15" customHeight="1" x14ac:dyDescent="0.2"/>
    <row r="102" spans="1:36" ht="15" customHeight="1" x14ac:dyDescent="0.2">
      <c r="A102" s="12" t="s">
        <v>0</v>
      </c>
      <c r="B102" s="20" t="s">
        <v>464</v>
      </c>
      <c r="W102" s="24"/>
      <c r="X102" s="24"/>
      <c r="Y102" s="24"/>
      <c r="Z102" s="24"/>
      <c r="AA102" s="24"/>
    </row>
    <row r="103" spans="1:36" ht="15" customHeight="1" x14ac:dyDescent="0.2">
      <c r="B103" s="168" t="s">
        <v>465</v>
      </c>
      <c r="C103" s="7"/>
      <c r="W103" s="24"/>
      <c r="X103" s="24"/>
      <c r="Y103" s="24"/>
      <c r="Z103" s="24"/>
      <c r="AA103" s="24"/>
    </row>
    <row r="104" spans="1:36" ht="15" customHeight="1" x14ac:dyDescent="0.2">
      <c r="B104" s="85" t="s">
        <v>191</v>
      </c>
      <c r="C104" s="7" t="s">
        <v>414</v>
      </c>
      <c r="M104" s="23">
        <f>SUM(M105:M106)*72/28</f>
        <v>161235306</v>
      </c>
      <c r="N104" s="23">
        <f>SUM(N105:N106)*72/28</f>
        <v>164445534</v>
      </c>
      <c r="O104" s="23">
        <f>SUM(O105:O106)*72/28</f>
        <v>161748833.14285713</v>
      </c>
      <c r="P104" s="23">
        <f>SUM(P105:P106)*72/28</f>
        <v>165267398.57142857</v>
      </c>
      <c r="Q104" s="24">
        <f>Q29</f>
        <v>145900000</v>
      </c>
      <c r="R104" s="402">
        <f>R29</f>
        <v>140900000</v>
      </c>
      <c r="S104" s="402">
        <f>S29</f>
        <v>150400000</v>
      </c>
      <c r="T104" s="402">
        <f>T29</f>
        <v>151200000</v>
      </c>
      <c r="U104" s="23">
        <f>SUM(U105:U106)*72/28</f>
        <v>182865633.42857143</v>
      </c>
      <c r="V104" s="23">
        <f>SUM(V105:V106)*72/28</f>
        <v>185663432.57142857</v>
      </c>
      <c r="W104" s="402">
        <f>W29</f>
        <v>148000000</v>
      </c>
      <c r="X104" s="402">
        <f>X29</f>
        <v>138000000</v>
      </c>
      <c r="Y104" s="402">
        <f>Y29</f>
        <v>163900000</v>
      </c>
      <c r="Z104" s="23">
        <f>SUM(Z105:Z106)*72/28</f>
        <v>169126326</v>
      </c>
      <c r="AA104" s="402">
        <f>AA29</f>
        <v>177000000</v>
      </c>
      <c r="AB104" s="23">
        <f>SUM(AB105:AB106)*72/28</f>
        <v>156825244.2857143</v>
      </c>
      <c r="AC104" s="23">
        <f>SUM(AC105:AC106)*72/28</f>
        <v>152582924.57142857</v>
      </c>
    </row>
    <row r="105" spans="1:36" ht="15" customHeight="1" x14ac:dyDescent="0.2">
      <c r="B105" s="85" t="s">
        <v>132</v>
      </c>
      <c r="C105" s="7" t="s">
        <v>414</v>
      </c>
      <c r="M105" s="70">
        <f>M48</f>
        <v>32989364</v>
      </c>
      <c r="N105" s="70">
        <f t="shared" ref="N105:AC105" si="12">N48</f>
        <v>33654924</v>
      </c>
      <c r="O105" s="70">
        <f t="shared" si="12"/>
        <v>32907952</v>
      </c>
      <c r="P105" s="70">
        <f t="shared" si="12"/>
        <v>33566158</v>
      </c>
      <c r="Q105" s="70">
        <f t="shared" si="12"/>
        <v>34145540</v>
      </c>
      <c r="R105" s="70">
        <f t="shared" si="12"/>
        <v>33458278</v>
      </c>
      <c r="S105" s="70">
        <f t="shared" si="12"/>
        <v>35651682</v>
      </c>
      <c r="T105" s="70">
        <f t="shared" si="12"/>
        <v>35802926</v>
      </c>
      <c r="U105" s="70">
        <f t="shared" si="12"/>
        <v>35789678</v>
      </c>
      <c r="V105" s="70">
        <f t="shared" si="12"/>
        <v>36636826</v>
      </c>
      <c r="W105" s="70">
        <f t="shared" si="12"/>
        <v>34774688</v>
      </c>
      <c r="X105" s="70">
        <f t="shared" si="12"/>
        <v>32490008</v>
      </c>
      <c r="Y105" s="70">
        <f t="shared" si="12"/>
        <v>38061546</v>
      </c>
      <c r="Z105" s="70">
        <f t="shared" si="12"/>
        <v>31768991</v>
      </c>
      <c r="AA105" s="70">
        <f t="shared" si="12"/>
        <v>32348068</v>
      </c>
      <c r="AB105" s="70">
        <f t="shared" si="12"/>
        <v>29971000</v>
      </c>
      <c r="AC105" s="70">
        <f t="shared" si="12"/>
        <v>29078179</v>
      </c>
    </row>
    <row r="106" spans="1:36" ht="15" customHeight="1" x14ac:dyDescent="0.2">
      <c r="B106" s="85" t="s">
        <v>131</v>
      </c>
      <c r="C106" s="7" t="s">
        <v>414</v>
      </c>
      <c r="M106" s="70">
        <f>M77</f>
        <v>29713255</v>
      </c>
      <c r="N106" s="70">
        <f t="shared" ref="N106:AC106" si="13">N77</f>
        <v>30296117</v>
      </c>
      <c r="O106" s="70">
        <f t="shared" si="13"/>
        <v>29994372</v>
      </c>
      <c r="P106" s="70">
        <f t="shared" si="13"/>
        <v>30704497</v>
      </c>
      <c r="Q106" s="70">
        <f t="shared" si="13"/>
        <v>30448406</v>
      </c>
      <c r="R106" s="70">
        <f t="shared" si="13"/>
        <v>32018231</v>
      </c>
      <c r="S106" s="70">
        <f t="shared" si="13"/>
        <v>34020554</v>
      </c>
      <c r="T106" s="70">
        <f t="shared" si="13"/>
        <v>34936094</v>
      </c>
      <c r="U106" s="70">
        <f t="shared" si="13"/>
        <v>35324735</v>
      </c>
      <c r="V106" s="70">
        <f t="shared" si="13"/>
        <v>35565620</v>
      </c>
      <c r="W106" s="70">
        <f t="shared" si="13"/>
        <v>34244576</v>
      </c>
      <c r="X106" s="70">
        <f t="shared" si="13"/>
        <v>33680824</v>
      </c>
      <c r="Y106" s="70">
        <f t="shared" si="13"/>
        <v>38508184</v>
      </c>
      <c r="Z106" s="70">
        <f t="shared" si="13"/>
        <v>34002358</v>
      </c>
      <c r="AA106" s="70">
        <f t="shared" si="13"/>
        <v>33906528</v>
      </c>
      <c r="AB106" s="70">
        <f t="shared" si="13"/>
        <v>31016595</v>
      </c>
      <c r="AC106" s="70">
        <f t="shared" si="13"/>
        <v>30259625</v>
      </c>
    </row>
    <row r="107" spans="1:36" s="66" customFormat="1" ht="15" customHeight="1" x14ac:dyDescent="0.2">
      <c r="B107" s="165" t="s">
        <v>182</v>
      </c>
      <c r="C107" s="79" t="s">
        <v>414</v>
      </c>
      <c r="D107" s="67"/>
      <c r="E107" s="67"/>
      <c r="F107" s="67"/>
      <c r="G107" s="67"/>
      <c r="H107" s="67"/>
      <c r="I107" s="67"/>
      <c r="J107" s="67"/>
      <c r="K107" s="67"/>
      <c r="L107" s="67"/>
      <c r="M107" s="166">
        <f t="shared" ref="M107:X107" si="14">SUM(M104:M106)</f>
        <v>223937925</v>
      </c>
      <c r="N107" s="166">
        <f t="shared" si="14"/>
        <v>228396575</v>
      </c>
      <c r="O107" s="166">
        <f t="shared" si="14"/>
        <v>224651157.14285713</v>
      </c>
      <c r="P107" s="166">
        <f t="shared" si="14"/>
        <v>229538053.57142857</v>
      </c>
      <c r="Q107" s="166">
        <f t="shared" si="14"/>
        <v>210493946</v>
      </c>
      <c r="R107" s="166">
        <f t="shared" si="14"/>
        <v>206376509</v>
      </c>
      <c r="S107" s="166">
        <f t="shared" si="14"/>
        <v>220072236</v>
      </c>
      <c r="T107" s="166">
        <f t="shared" si="14"/>
        <v>221939020</v>
      </c>
      <c r="U107" s="166">
        <f t="shared" si="14"/>
        <v>253980046.42857143</v>
      </c>
      <c r="V107" s="166">
        <f t="shared" si="14"/>
        <v>257865878.57142857</v>
      </c>
      <c r="W107" s="166">
        <f t="shared" si="14"/>
        <v>217019264</v>
      </c>
      <c r="X107" s="166">
        <f t="shared" si="14"/>
        <v>204170832</v>
      </c>
      <c r="Y107" s="166">
        <f>SUM(Y104:Y106)</f>
        <v>240469730</v>
      </c>
      <c r="Z107" s="166">
        <f>SUM(Z104:Z106)</f>
        <v>234897675</v>
      </c>
      <c r="AA107" s="166">
        <f>SUM(AA104:AA106)</f>
        <v>243254596</v>
      </c>
      <c r="AB107" s="166">
        <f>SUM(AB104:AB106)</f>
        <v>217812839.2857143</v>
      </c>
      <c r="AC107" s="166">
        <f>SUM(AC104:AC106)</f>
        <v>211920728.57142857</v>
      </c>
    </row>
    <row r="108" spans="1:36" ht="15" customHeight="1" x14ac:dyDescent="0.2">
      <c r="B108" s="167" t="s">
        <v>477</v>
      </c>
    </row>
    <row r="109" spans="1:36" ht="15" customHeight="1" x14ac:dyDescent="0.2">
      <c r="B109" s="85" t="s">
        <v>191</v>
      </c>
      <c r="C109" s="7" t="s">
        <v>118</v>
      </c>
      <c r="M109" s="26">
        <f t="shared" ref="M109:T109" si="15">M104/M$107</f>
        <v>0.72</v>
      </c>
      <c r="N109" s="26">
        <f t="shared" si="15"/>
        <v>0.72</v>
      </c>
      <c r="O109" s="26">
        <f t="shared" si="15"/>
        <v>0.72</v>
      </c>
      <c r="P109" s="26">
        <f t="shared" si="15"/>
        <v>0.72</v>
      </c>
      <c r="Q109" s="163">
        <f t="shared" si="15"/>
        <v>0.6931315734847785</v>
      </c>
      <c r="R109" s="163">
        <f t="shared" si="15"/>
        <v>0.68273274261073968</v>
      </c>
      <c r="S109" s="163">
        <f t="shared" si="15"/>
        <v>0.68341196842295004</v>
      </c>
      <c r="T109" s="163">
        <f t="shared" si="15"/>
        <v>0.68126821502591117</v>
      </c>
      <c r="U109" s="26">
        <f t="shared" ref="U109:AA111" si="16">U104/U$107</f>
        <v>0.72</v>
      </c>
      <c r="V109" s="26">
        <f t="shared" si="16"/>
        <v>0.72</v>
      </c>
      <c r="W109" s="163">
        <f t="shared" si="16"/>
        <v>0.68196710868948485</v>
      </c>
      <c r="X109" s="163">
        <f t="shared" si="16"/>
        <v>0.67590457779003421</v>
      </c>
      <c r="Y109" s="163">
        <f t="shared" si="16"/>
        <v>0.68158266739019502</v>
      </c>
      <c r="Z109" s="26">
        <f t="shared" si="16"/>
        <v>0.72</v>
      </c>
      <c r="AA109" s="163">
        <f t="shared" si="16"/>
        <v>0.7276327062696073</v>
      </c>
      <c r="AB109" s="26">
        <f t="shared" ref="AB109:AC111" si="17">AB104/AB$107</f>
        <v>0.72</v>
      </c>
      <c r="AC109" s="26">
        <f t="shared" si="17"/>
        <v>0.72</v>
      </c>
      <c r="AD109" s="162"/>
      <c r="AJ109" s="123">
        <v>0.72</v>
      </c>
    </row>
    <row r="110" spans="1:36" ht="15" customHeight="1" x14ac:dyDescent="0.2">
      <c r="B110" s="85" t="s">
        <v>132</v>
      </c>
      <c r="C110" s="7" t="s">
        <v>118</v>
      </c>
      <c r="M110" s="26">
        <f t="shared" ref="M110:T110" si="18">M105/M$107</f>
        <v>0.14731477037665683</v>
      </c>
      <c r="N110" s="26">
        <f t="shared" si="18"/>
        <v>0.14735301525427866</v>
      </c>
      <c r="O110" s="26">
        <f t="shared" si="18"/>
        <v>0.14648467614646479</v>
      </c>
      <c r="P110" s="26">
        <f t="shared" si="18"/>
        <v>0.14623352197048561</v>
      </c>
      <c r="Q110" s="163">
        <f t="shared" si="18"/>
        <v>0.16221625680388926</v>
      </c>
      <c r="R110" s="163">
        <f t="shared" si="18"/>
        <v>0.16212251172443273</v>
      </c>
      <c r="S110" s="163">
        <f t="shared" si="18"/>
        <v>0.16199990806654957</v>
      </c>
      <c r="T110" s="163">
        <f t="shared" si="18"/>
        <v>0.16131875323230679</v>
      </c>
      <c r="U110" s="26">
        <f t="shared" si="16"/>
        <v>0.14091531403064522</v>
      </c>
      <c r="V110" s="26">
        <f t="shared" si="16"/>
        <v>0.14207706038102919</v>
      </c>
      <c r="W110" s="163">
        <f t="shared" si="16"/>
        <v>0.16023779345229003</v>
      </c>
      <c r="X110" s="163">
        <f t="shared" si="16"/>
        <v>0.15913148651909298</v>
      </c>
      <c r="Y110" s="163">
        <f t="shared" si="16"/>
        <v>0.15827998808831364</v>
      </c>
      <c r="Z110" s="26">
        <f t="shared" si="16"/>
        <v>0.13524608534333088</v>
      </c>
      <c r="AA110" s="163">
        <f t="shared" si="16"/>
        <v>0.13298029526233493</v>
      </c>
      <c r="AB110" s="26">
        <f t="shared" si="17"/>
        <v>0.13759978566132997</v>
      </c>
      <c r="AC110" s="26">
        <f t="shared" si="17"/>
        <v>0.13721252845824897</v>
      </c>
      <c r="AJ110" s="123">
        <v>0.15</v>
      </c>
    </row>
    <row r="111" spans="1:36" ht="15" customHeight="1" x14ac:dyDescent="0.2">
      <c r="B111" s="85" t="s">
        <v>131</v>
      </c>
      <c r="C111" s="7" t="s">
        <v>118</v>
      </c>
      <c r="M111" s="26">
        <f t="shared" ref="M111:T111" si="19">M106/M$107</f>
        <v>0.13268522962334317</v>
      </c>
      <c r="N111" s="26">
        <f t="shared" si="19"/>
        <v>0.13264698474572134</v>
      </c>
      <c r="O111" s="26">
        <f t="shared" si="19"/>
        <v>0.13351532385353521</v>
      </c>
      <c r="P111" s="26">
        <f t="shared" si="19"/>
        <v>0.13376647802951441</v>
      </c>
      <c r="Q111" s="163">
        <f t="shared" si="19"/>
        <v>0.14465216971133221</v>
      </c>
      <c r="R111" s="163">
        <f t="shared" si="19"/>
        <v>0.15514474566482758</v>
      </c>
      <c r="S111" s="163">
        <f t="shared" si="19"/>
        <v>0.15458812351050044</v>
      </c>
      <c r="T111" s="163">
        <f t="shared" si="19"/>
        <v>0.15741303174178203</v>
      </c>
      <c r="U111" s="26">
        <f t="shared" si="16"/>
        <v>0.13908468596935475</v>
      </c>
      <c r="V111" s="26">
        <f t="shared" si="16"/>
        <v>0.13792293961897081</v>
      </c>
      <c r="W111" s="163">
        <f t="shared" si="16"/>
        <v>0.15779509785822515</v>
      </c>
      <c r="X111" s="163">
        <f t="shared" si="16"/>
        <v>0.16496393569087284</v>
      </c>
      <c r="Y111" s="163">
        <f t="shared" si="16"/>
        <v>0.16013734452149134</v>
      </c>
      <c r="Z111" s="26">
        <f t="shared" si="16"/>
        <v>0.14475391465666912</v>
      </c>
      <c r="AA111" s="163">
        <f t="shared" si="16"/>
        <v>0.13938699846805772</v>
      </c>
      <c r="AB111" s="26">
        <f t="shared" si="17"/>
        <v>0.14240021433867001</v>
      </c>
      <c r="AC111" s="26">
        <f t="shared" si="17"/>
        <v>0.14278747154175103</v>
      </c>
      <c r="AJ111" s="123">
        <v>0.13</v>
      </c>
    </row>
    <row r="112" spans="1:36" ht="15" customHeight="1" x14ac:dyDescent="0.2">
      <c r="B112" s="73"/>
      <c r="M112" s="26"/>
      <c r="N112" s="26"/>
      <c r="O112" s="26"/>
      <c r="P112" s="26"/>
      <c r="Q112" s="163"/>
      <c r="R112" s="163"/>
      <c r="S112" s="163"/>
      <c r="T112" s="163"/>
      <c r="U112" s="26"/>
      <c r="V112" s="26"/>
      <c r="W112" s="163"/>
      <c r="X112" s="163"/>
      <c r="Y112" s="163"/>
      <c r="Z112" s="26"/>
      <c r="AA112" s="163"/>
      <c r="AC112" s="123"/>
    </row>
    <row r="113" spans="2:36" ht="15" customHeight="1" x14ac:dyDescent="0.2">
      <c r="B113" s="168" t="s">
        <v>476</v>
      </c>
      <c r="M113" s="26"/>
      <c r="N113" s="26"/>
      <c r="O113" s="26"/>
      <c r="P113" s="26"/>
      <c r="Q113" s="26"/>
      <c r="R113" s="26"/>
      <c r="S113" s="26"/>
      <c r="T113" s="26"/>
      <c r="U113" s="26"/>
      <c r="V113" s="26"/>
      <c r="W113" s="26"/>
      <c r="X113" s="26"/>
      <c r="Y113" s="26"/>
      <c r="Z113" s="26"/>
      <c r="AA113" s="26"/>
      <c r="AC113" s="123"/>
    </row>
    <row r="114" spans="2:36" ht="15" customHeight="1" x14ac:dyDescent="0.2">
      <c r="B114" s="85" t="s">
        <v>191</v>
      </c>
      <c r="C114" s="7" t="s">
        <v>414</v>
      </c>
      <c r="M114" s="23">
        <f t="shared" ref="M114:Z114" si="20">SUM(M115:M116)*72/28</f>
        <v>161235306</v>
      </c>
      <c r="N114" s="23">
        <f t="shared" si="20"/>
        <v>164445534</v>
      </c>
      <c r="O114" s="23">
        <f t="shared" si="20"/>
        <v>161748833.14285713</v>
      </c>
      <c r="P114" s="23">
        <f t="shared" si="20"/>
        <v>165267398.57142857</v>
      </c>
      <c r="Q114" s="23">
        <f t="shared" si="20"/>
        <v>166098718.2857143</v>
      </c>
      <c r="R114" s="23">
        <f t="shared" si="20"/>
        <v>168368166</v>
      </c>
      <c r="S114" s="23">
        <f t="shared" si="20"/>
        <v>179157178.2857143</v>
      </c>
      <c r="T114" s="23">
        <f t="shared" si="20"/>
        <v>181900337.14285713</v>
      </c>
      <c r="U114" s="23">
        <f t="shared" si="20"/>
        <v>182865633.42857143</v>
      </c>
      <c r="V114" s="23">
        <f t="shared" si="20"/>
        <v>185663432.57142857</v>
      </c>
      <c r="W114" s="23">
        <f t="shared" si="20"/>
        <v>177478107.42857143</v>
      </c>
      <c r="X114" s="23">
        <f t="shared" si="20"/>
        <v>170153568</v>
      </c>
      <c r="Y114" s="23">
        <f t="shared" si="20"/>
        <v>196893591.42857143</v>
      </c>
      <c r="Z114" s="23">
        <f t="shared" si="20"/>
        <v>169126326</v>
      </c>
      <c r="AA114" s="23">
        <f>SUM(AA115:AA116)*72/28</f>
        <v>170368961.14285713</v>
      </c>
      <c r="AB114" s="23">
        <f>SUM(AB115:AB116)*72/28</f>
        <v>156825244.2857143</v>
      </c>
      <c r="AC114" s="23">
        <f>SUM(AC115:AC116)*72/28</f>
        <v>152582924.57142857</v>
      </c>
    </row>
    <row r="115" spans="2:36" ht="15" customHeight="1" x14ac:dyDescent="0.2">
      <c r="B115" s="85" t="s">
        <v>132</v>
      </c>
      <c r="C115" s="7" t="s">
        <v>414</v>
      </c>
      <c r="M115" s="70">
        <f>M48</f>
        <v>32989364</v>
      </c>
      <c r="N115" s="70">
        <f t="shared" ref="N115:AC115" si="21">N48</f>
        <v>33654924</v>
      </c>
      <c r="O115" s="70">
        <f t="shared" si="21"/>
        <v>32907952</v>
      </c>
      <c r="P115" s="70">
        <f t="shared" si="21"/>
        <v>33566158</v>
      </c>
      <c r="Q115" s="70">
        <f t="shared" si="21"/>
        <v>34145540</v>
      </c>
      <c r="R115" s="70">
        <f t="shared" si="21"/>
        <v>33458278</v>
      </c>
      <c r="S115" s="70">
        <f t="shared" si="21"/>
        <v>35651682</v>
      </c>
      <c r="T115" s="70">
        <f>T48</f>
        <v>35802926</v>
      </c>
      <c r="U115" s="70">
        <f t="shared" si="21"/>
        <v>35789678</v>
      </c>
      <c r="V115" s="70">
        <f t="shared" si="21"/>
        <v>36636826</v>
      </c>
      <c r="W115" s="70">
        <f t="shared" si="21"/>
        <v>34774688</v>
      </c>
      <c r="X115" s="70">
        <f t="shared" si="21"/>
        <v>32490008</v>
      </c>
      <c r="Y115" s="70">
        <f t="shared" si="21"/>
        <v>38061546</v>
      </c>
      <c r="Z115" s="70">
        <f t="shared" si="21"/>
        <v>31768991</v>
      </c>
      <c r="AA115" s="70">
        <f t="shared" si="21"/>
        <v>32348068</v>
      </c>
      <c r="AB115" s="70">
        <f t="shared" si="21"/>
        <v>29971000</v>
      </c>
      <c r="AC115" s="70">
        <f t="shared" si="21"/>
        <v>29078179</v>
      </c>
    </row>
    <row r="116" spans="2:36" ht="15" customHeight="1" x14ac:dyDescent="0.2">
      <c r="B116" s="85" t="s">
        <v>131</v>
      </c>
      <c r="C116" s="7" t="s">
        <v>414</v>
      </c>
      <c r="M116" s="70">
        <f>M77</f>
        <v>29713255</v>
      </c>
      <c r="N116" s="70">
        <f t="shared" ref="N116:AC116" si="22">N77</f>
        <v>30296117</v>
      </c>
      <c r="O116" s="70">
        <f t="shared" si="22"/>
        <v>29994372</v>
      </c>
      <c r="P116" s="70">
        <f t="shared" si="22"/>
        <v>30704497</v>
      </c>
      <c r="Q116" s="70">
        <f t="shared" si="22"/>
        <v>30448406</v>
      </c>
      <c r="R116" s="70">
        <f t="shared" si="22"/>
        <v>32018231</v>
      </c>
      <c r="S116" s="70">
        <f t="shared" si="22"/>
        <v>34020554</v>
      </c>
      <c r="T116" s="70">
        <f t="shared" si="22"/>
        <v>34936094</v>
      </c>
      <c r="U116" s="70">
        <f t="shared" si="22"/>
        <v>35324735</v>
      </c>
      <c r="V116" s="70">
        <f t="shared" si="22"/>
        <v>35565620</v>
      </c>
      <c r="W116" s="70">
        <f t="shared" si="22"/>
        <v>34244576</v>
      </c>
      <c r="X116" s="70">
        <f t="shared" si="22"/>
        <v>33680824</v>
      </c>
      <c r="Y116" s="70">
        <f t="shared" si="22"/>
        <v>38508184</v>
      </c>
      <c r="Z116" s="70">
        <f t="shared" si="22"/>
        <v>34002358</v>
      </c>
      <c r="AA116" s="70">
        <f t="shared" si="22"/>
        <v>33906528</v>
      </c>
      <c r="AB116" s="70">
        <f t="shared" si="22"/>
        <v>31016595</v>
      </c>
      <c r="AC116" s="70">
        <f t="shared" si="22"/>
        <v>30259625</v>
      </c>
    </row>
    <row r="117" spans="2:36" s="66" customFormat="1" ht="15" customHeight="1" x14ac:dyDescent="0.2">
      <c r="B117" s="165" t="s">
        <v>182</v>
      </c>
      <c r="C117" s="79" t="s">
        <v>414</v>
      </c>
      <c r="D117" s="67"/>
      <c r="E117" s="67"/>
      <c r="F117" s="67"/>
      <c r="G117" s="67"/>
      <c r="H117" s="67"/>
      <c r="I117" s="67"/>
      <c r="J117" s="67"/>
      <c r="K117" s="67"/>
      <c r="L117" s="67"/>
      <c r="M117" s="166">
        <f t="shared" ref="M117:Y117" si="23">SUM(M114:M116)</f>
        <v>223937925</v>
      </c>
      <c r="N117" s="166">
        <f t="shared" si="23"/>
        <v>228396575</v>
      </c>
      <c r="O117" s="166">
        <f t="shared" si="23"/>
        <v>224651157.14285713</v>
      </c>
      <c r="P117" s="166">
        <f t="shared" si="23"/>
        <v>229538053.57142857</v>
      </c>
      <c r="Q117" s="166">
        <f t="shared" si="23"/>
        <v>230692664.2857143</v>
      </c>
      <c r="R117" s="166">
        <f t="shared" si="23"/>
        <v>233844675</v>
      </c>
      <c r="S117" s="166">
        <f t="shared" si="23"/>
        <v>248829414.2857143</v>
      </c>
      <c r="T117" s="166">
        <f>SUM(T114:T116)</f>
        <v>252639357.14285713</v>
      </c>
      <c r="U117" s="166">
        <f t="shared" si="23"/>
        <v>253980046.42857143</v>
      </c>
      <c r="V117" s="166">
        <f t="shared" si="23"/>
        <v>257865878.57142857</v>
      </c>
      <c r="W117" s="166">
        <f t="shared" si="23"/>
        <v>246497371.42857143</v>
      </c>
      <c r="X117" s="166">
        <f t="shared" si="23"/>
        <v>236324400</v>
      </c>
      <c r="Y117" s="166">
        <f t="shared" si="23"/>
        <v>273463321.42857146</v>
      </c>
      <c r="Z117" s="166">
        <f>SUM(Z114:Z116)</f>
        <v>234897675</v>
      </c>
      <c r="AA117" s="166">
        <f>SUM(AA114:AA116)</f>
        <v>236623557.14285713</v>
      </c>
      <c r="AB117" s="166">
        <f>SUM(AB114:AB116)</f>
        <v>217812839.2857143</v>
      </c>
      <c r="AC117" s="166">
        <f>SUM(AC114:AC116)</f>
        <v>211920728.57142857</v>
      </c>
    </row>
    <row r="118" spans="2:36" ht="15" customHeight="1" x14ac:dyDescent="0.2">
      <c r="B118" s="167" t="s">
        <v>477</v>
      </c>
      <c r="C118" s="7" t="s">
        <v>118</v>
      </c>
    </row>
    <row r="119" spans="2:36" ht="15" customHeight="1" x14ac:dyDescent="0.2">
      <c r="B119" s="85" t="s">
        <v>191</v>
      </c>
      <c r="C119" s="7" t="s">
        <v>118</v>
      </c>
      <c r="M119" s="26">
        <f t="shared" ref="M119:Y119" si="24">M114/M$117</f>
        <v>0.72</v>
      </c>
      <c r="N119" s="26">
        <f t="shared" si="24"/>
        <v>0.72</v>
      </c>
      <c r="O119" s="26">
        <f t="shared" si="24"/>
        <v>0.72</v>
      </c>
      <c r="P119" s="26">
        <f t="shared" si="24"/>
        <v>0.72</v>
      </c>
      <c r="Q119" s="26">
        <f t="shared" si="24"/>
        <v>0.72</v>
      </c>
      <c r="R119" s="26">
        <f t="shared" si="24"/>
        <v>0.72</v>
      </c>
      <c r="S119" s="26">
        <f t="shared" si="24"/>
        <v>0.72</v>
      </c>
      <c r="T119" s="26">
        <f t="shared" si="24"/>
        <v>0.72</v>
      </c>
      <c r="U119" s="26">
        <f t="shared" si="24"/>
        <v>0.72</v>
      </c>
      <c r="V119" s="26">
        <f t="shared" si="24"/>
        <v>0.72</v>
      </c>
      <c r="W119" s="26">
        <f t="shared" si="24"/>
        <v>0.72</v>
      </c>
      <c r="X119" s="26">
        <f t="shared" si="24"/>
        <v>0.72</v>
      </c>
      <c r="Y119" s="26">
        <f t="shared" si="24"/>
        <v>0.72</v>
      </c>
      <c r="Z119" s="26">
        <f>Z114/Z$117</f>
        <v>0.72</v>
      </c>
      <c r="AA119" s="26">
        <f>AA114/AA$117</f>
        <v>0.72</v>
      </c>
      <c r="AB119" s="26">
        <f>AB114/AB$117</f>
        <v>0.72</v>
      </c>
      <c r="AC119" s="26">
        <f>AC114/AC$117</f>
        <v>0.72</v>
      </c>
      <c r="AD119" s="162"/>
      <c r="AJ119" s="123">
        <v>0.72</v>
      </c>
    </row>
    <row r="120" spans="2:36" ht="15" customHeight="1" x14ac:dyDescent="0.2">
      <c r="B120" s="85" t="s">
        <v>132</v>
      </c>
      <c r="C120" s="7" t="s">
        <v>118</v>
      </c>
      <c r="M120" s="26">
        <f t="shared" ref="M120:Z120" si="25">M115/M$117</f>
        <v>0.14731477037665683</v>
      </c>
      <c r="N120" s="26">
        <f t="shared" si="25"/>
        <v>0.14735301525427866</v>
      </c>
      <c r="O120" s="26">
        <f t="shared" si="25"/>
        <v>0.14648467614646479</v>
      </c>
      <c r="P120" s="26">
        <f t="shared" si="25"/>
        <v>0.14623352197048561</v>
      </c>
      <c r="Q120" s="26">
        <f t="shared" si="25"/>
        <v>0.14801311565638053</v>
      </c>
      <c r="R120" s="26">
        <f t="shared" si="25"/>
        <v>0.14307906733390444</v>
      </c>
      <c r="S120" s="26">
        <f t="shared" si="25"/>
        <v>0.14327760286034166</v>
      </c>
      <c r="T120" s="26">
        <f t="shared" si="25"/>
        <v>0.14171555218039492</v>
      </c>
      <c r="U120" s="26">
        <f t="shared" si="25"/>
        <v>0.14091531403064522</v>
      </c>
      <c r="V120" s="26">
        <f t="shared" si="25"/>
        <v>0.14207706038102919</v>
      </c>
      <c r="W120" s="26">
        <f t="shared" si="25"/>
        <v>0.14107528935689606</v>
      </c>
      <c r="X120" s="26">
        <f t="shared" si="25"/>
        <v>0.13748054792480166</v>
      </c>
      <c r="Y120" s="26">
        <f t="shared" si="25"/>
        <v>0.13918336763104688</v>
      </c>
      <c r="Z120" s="26">
        <f t="shared" si="25"/>
        <v>0.13524608534333088</v>
      </c>
      <c r="AA120" s="26">
        <f t="shared" ref="AA120:AC121" si="26">AA115/AA$117</f>
        <v>0.13670687902164555</v>
      </c>
      <c r="AB120" s="26">
        <f t="shared" si="26"/>
        <v>0.13759978566132997</v>
      </c>
      <c r="AC120" s="26">
        <f t="shared" si="26"/>
        <v>0.13721252845824897</v>
      </c>
      <c r="AJ120" s="123">
        <v>0.15</v>
      </c>
    </row>
    <row r="121" spans="2:36" ht="15" customHeight="1" x14ac:dyDescent="0.2">
      <c r="B121" s="85" t="s">
        <v>131</v>
      </c>
      <c r="M121" s="26">
        <f t="shared" ref="M121:Z121" si="27">M116/M$117</f>
        <v>0.13268522962334317</v>
      </c>
      <c r="N121" s="26">
        <f t="shared" si="27"/>
        <v>0.13264698474572134</v>
      </c>
      <c r="O121" s="26">
        <f t="shared" si="27"/>
        <v>0.13351532385353521</v>
      </c>
      <c r="P121" s="26">
        <f t="shared" si="27"/>
        <v>0.13376647802951441</v>
      </c>
      <c r="Q121" s="26">
        <f t="shared" si="27"/>
        <v>0.13198688434361944</v>
      </c>
      <c r="R121" s="26">
        <f t="shared" si="27"/>
        <v>0.13692093266609556</v>
      </c>
      <c r="S121" s="26">
        <f t="shared" si="27"/>
        <v>0.13672239713965831</v>
      </c>
      <c r="T121" s="26">
        <f t="shared" si="27"/>
        <v>0.13828444781960508</v>
      </c>
      <c r="U121" s="26">
        <f t="shared" si="27"/>
        <v>0.13908468596935475</v>
      </c>
      <c r="V121" s="26">
        <f t="shared" si="27"/>
        <v>0.13792293961897081</v>
      </c>
      <c r="W121" s="26">
        <f t="shared" si="27"/>
        <v>0.13892471064310394</v>
      </c>
      <c r="X121" s="26">
        <f t="shared" si="27"/>
        <v>0.14251945207519834</v>
      </c>
      <c r="Y121" s="26">
        <f t="shared" si="27"/>
        <v>0.14081663236895309</v>
      </c>
      <c r="Z121" s="26">
        <f t="shared" si="27"/>
        <v>0.14475391465666912</v>
      </c>
      <c r="AA121" s="26">
        <f t="shared" si="26"/>
        <v>0.14329312097835448</v>
      </c>
      <c r="AB121" s="26">
        <f t="shared" si="26"/>
        <v>0.14240021433867001</v>
      </c>
      <c r="AC121" s="26">
        <f t="shared" si="26"/>
        <v>0.14278747154175103</v>
      </c>
      <c r="AJ121" s="123">
        <v>0.13</v>
      </c>
    </row>
    <row r="122" spans="2:36" ht="15" customHeight="1" x14ac:dyDescent="0.2">
      <c r="B122" s="85"/>
      <c r="M122" s="26"/>
      <c r="N122" s="26"/>
      <c r="O122" s="26"/>
      <c r="P122" s="26"/>
      <c r="Q122" s="26"/>
      <c r="R122" s="26"/>
      <c r="S122" s="26"/>
      <c r="T122" s="26"/>
      <c r="U122" s="26"/>
      <c r="V122" s="26"/>
      <c r="W122" s="26"/>
      <c r="X122" s="26"/>
      <c r="Y122" s="26"/>
      <c r="Z122" s="26"/>
      <c r="AA122" s="163"/>
      <c r="AC122" s="123"/>
    </row>
    <row r="123" spans="2:36" ht="15" customHeight="1" x14ac:dyDescent="0.2">
      <c r="B123" s="85" t="s">
        <v>191</v>
      </c>
      <c r="M123" s="26"/>
      <c r="N123" s="26"/>
      <c r="O123" s="26"/>
      <c r="P123" s="26"/>
      <c r="Q123" s="26"/>
      <c r="R123" s="26"/>
      <c r="S123" s="26"/>
      <c r="T123" s="26"/>
      <c r="U123" s="26"/>
      <c r="V123" s="26"/>
      <c r="W123" s="26"/>
      <c r="X123" s="26"/>
      <c r="Y123" s="26"/>
      <c r="Z123" s="26"/>
      <c r="AA123" s="24">
        <v>177000000</v>
      </c>
      <c r="AC123" s="123"/>
    </row>
    <row r="124" spans="2:36" ht="15" customHeight="1" x14ac:dyDescent="0.2">
      <c r="B124" s="85" t="s">
        <v>132</v>
      </c>
      <c r="M124" s="26"/>
      <c r="N124" s="26"/>
      <c r="O124" s="26"/>
      <c r="P124" s="26"/>
      <c r="Q124" s="26"/>
      <c r="R124" s="26"/>
      <c r="S124" s="26"/>
      <c r="T124" s="26"/>
      <c r="U124" s="26"/>
      <c r="V124" s="26"/>
      <c r="W124" s="26"/>
      <c r="X124" s="26"/>
      <c r="Y124" s="26"/>
      <c r="Z124" s="26"/>
      <c r="AA124" s="24">
        <v>32348068</v>
      </c>
      <c r="AC124" s="123"/>
    </row>
    <row r="125" spans="2:36" ht="15" customHeight="1" x14ac:dyDescent="0.2">
      <c r="B125" s="85" t="s">
        <v>131</v>
      </c>
      <c r="M125" s="26"/>
      <c r="N125" s="26"/>
      <c r="O125" s="26"/>
      <c r="P125" s="26"/>
      <c r="Q125" s="26"/>
      <c r="R125" s="26"/>
      <c r="S125" s="26"/>
      <c r="T125" s="26"/>
      <c r="U125" s="26"/>
      <c r="V125" s="26"/>
      <c r="W125" s="26"/>
      <c r="X125" s="26"/>
      <c r="Y125" s="26"/>
      <c r="Z125" s="26"/>
      <c r="AA125" s="24">
        <v>33906528</v>
      </c>
      <c r="AC125" s="123"/>
    </row>
    <row r="126" spans="2:36" ht="15" customHeight="1" x14ac:dyDescent="0.2">
      <c r="Q126" s="26"/>
      <c r="AA126" s="166">
        <v>243254596</v>
      </c>
    </row>
    <row r="127" spans="2:36" ht="15" customHeight="1" x14ac:dyDescent="0.25">
      <c r="B127" s="168" t="s">
        <v>302</v>
      </c>
      <c r="R127"/>
    </row>
    <row r="128" spans="2:36" ht="15" customHeight="1" x14ac:dyDescent="0.25">
      <c r="B128" s="85" t="s">
        <v>191</v>
      </c>
      <c r="C128" s="7" t="s">
        <v>414</v>
      </c>
      <c r="R128"/>
      <c r="U128" s="84" t="s">
        <v>864</v>
      </c>
      <c r="W128" s="70">
        <f>W17</f>
        <v>12824000</v>
      </c>
      <c r="X128" s="70">
        <f>X17</f>
        <v>29329000</v>
      </c>
      <c r="Y128" s="70">
        <f>Y17</f>
        <v>39320000</v>
      </c>
      <c r="Z128" s="23">
        <f>SUM(Z129:Z130)*72/28</f>
        <v>47094336</v>
      </c>
      <c r="AA128" s="23">
        <f>AA131-SUM(AA129:AA130)</f>
        <v>132616548</v>
      </c>
      <c r="AB128" s="23">
        <f>AB131-SUM(AB129:AB130)</f>
        <v>118695048</v>
      </c>
      <c r="AC128" s="23">
        <f>AC131-SUM(AC129:AC130)</f>
        <v>119842284</v>
      </c>
    </row>
    <row r="129" spans="2:36" ht="15" customHeight="1" x14ac:dyDescent="0.2">
      <c r="B129" s="85" t="s">
        <v>132</v>
      </c>
      <c r="C129" s="7" t="s">
        <v>414</v>
      </c>
      <c r="W129" s="70">
        <f t="shared" ref="W129:AC129" si="28">W51</f>
        <v>2673842</v>
      </c>
      <c r="X129" s="70">
        <f t="shared" si="28"/>
        <v>5570133</v>
      </c>
      <c r="Y129" s="70">
        <f t="shared" si="28"/>
        <v>8197967</v>
      </c>
      <c r="Z129" s="70">
        <f t="shared" si="28"/>
        <v>9715272</v>
      </c>
      <c r="AA129" s="70">
        <f t="shared" si="28"/>
        <v>13804130</v>
      </c>
      <c r="AB129" s="70">
        <f t="shared" si="28"/>
        <v>15579000</v>
      </c>
      <c r="AC129" s="70">
        <f t="shared" si="28"/>
        <v>14024528</v>
      </c>
    </row>
    <row r="130" spans="2:36" ht="15" customHeight="1" x14ac:dyDescent="0.2">
      <c r="B130" s="85" t="s">
        <v>131</v>
      </c>
      <c r="C130" s="7" t="s">
        <v>414</v>
      </c>
      <c r="W130" s="70">
        <f t="shared" ref="W130:AC130" si="29">W81</f>
        <v>2317329</v>
      </c>
      <c r="X130" s="70">
        <f t="shared" si="29"/>
        <v>5295452</v>
      </c>
      <c r="Y130" s="70">
        <f t="shared" si="29"/>
        <v>7977957</v>
      </c>
      <c r="Z130" s="70">
        <f t="shared" si="29"/>
        <v>8599192</v>
      </c>
      <c r="AA130" s="70">
        <f t="shared" si="29"/>
        <v>8579322</v>
      </c>
      <c r="AB130" s="70">
        <f t="shared" si="29"/>
        <v>8225952</v>
      </c>
      <c r="AC130" s="70">
        <f t="shared" si="29"/>
        <v>8133188</v>
      </c>
    </row>
    <row r="131" spans="2:36" ht="15" customHeight="1" x14ac:dyDescent="0.2">
      <c r="B131" s="165" t="s">
        <v>182</v>
      </c>
      <c r="C131" s="79" t="s">
        <v>414</v>
      </c>
      <c r="D131" s="67"/>
      <c r="E131" s="67"/>
      <c r="F131" s="67"/>
      <c r="G131" s="67"/>
      <c r="H131" s="67"/>
      <c r="I131" s="67"/>
      <c r="J131" s="67"/>
      <c r="K131" s="67"/>
      <c r="L131" s="67"/>
      <c r="M131" s="67"/>
      <c r="N131" s="67"/>
      <c r="O131" s="67"/>
      <c r="P131" s="67"/>
      <c r="Q131" s="67"/>
      <c r="R131" s="67"/>
      <c r="S131" s="67"/>
      <c r="T131" s="67"/>
      <c r="U131" s="67"/>
      <c r="V131" s="67"/>
      <c r="W131" s="166">
        <f>SUM(W128:W130)</f>
        <v>17815171</v>
      </c>
      <c r="X131" s="166">
        <f>SUM(X128:X130)</f>
        <v>40194585</v>
      </c>
      <c r="Y131" s="166">
        <f>SUM(Y128:Y130)</f>
        <v>55495924</v>
      </c>
      <c r="Z131" s="166">
        <f>SUM(Z128:Z130)</f>
        <v>65408800</v>
      </c>
      <c r="AA131" s="403">
        <f>AA137</f>
        <v>155000000</v>
      </c>
      <c r="AB131" s="403">
        <f>AB137</f>
        <v>142500000</v>
      </c>
      <c r="AC131" s="403">
        <f>AC137</f>
        <v>142000000</v>
      </c>
    </row>
    <row r="132" spans="2:36" ht="15" customHeight="1" x14ac:dyDescent="0.2">
      <c r="B132" s="85" t="s">
        <v>481</v>
      </c>
      <c r="C132" s="7" t="s">
        <v>118</v>
      </c>
      <c r="D132" s="66"/>
      <c r="E132" s="66"/>
      <c r="F132" s="66"/>
      <c r="G132" s="66"/>
      <c r="H132" s="66"/>
      <c r="I132" s="66"/>
      <c r="J132" s="66"/>
      <c r="K132" s="66"/>
      <c r="L132" s="66"/>
      <c r="M132" s="66"/>
      <c r="N132" s="66"/>
      <c r="O132" s="66"/>
      <c r="P132" s="66"/>
      <c r="Q132" s="66"/>
      <c r="R132" s="66"/>
      <c r="S132" s="66"/>
      <c r="T132" s="66"/>
      <c r="V132" s="66"/>
      <c r="W132" s="170"/>
      <c r="X132" s="170"/>
      <c r="Y132" s="55">
        <v>0.02</v>
      </c>
      <c r="Z132" s="55">
        <v>0.02</v>
      </c>
      <c r="AA132" s="55">
        <v>0.05</v>
      </c>
      <c r="AB132" s="55">
        <v>0.05</v>
      </c>
      <c r="AC132" s="55">
        <v>0.05</v>
      </c>
      <c r="AJ132" s="12" t="s">
        <v>484</v>
      </c>
    </row>
    <row r="133" spans="2:36" ht="15" customHeight="1" x14ac:dyDescent="0.2">
      <c r="B133" s="85" t="s">
        <v>482</v>
      </c>
      <c r="C133" s="7" t="s">
        <v>118</v>
      </c>
      <c r="D133" s="66"/>
      <c r="E133" s="66"/>
      <c r="F133" s="66"/>
      <c r="G133" s="66"/>
      <c r="H133" s="66"/>
      <c r="I133" s="66"/>
      <c r="J133" s="66"/>
      <c r="K133" s="66"/>
      <c r="L133" s="66"/>
      <c r="M133" s="66"/>
      <c r="N133" s="66"/>
      <c r="O133" s="66"/>
      <c r="P133" s="66"/>
      <c r="Q133" s="66"/>
      <c r="R133" s="66"/>
      <c r="S133" s="66"/>
      <c r="T133" s="66"/>
      <c r="U133" s="66"/>
      <c r="V133" s="66"/>
      <c r="W133" s="55"/>
      <c r="X133" s="55"/>
      <c r="Y133" s="55">
        <v>0.08</v>
      </c>
      <c r="Z133" s="55">
        <v>0.08</v>
      </c>
      <c r="AA133" s="55">
        <v>0.1</v>
      </c>
      <c r="AB133" s="55">
        <v>0.1</v>
      </c>
      <c r="AC133" s="55">
        <v>0.1</v>
      </c>
    </row>
    <row r="134" spans="2:36" ht="15" customHeight="1" x14ac:dyDescent="0.2">
      <c r="B134" s="88" t="s">
        <v>482</v>
      </c>
      <c r="C134" s="124" t="s">
        <v>414</v>
      </c>
      <c r="D134" s="66"/>
      <c r="E134" s="66"/>
      <c r="F134" s="66"/>
      <c r="G134" s="66"/>
      <c r="H134" s="66"/>
      <c r="I134" s="66"/>
      <c r="J134" s="66"/>
      <c r="K134" s="66"/>
      <c r="L134" s="66"/>
      <c r="M134" s="66"/>
      <c r="N134" s="66"/>
      <c r="O134" s="66"/>
      <c r="P134" s="66"/>
      <c r="Q134" s="66"/>
      <c r="R134" s="66"/>
      <c r="S134" s="66"/>
      <c r="T134" s="66"/>
      <c r="U134" s="66"/>
      <c r="V134" s="66"/>
      <c r="W134" s="96"/>
      <c r="X134" s="96"/>
      <c r="Y134" s="96">
        <f>Y131*(Y133/Y132)</f>
        <v>221983696</v>
      </c>
      <c r="Z134" s="96">
        <f>Z131*(Z133/Z132)</f>
        <v>261635200</v>
      </c>
      <c r="AA134" s="96">
        <f>AA131*(AA133/AA132)</f>
        <v>310000000</v>
      </c>
      <c r="AB134" s="96">
        <f>AB131*(AB133/AB132)</f>
        <v>285000000</v>
      </c>
      <c r="AC134" s="96">
        <f>AC131*(AC133/AC132)</f>
        <v>284000000</v>
      </c>
    </row>
    <row r="135" spans="2:36" ht="15" customHeight="1" x14ac:dyDescent="0.2">
      <c r="B135" s="88"/>
      <c r="C135" s="124"/>
      <c r="D135" s="66"/>
      <c r="E135" s="66"/>
      <c r="F135" s="66"/>
      <c r="G135" s="66"/>
      <c r="H135" s="66"/>
      <c r="I135" s="66"/>
      <c r="J135" s="66"/>
      <c r="K135" s="66"/>
      <c r="L135" s="66"/>
      <c r="M135" s="66"/>
      <c r="N135" s="66"/>
      <c r="O135" s="66"/>
      <c r="P135" s="66"/>
      <c r="Q135" s="66"/>
      <c r="R135" s="66"/>
      <c r="S135" s="66"/>
      <c r="T135" s="66"/>
      <c r="U135" s="66"/>
      <c r="V135" s="66"/>
      <c r="W135" s="96"/>
      <c r="X135" s="96"/>
      <c r="Y135" s="96"/>
      <c r="Z135" s="96"/>
      <c r="AA135" s="96"/>
    </row>
    <row r="136" spans="2:36" ht="15" customHeight="1" x14ac:dyDescent="0.2">
      <c r="B136" s="85" t="s">
        <v>863</v>
      </c>
      <c r="C136" s="7" t="s">
        <v>414</v>
      </c>
      <c r="D136" s="66"/>
      <c r="E136" s="66"/>
      <c r="F136" s="66"/>
      <c r="G136" s="66"/>
      <c r="H136" s="66"/>
      <c r="I136" s="66"/>
      <c r="J136" s="66"/>
      <c r="K136" s="66"/>
      <c r="L136" s="66"/>
      <c r="M136" s="84"/>
      <c r="N136" s="84"/>
      <c r="O136" s="84"/>
      <c r="P136" s="84"/>
      <c r="Q136" s="84"/>
      <c r="R136" s="84"/>
      <c r="S136" s="84"/>
      <c r="T136" s="84"/>
      <c r="U136" s="84"/>
      <c r="V136" s="84"/>
      <c r="W136" s="84"/>
      <c r="X136" s="84"/>
      <c r="Y136" s="84"/>
      <c r="Z136" s="84"/>
      <c r="AA136" s="134">
        <v>310</v>
      </c>
      <c r="AB136" s="134">
        <v>285</v>
      </c>
      <c r="AC136" s="134">
        <v>284</v>
      </c>
      <c r="AD136" s="134">
        <v>283</v>
      </c>
      <c r="AE136" s="134">
        <v>295</v>
      </c>
      <c r="AF136" s="12">
        <v>309</v>
      </c>
      <c r="AG136" s="12">
        <v>325</v>
      </c>
    </row>
    <row r="137" spans="2:36" ht="15" customHeight="1" x14ac:dyDescent="0.2">
      <c r="B137" s="73" t="s">
        <v>483</v>
      </c>
      <c r="C137" s="7" t="s">
        <v>414</v>
      </c>
      <c r="M137" s="25"/>
      <c r="N137" s="25"/>
      <c r="O137" s="25"/>
      <c r="P137" s="25"/>
      <c r="Q137" s="25"/>
      <c r="R137" s="25"/>
      <c r="S137" s="25"/>
      <c r="T137" s="25"/>
      <c r="U137" s="25"/>
      <c r="V137" s="25"/>
      <c r="W137" s="25"/>
      <c r="X137" s="25"/>
      <c r="Y137" s="25"/>
      <c r="Z137" s="25"/>
      <c r="AA137" s="25">
        <f>AA136*1000000/2</f>
        <v>155000000</v>
      </c>
      <c r="AB137" s="25">
        <f>AB136*1000000/2</f>
        <v>142500000</v>
      </c>
      <c r="AC137" s="25">
        <f>AC136*1000000/2</f>
        <v>142000000</v>
      </c>
    </row>
    <row r="138" spans="2:36" ht="15" customHeight="1" x14ac:dyDescent="0.2">
      <c r="B138" s="88"/>
      <c r="C138" s="124"/>
      <c r="D138" s="66"/>
      <c r="E138" s="66"/>
      <c r="F138" s="66"/>
      <c r="G138" s="66"/>
      <c r="H138" s="66"/>
      <c r="I138" s="66"/>
      <c r="J138" s="66"/>
      <c r="K138" s="66"/>
      <c r="L138" s="66"/>
      <c r="M138" s="66"/>
      <c r="N138" s="66"/>
      <c r="O138" s="66"/>
      <c r="P138" s="66"/>
      <c r="Q138" s="66"/>
      <c r="R138" s="66"/>
      <c r="S138" s="66"/>
      <c r="T138" s="66"/>
      <c r="U138" s="66"/>
      <c r="V138" s="66"/>
      <c r="W138" s="96"/>
      <c r="X138" s="96"/>
      <c r="Y138" s="96"/>
      <c r="Z138" s="96"/>
      <c r="AA138" s="96"/>
    </row>
    <row r="139" spans="2:36" ht="15" customHeight="1" x14ac:dyDescent="0.2">
      <c r="B139" s="167" t="s">
        <v>477</v>
      </c>
      <c r="C139" s="7" t="s">
        <v>118</v>
      </c>
    </row>
    <row r="140" spans="2:36" ht="15" customHeight="1" x14ac:dyDescent="0.2">
      <c r="B140" s="85" t="s">
        <v>191</v>
      </c>
      <c r="C140" s="7" t="s">
        <v>118</v>
      </c>
      <c r="W140" s="26">
        <f t="shared" ref="W140:AA142" si="30">W128/W$131</f>
        <v>0.71983591962154059</v>
      </c>
      <c r="X140" s="26">
        <f t="shared" si="30"/>
        <v>0.72967540279368481</v>
      </c>
      <c r="Y140" s="26">
        <f t="shared" si="30"/>
        <v>0.70852050323551685</v>
      </c>
      <c r="Z140" s="147">
        <f t="shared" si="30"/>
        <v>0.72</v>
      </c>
      <c r="AA140" s="147">
        <f t="shared" si="30"/>
        <v>0.85559063225806453</v>
      </c>
      <c r="AB140" s="147">
        <f t="shared" ref="AB140:AC142" si="31">AB128/AB$131</f>
        <v>0.83294770526315787</v>
      </c>
      <c r="AC140" s="147">
        <f t="shared" si="31"/>
        <v>0.84395974647887329</v>
      </c>
    </row>
    <row r="141" spans="2:36" ht="15" customHeight="1" x14ac:dyDescent="0.2">
      <c r="B141" s="85" t="s">
        <v>132</v>
      </c>
      <c r="C141" s="7" t="s">
        <v>118</v>
      </c>
      <c r="W141" s="26">
        <f t="shared" si="30"/>
        <v>0.15008792225457729</v>
      </c>
      <c r="X141" s="26">
        <f t="shared" si="30"/>
        <v>0.13857918921168114</v>
      </c>
      <c r="Y141" s="26">
        <f t="shared" si="30"/>
        <v>0.14772196603123502</v>
      </c>
      <c r="Z141" s="26">
        <f t="shared" si="30"/>
        <v>0.14853157373319797</v>
      </c>
      <c r="AA141" s="26">
        <f t="shared" si="30"/>
        <v>8.9058903225806452E-2</v>
      </c>
      <c r="AB141" s="26">
        <f t="shared" si="31"/>
        <v>0.10932631578947369</v>
      </c>
      <c r="AC141" s="26">
        <f t="shared" si="31"/>
        <v>9.8764281690140843E-2</v>
      </c>
    </row>
    <row r="142" spans="2:36" ht="15" customHeight="1" x14ac:dyDescent="0.2">
      <c r="B142" s="85" t="s">
        <v>131</v>
      </c>
      <c r="W142" s="26">
        <f t="shared" si="30"/>
        <v>0.13007615812388218</v>
      </c>
      <c r="X142" s="26">
        <f t="shared" si="30"/>
        <v>0.13174540799463411</v>
      </c>
      <c r="Y142" s="26">
        <f t="shared" si="30"/>
        <v>0.1437575307332481</v>
      </c>
      <c r="Z142" s="26">
        <f t="shared" si="30"/>
        <v>0.13146842626680202</v>
      </c>
      <c r="AA142" s="26">
        <f t="shared" si="30"/>
        <v>5.535046451612903E-2</v>
      </c>
      <c r="AB142" s="26">
        <f t="shared" si="31"/>
        <v>5.7725978947368424E-2</v>
      </c>
      <c r="AC142" s="26">
        <f t="shared" si="31"/>
        <v>5.7275971830985914E-2</v>
      </c>
    </row>
    <row r="144" spans="2:36" ht="15" customHeight="1" x14ac:dyDescent="0.2">
      <c r="B144" s="168" t="s">
        <v>475</v>
      </c>
    </row>
    <row r="145" spans="2:29" ht="15" customHeight="1" x14ac:dyDescent="0.2">
      <c r="B145" s="85" t="s">
        <v>191</v>
      </c>
      <c r="C145" s="7" t="s">
        <v>414</v>
      </c>
      <c r="T145" s="24">
        <v>18531227</v>
      </c>
      <c r="U145" s="24">
        <v>35760485</v>
      </c>
      <c r="V145" s="24">
        <v>36840000</v>
      </c>
      <c r="W145" s="24">
        <v>43140000</v>
      </c>
      <c r="X145" s="24">
        <v>47870000</v>
      </c>
      <c r="Y145" s="24">
        <v>72390000</v>
      </c>
      <c r="Z145" s="24">
        <v>67020000</v>
      </c>
      <c r="AA145" s="70"/>
    </row>
    <row r="146" spans="2:29" ht="15" customHeight="1" x14ac:dyDescent="0.2">
      <c r="B146" s="85" t="s">
        <v>132</v>
      </c>
      <c r="C146" s="7" t="s">
        <v>414</v>
      </c>
      <c r="T146" s="24">
        <v>3044587</v>
      </c>
      <c r="U146" s="24">
        <v>5875267</v>
      </c>
      <c r="V146" s="24">
        <v>6052216</v>
      </c>
      <c r="W146" s="24">
        <v>7117983</v>
      </c>
      <c r="X146" s="24">
        <v>7836002</v>
      </c>
      <c r="Y146" s="24">
        <v>11893256</v>
      </c>
      <c r="Z146" s="24">
        <v>10920974</v>
      </c>
      <c r="AA146" s="24">
        <v>10895739</v>
      </c>
    </row>
    <row r="147" spans="2:29" ht="15" customHeight="1" x14ac:dyDescent="0.2">
      <c r="B147" s="85" t="s">
        <v>131</v>
      </c>
      <c r="C147" s="7" t="s">
        <v>414</v>
      </c>
      <c r="T147" s="24"/>
      <c r="U147" s="24">
        <v>6706949</v>
      </c>
      <c r="V147" s="24">
        <v>5149482</v>
      </c>
      <c r="W147" s="24">
        <v>5622095</v>
      </c>
      <c r="X147" s="24">
        <v>6172810</v>
      </c>
      <c r="Y147" s="24">
        <v>8500000</v>
      </c>
      <c r="Z147" s="24"/>
      <c r="AA147" s="24"/>
    </row>
    <row r="148" spans="2:29" ht="15" customHeight="1" x14ac:dyDescent="0.2">
      <c r="B148" s="165" t="s">
        <v>182</v>
      </c>
      <c r="C148" s="79" t="s">
        <v>414</v>
      </c>
      <c r="D148" s="67"/>
      <c r="E148" s="67"/>
      <c r="F148" s="67"/>
      <c r="G148" s="67"/>
      <c r="H148" s="67"/>
      <c r="I148" s="67"/>
      <c r="J148" s="67"/>
      <c r="K148" s="67"/>
      <c r="L148" s="67"/>
      <c r="M148" s="67"/>
      <c r="N148" s="67"/>
      <c r="O148" s="67"/>
      <c r="P148" s="67"/>
      <c r="Q148" s="67"/>
      <c r="R148" s="67"/>
      <c r="S148" s="67"/>
      <c r="T148" s="67"/>
      <c r="U148" s="166">
        <f t="shared" ref="U148:AA148" si="32">SUM(U145:U147)</f>
        <v>48342701</v>
      </c>
      <c r="V148" s="166">
        <f t="shared" si="32"/>
        <v>48041698</v>
      </c>
      <c r="W148" s="166">
        <f t="shared" si="32"/>
        <v>55880078</v>
      </c>
      <c r="X148" s="166">
        <f t="shared" si="32"/>
        <v>61878812</v>
      </c>
      <c r="Y148" s="166">
        <f t="shared" si="32"/>
        <v>92783256</v>
      </c>
      <c r="Z148" s="166">
        <f t="shared" si="32"/>
        <v>77940974</v>
      </c>
      <c r="AA148" s="166">
        <f t="shared" si="32"/>
        <v>10895739</v>
      </c>
    </row>
    <row r="149" spans="2:29" ht="15" customHeight="1" x14ac:dyDescent="0.2">
      <c r="B149" s="167" t="s">
        <v>477</v>
      </c>
      <c r="C149" s="7" t="s">
        <v>118</v>
      </c>
    </row>
    <row r="150" spans="2:29" ht="15" customHeight="1" x14ac:dyDescent="0.2">
      <c r="B150" s="85" t="s">
        <v>191</v>
      </c>
      <c r="C150" s="7" t="s">
        <v>118</v>
      </c>
      <c r="U150" s="26">
        <f t="shared" ref="U150:Y152" si="33">U145/U$148</f>
        <v>0.73972873381650728</v>
      </c>
      <c r="V150" s="26">
        <f t="shared" si="33"/>
        <v>0.76683384504852425</v>
      </c>
      <c r="W150" s="26">
        <f t="shared" si="33"/>
        <v>0.77201037550448659</v>
      </c>
      <c r="X150" s="26">
        <f t="shared" si="33"/>
        <v>0.77360890509662661</v>
      </c>
      <c r="Y150" s="26">
        <f t="shared" si="33"/>
        <v>0.7802054284449772</v>
      </c>
      <c r="Z150" s="147"/>
      <c r="AA150" s="147"/>
    </row>
    <row r="151" spans="2:29" ht="15" customHeight="1" x14ac:dyDescent="0.2">
      <c r="B151" s="85" t="s">
        <v>132</v>
      </c>
      <c r="C151" s="7" t="s">
        <v>118</v>
      </c>
      <c r="U151" s="26">
        <f t="shared" si="33"/>
        <v>0.12153369336976021</v>
      </c>
      <c r="V151" s="26">
        <f t="shared" si="33"/>
        <v>0.12597839485190554</v>
      </c>
      <c r="W151" s="26">
        <f t="shared" si="33"/>
        <v>0.12737961818879351</v>
      </c>
      <c r="X151" s="26">
        <f t="shared" si="33"/>
        <v>0.12663465484760761</v>
      </c>
      <c r="Y151" s="26">
        <f t="shared" si="33"/>
        <v>0.12818321443688072</v>
      </c>
      <c r="Z151" s="26"/>
      <c r="AA151" s="26"/>
    </row>
    <row r="152" spans="2:29" ht="15" customHeight="1" x14ac:dyDescent="0.2">
      <c r="B152" s="85" t="s">
        <v>131</v>
      </c>
      <c r="C152" s="7" t="s">
        <v>118</v>
      </c>
      <c r="U152" s="26">
        <f t="shared" si="33"/>
        <v>0.13873757281373253</v>
      </c>
      <c r="V152" s="26">
        <f t="shared" si="33"/>
        <v>0.10718776009957016</v>
      </c>
      <c r="W152" s="26">
        <f t="shared" si="33"/>
        <v>0.1006100063067199</v>
      </c>
      <c r="X152" s="26">
        <f t="shared" si="33"/>
        <v>9.9756440055765783E-2</v>
      </c>
      <c r="Y152" s="26">
        <f t="shared" si="33"/>
        <v>9.1611357118142098E-2</v>
      </c>
      <c r="Z152" s="26"/>
      <c r="AA152" s="26"/>
    </row>
    <row r="153" spans="2:29" ht="15" customHeight="1" x14ac:dyDescent="0.2">
      <c r="U153" s="26"/>
      <c r="V153" s="26"/>
      <c r="W153" s="26"/>
      <c r="X153" s="26"/>
      <c r="Y153" s="26"/>
      <c r="Z153" s="26"/>
      <c r="AA153" s="26"/>
    </row>
    <row r="154" spans="2:29" ht="15" customHeight="1" x14ac:dyDescent="0.2">
      <c r="U154" s="26"/>
      <c r="V154" s="26"/>
      <c r="W154" s="26"/>
      <c r="X154" s="26"/>
      <c r="Y154" s="26"/>
      <c r="Z154" s="26"/>
      <c r="AA154" s="26"/>
    </row>
    <row r="155" spans="2:29" ht="15" customHeight="1" x14ac:dyDescent="0.2">
      <c r="U155" s="26"/>
      <c r="V155" s="26"/>
      <c r="W155" s="26"/>
      <c r="X155" s="26"/>
      <c r="Y155" s="26"/>
      <c r="Z155" s="26"/>
      <c r="AA155" s="26"/>
    </row>
    <row r="156" spans="2:29" ht="15" customHeight="1" x14ac:dyDescent="0.2">
      <c r="U156" s="26"/>
      <c r="V156" s="26"/>
      <c r="W156" s="26"/>
      <c r="X156" s="26"/>
      <c r="Y156" s="26"/>
      <c r="Z156" s="26"/>
      <c r="AA156" s="26"/>
    </row>
    <row r="157" spans="2:29" ht="15" customHeight="1" x14ac:dyDescent="0.2">
      <c r="B157" s="168" t="s">
        <v>479</v>
      </c>
      <c r="U157" s="26"/>
      <c r="V157" s="26"/>
      <c r="W157" s="26"/>
      <c r="X157" s="26"/>
      <c r="Y157" s="26"/>
      <c r="Z157" s="26"/>
      <c r="AA157" s="26"/>
    </row>
    <row r="158" spans="2:29" ht="15" customHeight="1" x14ac:dyDescent="0.2">
      <c r="B158" s="167" t="s">
        <v>9</v>
      </c>
      <c r="U158" s="26"/>
      <c r="V158" s="26"/>
      <c r="W158" s="26"/>
      <c r="X158" s="26"/>
      <c r="Y158" s="26"/>
      <c r="Z158" s="26"/>
      <c r="AA158" s="26"/>
    </row>
    <row r="159" spans="2:29" ht="15" customHeight="1" x14ac:dyDescent="0.2">
      <c r="B159" s="85" t="s">
        <v>191</v>
      </c>
      <c r="C159" s="7" t="s">
        <v>414</v>
      </c>
      <c r="D159" s="24"/>
      <c r="E159" s="24"/>
      <c r="F159" s="24"/>
      <c r="G159" s="24"/>
      <c r="H159" s="24"/>
      <c r="I159" s="24"/>
      <c r="J159" s="24"/>
      <c r="K159" s="24"/>
      <c r="L159" s="24"/>
      <c r="M159" s="24"/>
      <c r="N159" s="24"/>
      <c r="O159" s="24"/>
      <c r="P159" s="24"/>
      <c r="Q159" s="70"/>
      <c r="R159" s="70"/>
      <c r="S159" s="70"/>
      <c r="T159" s="70">
        <f>T36</f>
        <v>4200000000</v>
      </c>
      <c r="U159" s="70"/>
      <c r="V159" s="70"/>
      <c r="W159" s="70"/>
      <c r="X159" s="70"/>
      <c r="Y159" s="70"/>
      <c r="Z159" s="70"/>
      <c r="AA159" s="70"/>
      <c r="AB159" s="70"/>
      <c r="AC159" s="70"/>
    </row>
    <row r="160" spans="2:29" ht="15" customHeight="1" x14ac:dyDescent="0.2">
      <c r="B160" s="85" t="s">
        <v>132</v>
      </c>
      <c r="C160" s="7" t="s">
        <v>414</v>
      </c>
      <c r="D160" s="24"/>
      <c r="E160" s="24"/>
      <c r="F160" s="24"/>
      <c r="G160" s="24"/>
      <c r="H160" s="24"/>
      <c r="I160" s="24"/>
      <c r="J160" s="24"/>
      <c r="K160" s="24"/>
      <c r="L160" s="24"/>
      <c r="M160" s="24"/>
      <c r="N160" s="24"/>
      <c r="O160" s="24"/>
      <c r="P160" s="24"/>
      <c r="Q160" s="70"/>
      <c r="R160" s="70">
        <f t="shared" ref="R160:AC160" si="34">R59</f>
        <v>651925000</v>
      </c>
      <c r="S160" s="70">
        <f t="shared" si="34"/>
        <v>652642000</v>
      </c>
      <c r="T160" s="70">
        <f t="shared" si="34"/>
        <v>662719000</v>
      </c>
      <c r="U160" s="70">
        <f t="shared" si="34"/>
        <v>615865000</v>
      </c>
      <c r="V160" s="70">
        <f t="shared" si="34"/>
        <v>695358802</v>
      </c>
      <c r="W160" s="70">
        <f t="shared" si="34"/>
        <v>699389054</v>
      </c>
      <c r="X160" s="70">
        <f t="shared" si="34"/>
        <v>742423054</v>
      </c>
      <c r="Y160" s="70">
        <f t="shared" si="34"/>
        <v>930034128</v>
      </c>
      <c r="Z160" s="70">
        <f t="shared" si="34"/>
        <v>1055687456</v>
      </c>
      <c r="AA160" s="70">
        <f t="shared" si="34"/>
        <v>1012000000</v>
      </c>
      <c r="AB160" s="70">
        <f t="shared" si="34"/>
        <v>897314000</v>
      </c>
      <c r="AC160" s="70">
        <f t="shared" si="34"/>
        <v>894662929</v>
      </c>
    </row>
    <row r="161" spans="2:29" ht="15" customHeight="1" x14ac:dyDescent="0.2">
      <c r="B161" s="85" t="s">
        <v>131</v>
      </c>
      <c r="C161" s="7" t="s">
        <v>414</v>
      </c>
      <c r="D161" s="24"/>
      <c r="E161" s="24"/>
      <c r="F161" s="24"/>
      <c r="G161" s="24"/>
      <c r="H161" s="24"/>
      <c r="I161" s="24"/>
      <c r="J161" s="24"/>
      <c r="K161" s="24"/>
      <c r="L161" s="24"/>
      <c r="M161" s="24"/>
      <c r="N161" s="24"/>
      <c r="O161" s="24"/>
      <c r="P161" s="24"/>
      <c r="Q161" s="70">
        <f>Q95</f>
        <v>1030000000</v>
      </c>
      <c r="R161" s="70">
        <f t="shared" ref="R161:AC161" si="35">R95</f>
        <v>1140000000</v>
      </c>
      <c r="S161" s="70">
        <f t="shared" si="35"/>
        <v>1190000000</v>
      </c>
      <c r="T161" s="70">
        <f t="shared" si="35"/>
        <v>1250000000</v>
      </c>
      <c r="U161" s="70">
        <f t="shared" si="35"/>
        <v>1320000000</v>
      </c>
      <c r="V161" s="70">
        <f t="shared" si="35"/>
        <v>1491000000</v>
      </c>
      <c r="W161" s="70">
        <f t="shared" si="35"/>
        <v>1496000000</v>
      </c>
      <c r="X161" s="70">
        <f t="shared" si="35"/>
        <v>1780000000</v>
      </c>
      <c r="Y161" s="70">
        <f t="shared" si="35"/>
        <v>2470000000</v>
      </c>
      <c r="Z161" s="70">
        <f t="shared" si="35"/>
        <v>3110000000</v>
      </c>
      <c r="AA161" s="70">
        <f t="shared" si="35"/>
        <v>2900000000</v>
      </c>
      <c r="AB161" s="70">
        <f t="shared" si="35"/>
        <v>2670000000</v>
      </c>
      <c r="AC161" s="70">
        <f t="shared" si="35"/>
        <v>2760000000</v>
      </c>
    </row>
    <row r="162" spans="2:29" ht="15" customHeight="1" x14ac:dyDescent="0.2">
      <c r="B162" s="88" t="s">
        <v>182</v>
      </c>
      <c r="C162" s="124" t="s">
        <v>414</v>
      </c>
      <c r="D162" s="124"/>
      <c r="E162" s="124"/>
      <c r="F162" s="124"/>
      <c r="G162" s="124"/>
      <c r="H162" s="124"/>
      <c r="I162" s="124"/>
      <c r="J162" s="124"/>
      <c r="K162" s="124"/>
      <c r="L162" s="124"/>
      <c r="M162" s="124"/>
      <c r="N162" s="124"/>
      <c r="O162" s="124"/>
      <c r="P162" s="124"/>
      <c r="Q162" s="169"/>
      <c r="R162" s="169"/>
      <c r="S162" s="169"/>
      <c r="T162" s="169">
        <f>SUM(T159:T161)</f>
        <v>6112719000</v>
      </c>
      <c r="U162" s="169"/>
      <c r="V162" s="169"/>
      <c r="W162" s="169"/>
      <c r="X162" s="169"/>
      <c r="Y162" s="169"/>
      <c r="Z162" s="169"/>
      <c r="AA162" s="169"/>
      <c r="AB162" s="169"/>
      <c r="AC162" s="169"/>
    </row>
    <row r="163" spans="2:29" ht="15" customHeight="1" x14ac:dyDescent="0.2">
      <c r="B163" s="85"/>
      <c r="C163" s="124"/>
      <c r="U163" s="26"/>
      <c r="V163" s="26"/>
      <c r="W163" s="26"/>
      <c r="X163" s="26"/>
      <c r="Y163" s="26"/>
      <c r="Z163" s="26"/>
      <c r="AA163" s="26"/>
    </row>
    <row r="164" spans="2:29" ht="15" customHeight="1" x14ac:dyDescent="0.2">
      <c r="B164" s="167" t="s">
        <v>478</v>
      </c>
      <c r="C164" s="124"/>
      <c r="U164" s="26"/>
      <c r="V164" s="26"/>
      <c r="W164" s="26"/>
      <c r="X164" s="26"/>
      <c r="Y164" s="26"/>
      <c r="Z164" s="26"/>
      <c r="AA164" s="26"/>
    </row>
    <row r="165" spans="2:29" ht="15" customHeight="1" x14ac:dyDescent="0.2">
      <c r="B165" s="85" t="s">
        <v>191</v>
      </c>
      <c r="C165" s="7" t="s">
        <v>414</v>
      </c>
      <c r="D165" s="24"/>
      <c r="E165" s="24"/>
      <c r="F165" s="24"/>
      <c r="G165" s="24"/>
      <c r="H165" s="24"/>
      <c r="I165" s="24"/>
      <c r="J165" s="24"/>
      <c r="K165" s="24"/>
      <c r="L165" s="24"/>
      <c r="M165" s="24"/>
      <c r="N165" s="24"/>
      <c r="O165" s="24"/>
      <c r="P165" s="24"/>
      <c r="Q165" s="70">
        <f t="shared" ref="Q165:Z165" si="36">Q18</f>
        <v>59333072</v>
      </c>
      <c r="R165" s="70">
        <f t="shared" si="36"/>
        <v>68349847</v>
      </c>
      <c r="S165" s="70">
        <f t="shared" si="36"/>
        <v>66184776</v>
      </c>
      <c r="T165" s="70">
        <f t="shared" si="36"/>
        <v>79337441</v>
      </c>
      <c r="U165" s="70">
        <f t="shared" si="36"/>
        <v>91055051</v>
      </c>
      <c r="V165" s="70">
        <f t="shared" si="36"/>
        <v>118080000</v>
      </c>
      <c r="W165" s="70">
        <f t="shared" si="36"/>
        <v>129600000</v>
      </c>
      <c r="X165" s="70">
        <f t="shared" si="36"/>
        <v>135000000</v>
      </c>
      <c r="Y165" s="70">
        <f t="shared" si="36"/>
        <v>163795500</v>
      </c>
      <c r="Z165" s="70">
        <f t="shared" si="36"/>
        <v>180175050</v>
      </c>
      <c r="AA165" s="70"/>
      <c r="AB165" s="70"/>
      <c r="AC165" s="70"/>
    </row>
    <row r="166" spans="2:29" ht="15" customHeight="1" x14ac:dyDescent="0.2">
      <c r="B166" s="85" t="s">
        <v>132</v>
      </c>
      <c r="C166" s="7" t="s">
        <v>414</v>
      </c>
      <c r="D166" s="24"/>
      <c r="E166" s="24"/>
      <c r="F166" s="24"/>
      <c r="G166" s="24"/>
      <c r="H166" s="24"/>
      <c r="I166" s="24"/>
      <c r="J166" s="24"/>
      <c r="K166" s="24"/>
      <c r="L166" s="24"/>
      <c r="M166" s="24"/>
      <c r="N166" s="24"/>
      <c r="O166" s="24"/>
      <c r="P166" s="24"/>
      <c r="Q166" s="70">
        <f>Q49</f>
        <v>6995743</v>
      </c>
      <c r="R166" s="70">
        <f t="shared" ref="R166:AC166" si="37">R49</f>
        <v>9472759</v>
      </c>
      <c r="S166" s="70">
        <f t="shared" si="37"/>
        <v>10769201</v>
      </c>
      <c r="T166" s="70">
        <f t="shared" si="37"/>
        <v>10128235</v>
      </c>
      <c r="U166" s="70">
        <f t="shared" si="37"/>
        <v>10259805</v>
      </c>
      <c r="V166" s="70">
        <f t="shared" si="37"/>
        <v>11292259</v>
      </c>
      <c r="W166" s="70">
        <f t="shared" si="37"/>
        <v>11588829</v>
      </c>
      <c r="X166" s="70">
        <f t="shared" si="37"/>
        <v>13167549</v>
      </c>
      <c r="Y166" s="70">
        <f t="shared" si="37"/>
        <v>16784389</v>
      </c>
      <c r="Z166" s="70">
        <f t="shared" si="37"/>
        <v>19307371</v>
      </c>
      <c r="AA166" s="70">
        <f t="shared" si="37"/>
        <v>18186371</v>
      </c>
      <c r="AB166" s="70">
        <f t="shared" si="37"/>
        <v>18652000</v>
      </c>
      <c r="AC166" s="70">
        <f t="shared" si="37"/>
        <v>18256345</v>
      </c>
    </row>
    <row r="167" spans="2:29" ht="15" customHeight="1" x14ac:dyDescent="0.2">
      <c r="B167" s="85" t="s">
        <v>131</v>
      </c>
      <c r="C167" s="7" t="s">
        <v>414</v>
      </c>
      <c r="D167" s="24"/>
      <c r="E167" s="24"/>
      <c r="F167" s="24"/>
      <c r="G167" s="24"/>
      <c r="H167" s="24"/>
      <c r="I167" s="24"/>
      <c r="J167" s="24"/>
      <c r="K167" s="24"/>
      <c r="L167" s="24"/>
      <c r="M167" s="24"/>
      <c r="N167" s="24"/>
      <c r="O167" s="24"/>
      <c r="P167" s="24"/>
      <c r="Q167" s="70">
        <f>Q78</f>
        <v>6734242</v>
      </c>
      <c r="R167" s="70">
        <f t="shared" ref="R167:AC167" si="38">R78</f>
        <v>14187573</v>
      </c>
      <c r="S167" s="70">
        <f t="shared" si="38"/>
        <v>12235588</v>
      </c>
      <c r="T167" s="70">
        <f t="shared" si="38"/>
        <v>18611653</v>
      </c>
      <c r="U167" s="70">
        <f t="shared" si="38"/>
        <v>20877617</v>
      </c>
      <c r="V167" s="70">
        <f t="shared" si="38"/>
        <v>24512581</v>
      </c>
      <c r="W167" s="70">
        <f t="shared" si="38"/>
        <v>25148952</v>
      </c>
      <c r="X167" s="70">
        <f t="shared" si="38"/>
        <v>35537137</v>
      </c>
      <c r="Y167" s="70">
        <f t="shared" si="38"/>
        <v>51942178</v>
      </c>
      <c r="Z167" s="70">
        <f t="shared" si="38"/>
        <v>68784474</v>
      </c>
      <c r="AA167" s="70">
        <f t="shared" si="38"/>
        <v>62599660</v>
      </c>
      <c r="AB167" s="70">
        <f t="shared" si="38"/>
        <v>57793297</v>
      </c>
      <c r="AC167" s="70">
        <f t="shared" si="38"/>
        <v>61747275</v>
      </c>
    </row>
    <row r="168" spans="2:29" ht="15" customHeight="1" x14ac:dyDescent="0.2">
      <c r="B168" s="88" t="s">
        <v>182</v>
      </c>
      <c r="C168" s="124" t="s">
        <v>414</v>
      </c>
      <c r="D168" s="124"/>
      <c r="E168" s="124"/>
      <c r="F168" s="124"/>
      <c r="G168" s="124"/>
      <c r="H168" s="124"/>
      <c r="I168" s="124"/>
      <c r="J168" s="124"/>
      <c r="K168" s="124"/>
      <c r="L168" s="124"/>
      <c r="M168" s="124"/>
      <c r="N168" s="124"/>
      <c r="O168" s="124"/>
      <c r="P168" s="124"/>
      <c r="Q168" s="169">
        <f>SUM(Q165:Q167)</f>
        <v>73063057</v>
      </c>
      <c r="R168" s="169">
        <f t="shared" ref="R168:Z168" si="39">SUM(R165:R167)</f>
        <v>92010179</v>
      </c>
      <c r="S168" s="169">
        <f t="shared" si="39"/>
        <v>89189565</v>
      </c>
      <c r="T168" s="169">
        <f t="shared" si="39"/>
        <v>108077329</v>
      </c>
      <c r="U168" s="169">
        <f t="shared" si="39"/>
        <v>122192473</v>
      </c>
      <c r="V168" s="169">
        <f t="shared" si="39"/>
        <v>153884840</v>
      </c>
      <c r="W168" s="169">
        <f t="shared" si="39"/>
        <v>166337781</v>
      </c>
      <c r="X168" s="169">
        <f t="shared" si="39"/>
        <v>183704686</v>
      </c>
      <c r="Y168" s="169">
        <f t="shared" si="39"/>
        <v>232522067</v>
      </c>
      <c r="Z168" s="169">
        <f t="shared" si="39"/>
        <v>268266895</v>
      </c>
      <c r="AA168" s="169"/>
    </row>
    <row r="169" spans="2:29" ht="15" customHeight="1" x14ac:dyDescent="0.2">
      <c r="B169" s="85"/>
      <c r="C169" s="124"/>
      <c r="U169" s="26"/>
      <c r="V169" s="26"/>
      <c r="W169" s="26"/>
      <c r="X169" s="26"/>
      <c r="Y169" s="26"/>
      <c r="Z169" s="26"/>
      <c r="AA169" s="26"/>
    </row>
    <row r="170" spans="2:29" ht="15" customHeight="1" x14ac:dyDescent="0.2">
      <c r="B170" s="167" t="s">
        <v>865</v>
      </c>
      <c r="C170" s="7" t="s">
        <v>118</v>
      </c>
    </row>
    <row r="171" spans="2:29" ht="15" customHeight="1" x14ac:dyDescent="0.2">
      <c r="B171" s="85" t="s">
        <v>191</v>
      </c>
      <c r="C171" s="7" t="s">
        <v>118</v>
      </c>
      <c r="Q171" s="26"/>
      <c r="R171" s="26"/>
      <c r="S171" s="26"/>
      <c r="T171" s="26">
        <f>T165/T159</f>
        <v>1.8889866904761906E-2</v>
      </c>
      <c r="U171" s="26"/>
      <c r="V171" s="26"/>
      <c r="W171" s="26"/>
      <c r="X171" s="26"/>
      <c r="Y171" s="26"/>
      <c r="Z171" s="26"/>
      <c r="AA171" s="26"/>
      <c r="AB171" s="26"/>
      <c r="AC171" s="26"/>
    </row>
    <row r="172" spans="2:29" ht="15" customHeight="1" x14ac:dyDescent="0.2">
      <c r="B172" s="85" t="s">
        <v>132</v>
      </c>
      <c r="C172" s="7" t="s">
        <v>118</v>
      </c>
      <c r="Q172" s="26"/>
      <c r="R172" s="26">
        <f t="shared" ref="R172:AC172" si="40">R166/R160</f>
        <v>1.4530442919047436E-2</v>
      </c>
      <c r="S172" s="26">
        <f t="shared" si="40"/>
        <v>1.6500931598027711E-2</v>
      </c>
      <c r="T172" s="26">
        <f t="shared" si="40"/>
        <v>1.5282849895657133E-2</v>
      </c>
      <c r="U172" s="26">
        <f t="shared" si="40"/>
        <v>1.6659178553741487E-2</v>
      </c>
      <c r="V172" s="26">
        <f t="shared" si="40"/>
        <v>1.6239470856658545E-2</v>
      </c>
      <c r="W172" s="26">
        <f t="shared" si="40"/>
        <v>1.6569931905168193E-2</v>
      </c>
      <c r="X172" s="26">
        <f t="shared" si="40"/>
        <v>1.7735910717018223E-2</v>
      </c>
      <c r="Y172" s="26">
        <f t="shared" si="40"/>
        <v>1.8047067838353564E-2</v>
      </c>
      <c r="Z172" s="26">
        <f t="shared" si="40"/>
        <v>1.8288908227777598E-2</v>
      </c>
      <c r="AA172" s="26">
        <f t="shared" si="40"/>
        <v>1.7970722332015809E-2</v>
      </c>
      <c r="AB172" s="26">
        <f t="shared" si="40"/>
        <v>2.0786480540814029E-2</v>
      </c>
      <c r="AC172" s="26">
        <f t="shared" si="40"/>
        <v>2.0405835995021986E-2</v>
      </c>
    </row>
    <row r="173" spans="2:29" ht="15" customHeight="1" x14ac:dyDescent="0.2">
      <c r="B173" s="85" t="s">
        <v>131</v>
      </c>
      <c r="C173" s="7" t="s">
        <v>118</v>
      </c>
      <c r="Q173" s="26">
        <f t="shared" ref="Q173:AC173" si="41">Q167/Q161</f>
        <v>6.5380990291262139E-3</v>
      </c>
      <c r="R173" s="26">
        <f t="shared" si="41"/>
        <v>1.244523947368421E-2</v>
      </c>
      <c r="S173" s="26">
        <f t="shared" si="41"/>
        <v>1.0282006722689075E-2</v>
      </c>
      <c r="T173" s="26">
        <f t="shared" si="41"/>
        <v>1.48893224E-2</v>
      </c>
      <c r="U173" s="26">
        <f t="shared" si="41"/>
        <v>1.5816376515151515E-2</v>
      </c>
      <c r="V173" s="26">
        <f t="shared" si="41"/>
        <v>1.6440362843729042E-2</v>
      </c>
      <c r="W173" s="26">
        <f t="shared" si="41"/>
        <v>1.6810796791443851E-2</v>
      </c>
      <c r="X173" s="26">
        <f t="shared" si="41"/>
        <v>1.996468370786517E-2</v>
      </c>
      <c r="Y173" s="26">
        <f t="shared" si="41"/>
        <v>2.102922186234818E-2</v>
      </c>
      <c r="Z173" s="26">
        <f t="shared" si="41"/>
        <v>2.2117194212218649E-2</v>
      </c>
      <c r="AA173" s="26">
        <f t="shared" si="41"/>
        <v>2.1586089655172412E-2</v>
      </c>
      <c r="AB173" s="26">
        <f t="shared" si="41"/>
        <v>2.1645429588014981E-2</v>
      </c>
      <c r="AC173" s="26">
        <f t="shared" si="41"/>
        <v>2.2372201086956523E-2</v>
      </c>
    </row>
    <row r="174" spans="2:29" ht="15" customHeight="1" x14ac:dyDescent="0.2">
      <c r="B174" s="85"/>
      <c r="C174" s="7"/>
      <c r="U174" s="26"/>
      <c r="V174" s="26"/>
      <c r="W174" s="26"/>
      <c r="X174" s="26"/>
      <c r="Y174" s="26"/>
      <c r="Z174" s="26"/>
      <c r="AA174" s="26"/>
    </row>
    <row r="175" spans="2:29" ht="15" customHeight="1" x14ac:dyDescent="0.2">
      <c r="B175" s="85"/>
      <c r="C175" s="7"/>
      <c r="U175" s="26"/>
      <c r="V175" s="26"/>
      <c r="W175" s="26"/>
      <c r="X175" s="26"/>
      <c r="Y175" s="26"/>
      <c r="Z175" s="26"/>
      <c r="AA175" s="26"/>
    </row>
    <row r="176" spans="2:29" ht="15" customHeight="1" x14ac:dyDescent="0.2">
      <c r="B176" s="85"/>
      <c r="C176" s="7"/>
      <c r="U176" s="26"/>
      <c r="V176" s="26"/>
      <c r="W176" s="26"/>
      <c r="X176" s="26"/>
      <c r="Y176" s="26"/>
      <c r="Z176" s="26"/>
      <c r="AA176" s="26"/>
    </row>
    <row r="177" spans="2:27" ht="15" customHeight="1" x14ac:dyDescent="0.2">
      <c r="B177" s="85"/>
      <c r="C177" s="7"/>
      <c r="U177" s="26"/>
      <c r="V177" s="26"/>
      <c r="W177" s="26"/>
      <c r="X177" s="26"/>
      <c r="Y177" s="26"/>
      <c r="Z177" s="26"/>
      <c r="AA177" s="26"/>
    </row>
    <row r="178" spans="2:27" ht="15" customHeight="1" x14ac:dyDescent="0.2">
      <c r="B178" s="85"/>
      <c r="C178" s="7"/>
      <c r="U178" s="26"/>
      <c r="V178" s="26"/>
      <c r="W178" s="26"/>
      <c r="X178" s="26"/>
      <c r="Y178" s="26"/>
      <c r="Z178" s="26"/>
      <c r="AA178" s="26"/>
    </row>
    <row r="181" spans="2:27" ht="15" customHeight="1" x14ac:dyDescent="0.2">
      <c r="B181" s="12" t="s">
        <v>466</v>
      </c>
    </row>
    <row r="182" spans="2:27" ht="15" customHeight="1" x14ac:dyDescent="0.2">
      <c r="B182" s="12" t="s">
        <v>862</v>
      </c>
    </row>
    <row r="183" spans="2:27" ht="15" customHeight="1" x14ac:dyDescent="0.2">
      <c r="B183" s="12" t="s">
        <v>467</v>
      </c>
    </row>
    <row r="184" spans="2:27" ht="15" customHeight="1" x14ac:dyDescent="0.2">
      <c r="B184" s="12" t="s">
        <v>468</v>
      </c>
    </row>
    <row r="185" spans="2:27" ht="15" customHeight="1" x14ac:dyDescent="0.2">
      <c r="B185" s="12" t="s">
        <v>469</v>
      </c>
    </row>
    <row r="186" spans="2:27" ht="15" customHeight="1" x14ac:dyDescent="0.2">
      <c r="B186" s="12" t="s">
        <v>470</v>
      </c>
    </row>
    <row r="187" spans="2:27" ht="15" customHeight="1" x14ac:dyDescent="0.2">
      <c r="B187" s="12" t="s">
        <v>471</v>
      </c>
    </row>
    <row r="188" spans="2:27" ht="15" customHeight="1" x14ac:dyDescent="0.2">
      <c r="B188" s="12" t="s">
        <v>472</v>
      </c>
    </row>
    <row r="189" spans="2:27" ht="15" customHeight="1" x14ac:dyDescent="0.2">
      <c r="B189" s="12" t="s">
        <v>473</v>
      </c>
    </row>
    <row r="190" spans="2:27" ht="15" customHeight="1" x14ac:dyDescent="0.2">
      <c r="B190" s="12" t="s">
        <v>474</v>
      </c>
    </row>
  </sheetData>
  <hyperlinks>
    <hyperlink ref="B5" r:id="rId1" xr:uid="{958C8BDE-DADC-4BD3-9F03-219E0EC71D42}"/>
    <hyperlink ref="B7" r:id="rId2" xr:uid="{7A4D6A49-2A85-4477-9259-C78E1685CEBC}"/>
  </hyperlinks>
  <pageMargins left="0.7" right="0.7" top="0.75" bottom="0.75" header="0.3" footer="0.3"/>
  <pageSetup paperSize="9" scale="96" orientation="portrait" r:id="rId3"/>
  <ignoredErrors>
    <ignoredError sqref="M52:S52 U52:AA52 W93" formulaRange="1"/>
  </ignoredErrors>
  <drawing r:id="rId4"/>
  <legacyDrawing r:id="rId5"/>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78B01-F7FF-4088-ABB5-FEE9043BF7CD}">
  <sheetPr>
    <tabColor theme="4" tint="0.79998168889431442"/>
  </sheetPr>
  <dimension ref="A2:S117"/>
  <sheetViews>
    <sheetView topLeftCell="A10" workbookViewId="0">
      <selection activeCell="L34" sqref="L34"/>
    </sheetView>
  </sheetViews>
  <sheetFormatPr defaultColWidth="8.7109375" defaultRowHeight="15" x14ac:dyDescent="0.25"/>
  <cols>
    <col min="2" max="2" width="46.7109375" customWidth="1"/>
    <col min="3" max="3" width="8.7109375" style="7"/>
  </cols>
  <sheetData>
    <row r="2" spans="1:19" s="350" customFormat="1" ht="15" customHeight="1" x14ac:dyDescent="0.2">
      <c r="A2" s="347"/>
      <c r="B2" s="347"/>
      <c r="C2" s="392" t="s">
        <v>415</v>
      </c>
      <c r="D2" s="349" t="s">
        <v>164</v>
      </c>
      <c r="E2" s="349" t="s">
        <v>165</v>
      </c>
      <c r="F2" s="349" t="s">
        <v>166</v>
      </c>
      <c r="G2" s="349" t="s">
        <v>167</v>
      </c>
      <c r="H2" s="349" t="s">
        <v>168</v>
      </c>
      <c r="I2" s="349" t="s">
        <v>169</v>
      </c>
      <c r="J2" s="349" t="s">
        <v>170</v>
      </c>
      <c r="K2" s="349" t="s">
        <v>171</v>
      </c>
      <c r="L2" s="349" t="s">
        <v>172</v>
      </c>
      <c r="M2" s="349" t="s">
        <v>173</v>
      </c>
      <c r="N2" s="349" t="s">
        <v>174</v>
      </c>
      <c r="O2" s="349" t="s">
        <v>200</v>
      </c>
      <c r="P2" s="349" t="s">
        <v>201</v>
      </c>
      <c r="Q2" s="349" t="s">
        <v>202</v>
      </c>
      <c r="R2" s="349" t="s">
        <v>203</v>
      </c>
      <c r="S2" s="349" t="s">
        <v>204</v>
      </c>
    </row>
    <row r="3" spans="1:19" s="350" customFormat="1" ht="15" customHeight="1" x14ac:dyDescent="0.2">
      <c r="B3" s="351"/>
      <c r="C3" s="393"/>
      <c r="D3" s="352">
        <v>42185</v>
      </c>
      <c r="E3" s="352">
        <v>42551</v>
      </c>
      <c r="F3" s="352">
        <v>42916</v>
      </c>
      <c r="G3" s="352">
        <v>43281</v>
      </c>
      <c r="H3" s="352">
        <v>43646</v>
      </c>
      <c r="I3" s="352">
        <v>44012</v>
      </c>
      <c r="J3" s="352">
        <v>44377</v>
      </c>
      <c r="K3" s="352">
        <v>44742</v>
      </c>
      <c r="L3" s="352">
        <v>45107</v>
      </c>
      <c r="M3" s="352">
        <v>45473</v>
      </c>
      <c r="N3" s="352">
        <v>45838</v>
      </c>
      <c r="O3" s="352">
        <v>46203</v>
      </c>
      <c r="P3" s="352">
        <v>46568</v>
      </c>
      <c r="Q3" s="352">
        <v>46934</v>
      </c>
      <c r="R3" s="352">
        <v>47299</v>
      </c>
      <c r="S3" s="352">
        <v>47664</v>
      </c>
    </row>
    <row r="4" spans="1:19" s="350" customFormat="1" ht="15" customHeight="1" x14ac:dyDescent="0.2">
      <c r="B4" s="353" t="s">
        <v>416</v>
      </c>
      <c r="C4" s="394"/>
    </row>
    <row r="5" spans="1:19" s="350" customFormat="1" ht="15" customHeight="1" x14ac:dyDescent="0.2">
      <c r="B5" s="355" t="s">
        <v>784</v>
      </c>
      <c r="C5" s="394" t="s">
        <v>792</v>
      </c>
      <c r="D5" s="356">
        <v>205085</v>
      </c>
      <c r="E5" s="356">
        <v>192549</v>
      </c>
      <c r="F5" s="356">
        <v>186205</v>
      </c>
      <c r="G5" s="356">
        <v>180178</v>
      </c>
      <c r="H5" s="356">
        <v>168372</v>
      </c>
      <c r="I5" s="356">
        <v>148138</v>
      </c>
      <c r="J5" s="356">
        <v>144109</v>
      </c>
      <c r="K5" s="356">
        <v>129203</v>
      </c>
      <c r="L5" s="356">
        <v>128577</v>
      </c>
      <c r="M5" s="356">
        <v>119713</v>
      </c>
      <c r="N5" s="356">
        <v>11310</v>
      </c>
      <c r="O5" s="357"/>
      <c r="P5" s="357"/>
      <c r="Q5" s="357"/>
      <c r="R5" s="357"/>
      <c r="S5" s="357"/>
    </row>
    <row r="6" spans="1:19" x14ac:dyDescent="0.25">
      <c r="B6" s="355" t="s">
        <v>785</v>
      </c>
      <c r="C6" s="394" t="s">
        <v>792</v>
      </c>
      <c r="D6" s="356">
        <v>129395</v>
      </c>
      <c r="E6" s="356">
        <v>139914</v>
      </c>
      <c r="F6" s="356">
        <v>157489</v>
      </c>
      <c r="G6" s="356">
        <v>171778</v>
      </c>
      <c r="H6" s="356">
        <v>188131</v>
      </c>
      <c r="I6" s="356">
        <v>201000</v>
      </c>
      <c r="J6" s="356">
        <v>241009</v>
      </c>
      <c r="K6" s="356">
        <v>253591</v>
      </c>
      <c r="L6" s="356">
        <v>232341</v>
      </c>
      <c r="M6" s="356">
        <v>244698</v>
      </c>
      <c r="N6" s="356">
        <v>223824</v>
      </c>
    </row>
    <row r="7" spans="1:19" x14ac:dyDescent="0.25">
      <c r="B7" s="358" t="s">
        <v>441</v>
      </c>
      <c r="C7" s="394" t="s">
        <v>792</v>
      </c>
      <c r="D7" s="356">
        <v>340352</v>
      </c>
      <c r="E7" s="356">
        <v>339539</v>
      </c>
      <c r="F7" s="356">
        <v>351375</v>
      </c>
      <c r="G7" s="356">
        <v>359020</v>
      </c>
      <c r="H7" s="356">
        <v>364168</v>
      </c>
      <c r="I7" s="356">
        <v>355603</v>
      </c>
      <c r="J7" s="356">
        <v>391390</v>
      </c>
      <c r="K7" s="356">
        <v>389297</v>
      </c>
      <c r="L7" s="359">
        <f>L5+L6</f>
        <v>360918</v>
      </c>
      <c r="M7" s="359">
        <f>M5+M6</f>
        <v>364411</v>
      </c>
      <c r="N7" s="359">
        <f>N5+N6</f>
        <v>235134</v>
      </c>
    </row>
    <row r="8" spans="1:19" x14ac:dyDescent="0.25">
      <c r="B8" s="355"/>
    </row>
    <row r="9" spans="1:19" x14ac:dyDescent="0.25">
      <c r="B9" s="355" t="s">
        <v>786</v>
      </c>
      <c r="C9" s="394" t="s">
        <v>792</v>
      </c>
      <c r="H9" s="356">
        <v>7648</v>
      </c>
      <c r="I9" s="356">
        <v>17652</v>
      </c>
      <c r="J9" s="356">
        <v>25025</v>
      </c>
      <c r="K9" s="356">
        <v>63797</v>
      </c>
      <c r="L9" s="356">
        <v>62404</v>
      </c>
      <c r="M9" s="356">
        <v>60083</v>
      </c>
      <c r="N9" s="356">
        <v>127361</v>
      </c>
    </row>
    <row r="10" spans="1:19" x14ac:dyDescent="0.25">
      <c r="B10" s="355" t="s">
        <v>297</v>
      </c>
      <c r="C10" s="394" t="s">
        <v>792</v>
      </c>
      <c r="K10" s="356">
        <v>31963</v>
      </c>
      <c r="L10" s="356">
        <v>20979</v>
      </c>
      <c r="M10" s="356">
        <v>2155</v>
      </c>
      <c r="N10" s="356">
        <v>59326</v>
      </c>
    </row>
    <row r="11" spans="1:19" x14ac:dyDescent="0.25">
      <c r="B11" s="358" t="s">
        <v>787</v>
      </c>
      <c r="C11" s="394" t="s">
        <v>792</v>
      </c>
      <c r="K11" s="359">
        <f>K9+K10</f>
        <v>95760</v>
      </c>
      <c r="L11" s="359">
        <f>L9+L10</f>
        <v>83383</v>
      </c>
      <c r="M11" s="359">
        <f>M9+M10</f>
        <v>62238</v>
      </c>
      <c r="N11" s="359">
        <f>N9+N10</f>
        <v>186687</v>
      </c>
    </row>
    <row r="12" spans="1:19" x14ac:dyDescent="0.25">
      <c r="B12" s="355"/>
    </row>
    <row r="13" spans="1:19" x14ac:dyDescent="0.25">
      <c r="B13" s="358" t="s">
        <v>788</v>
      </c>
      <c r="C13" s="394" t="s">
        <v>792</v>
      </c>
      <c r="F13" s="356">
        <v>43536</v>
      </c>
      <c r="G13" s="356">
        <v>45339</v>
      </c>
      <c r="H13" s="356">
        <v>50278</v>
      </c>
      <c r="I13" s="356">
        <v>52991</v>
      </c>
      <c r="J13" s="356">
        <v>67488</v>
      </c>
      <c r="K13" s="356">
        <v>75422</v>
      </c>
      <c r="L13" s="356">
        <v>84817</v>
      </c>
      <c r="M13" s="356">
        <v>86696</v>
      </c>
      <c r="N13" s="356">
        <v>85372</v>
      </c>
    </row>
    <row r="14" spans="1:19" s="360" customFormat="1" x14ac:dyDescent="0.25">
      <c r="B14" s="361" t="s">
        <v>791</v>
      </c>
      <c r="C14" s="395" t="s">
        <v>792</v>
      </c>
      <c r="D14" s="363">
        <v>361212</v>
      </c>
      <c r="E14" s="363">
        <v>401014</v>
      </c>
      <c r="F14" s="363">
        <v>410908</v>
      </c>
      <c r="G14" s="363">
        <v>427893</v>
      </c>
      <c r="H14" s="363">
        <v>465469</v>
      </c>
      <c r="I14" s="363">
        <v>477805</v>
      </c>
      <c r="J14" s="363">
        <v>547117</v>
      </c>
      <c r="K14" s="363">
        <v>572501</v>
      </c>
      <c r="L14" s="363">
        <v>553771</v>
      </c>
      <c r="M14" s="363">
        <v>536755</v>
      </c>
      <c r="N14" s="363">
        <v>526501</v>
      </c>
    </row>
    <row r="16" spans="1:19" x14ac:dyDescent="0.25">
      <c r="B16" s="353" t="s">
        <v>583</v>
      </c>
    </row>
    <row r="17" spans="2:19" s="350" customFormat="1" ht="15" customHeight="1" x14ac:dyDescent="0.2">
      <c r="B17" s="355" t="s">
        <v>793</v>
      </c>
      <c r="C17" s="394" t="s">
        <v>792</v>
      </c>
      <c r="D17" s="357"/>
      <c r="E17" s="357"/>
      <c r="F17" s="357"/>
      <c r="G17" s="357"/>
      <c r="H17" s="357"/>
      <c r="I17" s="357"/>
      <c r="J17" s="356">
        <v>1593760</v>
      </c>
      <c r="K17" s="356">
        <v>1651280</v>
      </c>
      <c r="L17" s="356">
        <v>1414810</v>
      </c>
      <c r="M17" s="356">
        <v>1313200</v>
      </c>
      <c r="N17" s="356">
        <v>1240500</v>
      </c>
      <c r="O17" s="357"/>
      <c r="P17" s="357"/>
      <c r="Q17" s="357"/>
      <c r="R17" s="357"/>
      <c r="S17" s="357"/>
    </row>
    <row r="18" spans="2:19" x14ac:dyDescent="0.25">
      <c r="B18" s="355" t="s">
        <v>794</v>
      </c>
      <c r="C18" s="394" t="s">
        <v>792</v>
      </c>
      <c r="J18" s="356">
        <v>7071860</v>
      </c>
      <c r="K18" s="356">
        <v>7502350</v>
      </c>
      <c r="L18" s="356">
        <v>7392080</v>
      </c>
      <c r="M18" s="356">
        <v>6617300</v>
      </c>
      <c r="N18" s="356">
        <v>6370200</v>
      </c>
    </row>
    <row r="19" spans="2:19" s="360" customFormat="1" x14ac:dyDescent="0.25">
      <c r="B19" s="364" t="s">
        <v>795</v>
      </c>
      <c r="C19" s="395" t="s">
        <v>792</v>
      </c>
      <c r="D19" s="384">
        <v>5340000</v>
      </c>
      <c r="E19" s="384">
        <v>5690000</v>
      </c>
      <c r="F19" s="384">
        <v>6240000</v>
      </c>
      <c r="G19" s="384">
        <v>6390000</v>
      </c>
      <c r="H19" s="384">
        <v>7020000</v>
      </c>
      <c r="I19" s="384">
        <v>7100000</v>
      </c>
      <c r="J19" s="363">
        <v>8665620</v>
      </c>
      <c r="K19" s="363">
        <v>9153630</v>
      </c>
      <c r="L19" s="363">
        <v>8806900</v>
      </c>
      <c r="M19" s="363">
        <v>7930500</v>
      </c>
      <c r="N19" s="363">
        <v>7610800</v>
      </c>
    </row>
    <row r="21" spans="2:19" x14ac:dyDescent="0.25">
      <c r="B21" s="387" t="s">
        <v>738</v>
      </c>
    </row>
    <row r="22" spans="2:19" x14ac:dyDescent="0.25">
      <c r="B22" s="355" t="s">
        <v>793</v>
      </c>
      <c r="C22" s="7" t="s">
        <v>118</v>
      </c>
      <c r="E22" s="26" t="e">
        <f>E17/D17-1</f>
        <v>#DIV/0!</v>
      </c>
      <c r="F22" s="26" t="e">
        <f t="shared" ref="F22:N22" si="0">F17/E17-1</f>
        <v>#DIV/0!</v>
      </c>
      <c r="G22" s="26" t="e">
        <f t="shared" si="0"/>
        <v>#DIV/0!</v>
      </c>
      <c r="H22" s="26" t="e">
        <f t="shared" si="0"/>
        <v>#DIV/0!</v>
      </c>
      <c r="I22" s="26" t="e">
        <f t="shared" si="0"/>
        <v>#DIV/0!</v>
      </c>
      <c r="J22" s="26" t="e">
        <f t="shared" si="0"/>
        <v>#DIV/0!</v>
      </c>
      <c r="K22" s="26">
        <f t="shared" si="0"/>
        <v>3.6090753940367426E-2</v>
      </c>
      <c r="L22" s="26">
        <f t="shared" si="0"/>
        <v>-0.14320405988081975</v>
      </c>
      <c r="M22" s="26">
        <f t="shared" si="0"/>
        <v>-7.1818830797068189E-2</v>
      </c>
      <c r="N22" s="26">
        <f t="shared" si="0"/>
        <v>-5.5360950350289317E-2</v>
      </c>
    </row>
    <row r="23" spans="2:19" x14ac:dyDescent="0.25">
      <c r="B23" s="355" t="s">
        <v>794</v>
      </c>
      <c r="C23" s="7" t="s">
        <v>118</v>
      </c>
      <c r="E23" s="26" t="e">
        <f t="shared" ref="E23:N23" si="1">E18/D18-1</f>
        <v>#DIV/0!</v>
      </c>
      <c r="F23" s="26" t="e">
        <f t="shared" si="1"/>
        <v>#DIV/0!</v>
      </c>
      <c r="G23" s="26" t="e">
        <f t="shared" si="1"/>
        <v>#DIV/0!</v>
      </c>
      <c r="H23" s="26" t="e">
        <f t="shared" si="1"/>
        <v>#DIV/0!</v>
      </c>
      <c r="I23" s="26" t="e">
        <f t="shared" si="1"/>
        <v>#DIV/0!</v>
      </c>
      <c r="J23" s="26" t="e">
        <f t="shared" si="1"/>
        <v>#DIV/0!</v>
      </c>
      <c r="K23" s="26">
        <f t="shared" si="1"/>
        <v>6.0873659829238758E-2</v>
      </c>
      <c r="L23" s="26">
        <f t="shared" si="1"/>
        <v>-1.4698061274134089E-2</v>
      </c>
      <c r="M23" s="26">
        <f t="shared" si="1"/>
        <v>-0.1048121773573879</v>
      </c>
      <c r="N23" s="26">
        <f t="shared" si="1"/>
        <v>-3.7341513910507329E-2</v>
      </c>
    </row>
    <row r="24" spans="2:19" x14ac:dyDescent="0.25">
      <c r="B24" s="364" t="s">
        <v>795</v>
      </c>
      <c r="C24" s="124" t="s">
        <v>118</v>
      </c>
      <c r="E24" s="389">
        <f t="shared" ref="E24:N24" si="2">E19/D19-1</f>
        <v>6.5543071161048738E-2</v>
      </c>
      <c r="F24" s="26">
        <f t="shared" si="2"/>
        <v>9.6660808435852452E-2</v>
      </c>
      <c r="G24" s="26">
        <f t="shared" si="2"/>
        <v>2.4038461538461453E-2</v>
      </c>
      <c r="H24" s="26">
        <f t="shared" si="2"/>
        <v>9.8591549295774739E-2</v>
      </c>
      <c r="I24" s="26">
        <f t="shared" si="2"/>
        <v>1.139601139601143E-2</v>
      </c>
      <c r="J24" s="26">
        <f t="shared" si="2"/>
        <v>0.22050985915492949</v>
      </c>
      <c r="K24" s="26">
        <f t="shared" si="2"/>
        <v>5.6315647351256937E-2</v>
      </c>
      <c r="L24" s="26">
        <f t="shared" si="2"/>
        <v>-3.7878961679683409E-2</v>
      </c>
      <c r="M24" s="26">
        <f t="shared" si="2"/>
        <v>-9.951288194483876E-2</v>
      </c>
      <c r="N24" s="26">
        <f t="shared" si="2"/>
        <v>-4.0312716726562003E-2</v>
      </c>
    </row>
    <row r="26" spans="2:19" x14ac:dyDescent="0.25">
      <c r="B26" s="387" t="s">
        <v>861</v>
      </c>
    </row>
    <row r="27" spans="2:19" x14ac:dyDescent="0.25">
      <c r="B27" s="355" t="s">
        <v>793</v>
      </c>
      <c r="C27" s="7" t="s">
        <v>118</v>
      </c>
      <c r="D27" s="162"/>
      <c r="E27" s="162"/>
      <c r="F27" s="162"/>
      <c r="G27" s="162"/>
      <c r="H27" s="162"/>
      <c r="I27" s="162"/>
      <c r="J27" s="162">
        <f t="shared" ref="J27:N28" si="3">J17/J$19</f>
        <v>0.18391759620200285</v>
      </c>
      <c r="K27" s="162">
        <f t="shared" si="3"/>
        <v>0.18039619254874842</v>
      </c>
      <c r="L27" s="162">
        <f t="shared" si="3"/>
        <v>0.16064790107756419</v>
      </c>
      <c r="M27" s="162">
        <f t="shared" si="3"/>
        <v>0.16558855053275329</v>
      </c>
      <c r="N27" s="162">
        <f t="shared" si="3"/>
        <v>0.16299206390918169</v>
      </c>
    </row>
    <row r="28" spans="2:19" x14ac:dyDescent="0.25">
      <c r="B28" s="355" t="s">
        <v>794</v>
      </c>
      <c r="C28" s="7" t="s">
        <v>118</v>
      </c>
      <c r="D28" s="162"/>
      <c r="E28" s="162"/>
      <c r="F28" s="162"/>
      <c r="G28" s="162"/>
      <c r="H28" s="162"/>
      <c r="I28" s="162"/>
      <c r="J28" s="162">
        <f t="shared" si="3"/>
        <v>0.81608240379799712</v>
      </c>
      <c r="K28" s="162">
        <f t="shared" si="3"/>
        <v>0.81960380745125161</v>
      </c>
      <c r="L28" s="162">
        <f t="shared" si="3"/>
        <v>0.83935096344911375</v>
      </c>
      <c r="M28" s="162">
        <f t="shared" si="3"/>
        <v>0.83441144946724666</v>
      </c>
      <c r="N28" s="162">
        <f t="shared" si="3"/>
        <v>0.83699479686760914</v>
      </c>
    </row>
    <row r="29" spans="2:19" x14ac:dyDescent="0.25">
      <c r="B29" s="355"/>
      <c r="D29" s="162"/>
      <c r="E29" s="162"/>
      <c r="F29" s="162"/>
      <c r="G29" s="162"/>
      <c r="H29" s="162"/>
      <c r="I29" s="162"/>
      <c r="J29" s="162"/>
      <c r="K29" s="162"/>
      <c r="L29" s="162"/>
      <c r="M29" s="162"/>
      <c r="N29" s="162"/>
    </row>
    <row r="30" spans="2:19" x14ac:dyDescent="0.25">
      <c r="B30" s="358" t="s">
        <v>790</v>
      </c>
      <c r="C30" s="394" t="s">
        <v>792</v>
      </c>
      <c r="I30" s="385">
        <v>243700</v>
      </c>
      <c r="J30" s="385">
        <v>365800</v>
      </c>
      <c r="K30" s="385">
        <v>444200</v>
      </c>
      <c r="L30" s="385">
        <v>493800</v>
      </c>
      <c r="M30" s="385">
        <v>393000</v>
      </c>
      <c r="N30" s="385">
        <v>369100</v>
      </c>
    </row>
    <row r="32" spans="2:19" x14ac:dyDescent="0.25">
      <c r="I32" s="26">
        <f t="shared" ref="I32:N32" si="4">I30/I19</f>
        <v>3.4323943661971834E-2</v>
      </c>
      <c r="J32" s="26">
        <f t="shared" si="4"/>
        <v>4.2212790313907143E-2</v>
      </c>
      <c r="K32" s="26">
        <f t="shared" si="4"/>
        <v>4.8527196314467592E-2</v>
      </c>
      <c r="L32" s="26">
        <f t="shared" si="4"/>
        <v>5.6069672643041253E-2</v>
      </c>
      <c r="M32" s="26">
        <f t="shared" si="4"/>
        <v>4.9555513523737472E-2</v>
      </c>
      <c r="N32" s="26">
        <f t="shared" si="4"/>
        <v>4.849687286487623E-2</v>
      </c>
    </row>
    <row r="34" spans="1:19" x14ac:dyDescent="0.25">
      <c r="B34" s="387" t="s">
        <v>478</v>
      </c>
    </row>
    <row r="35" spans="1:19" s="404" customFormat="1" x14ac:dyDescent="0.25">
      <c r="B35" s="388" t="s">
        <v>789</v>
      </c>
      <c r="C35" s="395"/>
      <c r="D35" s="26">
        <f>D$6/D19</f>
        <v>2.42312734082397E-2</v>
      </c>
      <c r="E35" s="26">
        <f t="shared" ref="E35:N35" si="5">E$6/E19</f>
        <v>2.4589455184534269E-2</v>
      </c>
      <c r="F35" s="26">
        <f t="shared" si="5"/>
        <v>2.5238621794871796E-2</v>
      </c>
      <c r="G35" s="26">
        <f t="shared" si="5"/>
        <v>2.6882316118935837E-2</v>
      </c>
      <c r="H35" s="26">
        <f t="shared" si="5"/>
        <v>2.6799287749287748E-2</v>
      </c>
      <c r="I35" s="26">
        <f t="shared" si="5"/>
        <v>2.8309859154929576E-2</v>
      </c>
      <c r="J35" s="26">
        <f t="shared" si="5"/>
        <v>2.7812089613899523E-2</v>
      </c>
      <c r="K35" s="26">
        <f t="shared" si="5"/>
        <v>2.7703872671279044E-2</v>
      </c>
      <c r="L35" s="26">
        <f t="shared" si="5"/>
        <v>2.6381700711941774E-2</v>
      </c>
      <c r="M35" s="26">
        <f t="shared" si="5"/>
        <v>3.0855305466237944E-2</v>
      </c>
      <c r="N35" s="26">
        <f t="shared" si="5"/>
        <v>2.9408734955589426E-2</v>
      </c>
    </row>
    <row r="43" spans="1:19" x14ac:dyDescent="0.25">
      <c r="A43" s="390"/>
      <c r="B43" s="390"/>
      <c r="C43" s="396"/>
      <c r="D43" s="390"/>
      <c r="E43" s="390"/>
      <c r="F43" s="390"/>
      <c r="G43" s="390"/>
      <c r="H43" s="390"/>
      <c r="I43" s="390"/>
      <c r="J43" s="390"/>
      <c r="K43" s="390"/>
      <c r="L43" s="390"/>
      <c r="M43" s="390"/>
      <c r="N43" s="390"/>
      <c r="O43" s="390"/>
      <c r="P43" s="390"/>
      <c r="Q43" s="390"/>
      <c r="R43" s="390"/>
      <c r="S43" s="390"/>
    </row>
    <row r="44" spans="1:19" x14ac:dyDescent="0.25">
      <c r="B44" s="365" t="s">
        <v>796</v>
      </c>
    </row>
    <row r="45" spans="1:19" x14ac:dyDescent="0.25">
      <c r="B45" s="366" t="s">
        <v>797</v>
      </c>
      <c r="C45" s="397" t="s">
        <v>798</v>
      </c>
    </row>
    <row r="46" spans="1:19" x14ac:dyDescent="0.25">
      <c r="B46" s="367" t="s">
        <v>799</v>
      </c>
      <c r="C46" s="397" t="s">
        <v>800</v>
      </c>
    </row>
    <row r="47" spans="1:19" x14ac:dyDescent="0.25">
      <c r="B47" s="386" t="s">
        <v>801</v>
      </c>
      <c r="C47" s="397" t="s">
        <v>802</v>
      </c>
    </row>
    <row r="49" spans="2:3" x14ac:dyDescent="0.25">
      <c r="B49" s="367" t="s">
        <v>803</v>
      </c>
      <c r="C49" s="397" t="s">
        <v>804</v>
      </c>
    </row>
    <row r="50" spans="2:3" x14ac:dyDescent="0.25">
      <c r="C50" s="397" t="s">
        <v>805</v>
      </c>
    </row>
    <row r="51" spans="2:3" x14ac:dyDescent="0.25">
      <c r="C51" s="397" t="s">
        <v>806</v>
      </c>
    </row>
    <row r="52" spans="2:3" x14ac:dyDescent="0.25">
      <c r="C52" s="397" t="s">
        <v>807</v>
      </c>
    </row>
    <row r="54" spans="2:3" x14ac:dyDescent="0.25">
      <c r="B54" s="367" t="s">
        <v>808</v>
      </c>
    </row>
    <row r="55" spans="2:3" x14ac:dyDescent="0.25">
      <c r="C55" s="397" t="s">
        <v>809</v>
      </c>
    </row>
    <row r="56" spans="2:3" x14ac:dyDescent="0.25">
      <c r="C56" s="397" t="s">
        <v>810</v>
      </c>
    </row>
    <row r="57" spans="2:3" x14ac:dyDescent="0.25">
      <c r="C57" s="397" t="s">
        <v>811</v>
      </c>
    </row>
    <row r="58" spans="2:3" x14ac:dyDescent="0.25">
      <c r="C58" s="397" t="s">
        <v>812</v>
      </c>
    </row>
    <row r="59" spans="2:3" x14ac:dyDescent="0.25">
      <c r="C59" s="397" t="s">
        <v>813</v>
      </c>
    </row>
    <row r="60" spans="2:3" x14ac:dyDescent="0.25">
      <c r="C60" s="397" t="s">
        <v>814</v>
      </c>
    </row>
    <row r="62" spans="2:3" x14ac:dyDescent="0.25">
      <c r="B62" s="367" t="s">
        <v>815</v>
      </c>
      <c r="C62" s="397" t="s">
        <v>816</v>
      </c>
    </row>
    <row r="63" spans="2:3" x14ac:dyDescent="0.25">
      <c r="C63" s="398" t="s">
        <v>817</v>
      </c>
    </row>
    <row r="64" spans="2:3" x14ac:dyDescent="0.25">
      <c r="C64" s="398" t="s">
        <v>818</v>
      </c>
    </row>
    <row r="67" spans="1:19" s="350" customFormat="1" ht="15" customHeight="1" x14ac:dyDescent="0.2">
      <c r="A67" s="347"/>
      <c r="B67" s="347"/>
      <c r="C67" s="392" t="s">
        <v>415</v>
      </c>
      <c r="D67" s="349" t="s">
        <v>164</v>
      </c>
      <c r="E67" s="349" t="s">
        <v>165</v>
      </c>
      <c r="F67" s="349" t="s">
        <v>166</v>
      </c>
      <c r="G67" s="349" t="s">
        <v>167</v>
      </c>
      <c r="H67" s="349" t="s">
        <v>168</v>
      </c>
      <c r="I67" s="349" t="s">
        <v>169</v>
      </c>
      <c r="J67" s="349" t="s">
        <v>170</v>
      </c>
      <c r="K67" s="349" t="s">
        <v>171</v>
      </c>
      <c r="L67" s="349" t="s">
        <v>172</v>
      </c>
      <c r="M67" s="349" t="s">
        <v>173</v>
      </c>
      <c r="N67" s="349" t="s">
        <v>174</v>
      </c>
      <c r="O67" s="349" t="s">
        <v>200</v>
      </c>
      <c r="P67" s="349" t="s">
        <v>201</v>
      </c>
      <c r="Q67" s="349" t="s">
        <v>202</v>
      </c>
      <c r="R67" s="349" t="s">
        <v>203</v>
      </c>
      <c r="S67" s="349" t="s">
        <v>204</v>
      </c>
    </row>
    <row r="68" spans="1:19" s="350" customFormat="1" ht="15" customHeight="1" x14ac:dyDescent="0.2">
      <c r="B68" s="351"/>
      <c r="C68" s="393"/>
      <c r="D68" s="352">
        <v>42185</v>
      </c>
      <c r="E68" s="352">
        <v>42551</v>
      </c>
      <c r="F68" s="352">
        <v>42916</v>
      </c>
      <c r="G68" s="352">
        <v>43281</v>
      </c>
      <c r="H68" s="352">
        <v>43646</v>
      </c>
      <c r="I68" s="352">
        <v>44012</v>
      </c>
      <c r="J68" s="352">
        <v>44377</v>
      </c>
      <c r="K68" s="352">
        <v>44742</v>
      </c>
      <c r="L68" s="352">
        <v>45107</v>
      </c>
      <c r="M68" s="352">
        <v>45473</v>
      </c>
      <c r="N68" s="352">
        <v>45838</v>
      </c>
      <c r="O68" s="352">
        <v>46203</v>
      </c>
      <c r="P68" s="352">
        <v>46568</v>
      </c>
      <c r="Q68" s="352">
        <v>46934</v>
      </c>
      <c r="R68" s="352">
        <v>47299</v>
      </c>
      <c r="S68" s="352">
        <v>47664</v>
      </c>
    </row>
    <row r="69" spans="1:19" s="350" customFormat="1" ht="15" customHeight="1" x14ac:dyDescent="0.2">
      <c r="B69" s="353" t="s">
        <v>416</v>
      </c>
      <c r="C69" s="394"/>
    </row>
    <row r="70" spans="1:19" s="350" customFormat="1" ht="15" customHeight="1" x14ac:dyDescent="0.2">
      <c r="B70" s="355" t="s">
        <v>822</v>
      </c>
      <c r="C70" s="394" t="s">
        <v>123</v>
      </c>
      <c r="D70" s="368">
        <v>21.4</v>
      </c>
      <c r="E70" s="368">
        <v>25.8</v>
      </c>
      <c r="F70" s="368">
        <v>30.2</v>
      </c>
      <c r="G70" s="368">
        <v>35</v>
      </c>
      <c r="H70" s="368">
        <v>37.5</v>
      </c>
      <c r="I70" s="368">
        <v>52.2</v>
      </c>
      <c r="J70" s="368">
        <v>69.5</v>
      </c>
      <c r="K70" s="368">
        <v>77.8</v>
      </c>
      <c r="L70" s="368">
        <v>80.5</v>
      </c>
      <c r="M70" s="368">
        <v>70.099999999999994</v>
      </c>
      <c r="N70" s="368">
        <v>70.599999999999994</v>
      </c>
      <c r="O70" s="357"/>
      <c r="P70" s="357"/>
      <c r="Q70" s="357"/>
      <c r="R70" s="357"/>
      <c r="S70" s="357"/>
    </row>
    <row r="71" spans="1:19" x14ac:dyDescent="0.25">
      <c r="B71" s="355" t="s">
        <v>823</v>
      </c>
      <c r="C71" s="394" t="s">
        <v>123</v>
      </c>
      <c r="D71" s="369"/>
      <c r="E71" s="369"/>
      <c r="F71" s="369"/>
      <c r="G71" s="369"/>
      <c r="H71" s="369"/>
      <c r="I71" s="369"/>
      <c r="J71" s="368">
        <v>6.2</v>
      </c>
      <c r="K71" s="368">
        <v>15.5</v>
      </c>
      <c r="L71" s="368">
        <v>15.3</v>
      </c>
      <c r="M71" s="368">
        <v>14.4</v>
      </c>
      <c r="N71" s="368">
        <v>30.9</v>
      </c>
    </row>
    <row r="72" spans="1:19" x14ac:dyDescent="0.25">
      <c r="B72" s="355" t="s">
        <v>824</v>
      </c>
      <c r="C72" s="394" t="s">
        <v>123</v>
      </c>
      <c r="H72" s="369"/>
      <c r="I72" s="369"/>
      <c r="J72" s="369"/>
      <c r="K72" s="369"/>
      <c r="L72" s="369"/>
      <c r="M72" s="369"/>
      <c r="N72" s="368">
        <v>14.2</v>
      </c>
    </row>
    <row r="73" spans="1:19" x14ac:dyDescent="0.25">
      <c r="B73" s="355" t="s">
        <v>825</v>
      </c>
      <c r="C73" s="394"/>
      <c r="D73" s="368">
        <v>62.4</v>
      </c>
      <c r="E73" s="368">
        <v>60.7</v>
      </c>
      <c r="F73" s="368">
        <v>60.7</v>
      </c>
      <c r="G73" s="368">
        <v>60.4</v>
      </c>
      <c r="H73" s="368">
        <v>54.9</v>
      </c>
      <c r="I73" s="368">
        <v>42.3</v>
      </c>
      <c r="J73" s="368">
        <v>40.700000000000003</v>
      </c>
      <c r="K73" s="368">
        <v>36.299999999999997</v>
      </c>
      <c r="L73" s="368">
        <v>34.200000000000003</v>
      </c>
      <c r="M73" s="368">
        <v>31.7</v>
      </c>
      <c r="N73" s="368">
        <v>2.8</v>
      </c>
    </row>
    <row r="74" spans="1:19" x14ac:dyDescent="0.25">
      <c r="B74" s="355" t="s">
        <v>297</v>
      </c>
      <c r="C74" s="394" t="s">
        <v>123</v>
      </c>
      <c r="D74" s="368">
        <v>4.9000000000000004</v>
      </c>
      <c r="E74" s="368">
        <v>4.0999999999999996</v>
      </c>
      <c r="F74" s="368">
        <v>3.4</v>
      </c>
      <c r="G74" s="368">
        <v>3.5</v>
      </c>
      <c r="H74" s="368">
        <v>11.2</v>
      </c>
      <c r="I74" s="368">
        <v>12.1</v>
      </c>
      <c r="J74" s="368">
        <v>15.8</v>
      </c>
      <c r="K74" s="368">
        <v>10.3</v>
      </c>
      <c r="L74" s="368">
        <v>19.3</v>
      </c>
      <c r="M74" s="368">
        <v>18</v>
      </c>
      <c r="N74" s="368">
        <v>17.2</v>
      </c>
    </row>
    <row r="75" spans="1:19" s="360" customFormat="1" x14ac:dyDescent="0.25">
      <c r="B75" s="361" t="s">
        <v>791</v>
      </c>
      <c r="C75" s="394" t="s">
        <v>123</v>
      </c>
      <c r="D75" s="370">
        <f t="shared" ref="D75:N75" si="6">SUM(D70:D74)</f>
        <v>88.7</v>
      </c>
      <c r="E75" s="370">
        <f t="shared" si="6"/>
        <v>90.6</v>
      </c>
      <c r="F75" s="370">
        <f t="shared" si="6"/>
        <v>94.300000000000011</v>
      </c>
      <c r="G75" s="370">
        <f t="shared" si="6"/>
        <v>98.9</v>
      </c>
      <c r="H75" s="370">
        <f t="shared" si="6"/>
        <v>103.60000000000001</v>
      </c>
      <c r="I75" s="370">
        <f t="shared" si="6"/>
        <v>106.6</v>
      </c>
      <c r="J75" s="370">
        <f t="shared" si="6"/>
        <v>132.20000000000002</v>
      </c>
      <c r="K75" s="370">
        <f t="shared" si="6"/>
        <v>139.9</v>
      </c>
      <c r="L75" s="370">
        <f t="shared" si="6"/>
        <v>149.30000000000001</v>
      </c>
      <c r="M75" s="370">
        <f t="shared" si="6"/>
        <v>134.19999999999999</v>
      </c>
      <c r="N75" s="370">
        <f t="shared" si="6"/>
        <v>135.69999999999999</v>
      </c>
    </row>
    <row r="77" spans="1:19" x14ac:dyDescent="0.25">
      <c r="B77" s="353" t="s">
        <v>583</v>
      </c>
    </row>
    <row r="78" spans="1:19" s="350" customFormat="1" ht="15" customHeight="1" x14ac:dyDescent="0.2">
      <c r="B78" s="355" t="s">
        <v>819</v>
      </c>
      <c r="C78" s="394" t="s">
        <v>123</v>
      </c>
      <c r="D78" s="377">
        <v>524</v>
      </c>
      <c r="E78" s="377">
        <v>682</v>
      </c>
      <c r="F78" s="377">
        <v>875</v>
      </c>
      <c r="G78" s="377">
        <v>1096</v>
      </c>
      <c r="H78" s="377">
        <v>1276</v>
      </c>
      <c r="I78" s="377">
        <v>1657</v>
      </c>
      <c r="J78" s="377">
        <v>2340</v>
      </c>
      <c r="K78" s="377">
        <v>2764</v>
      </c>
      <c r="L78" s="377">
        <v>2525</v>
      </c>
      <c r="M78" s="377">
        <v>2160</v>
      </c>
      <c r="N78" s="377">
        <v>2184</v>
      </c>
      <c r="O78" s="357"/>
      <c r="P78" s="357"/>
      <c r="Q78" s="357"/>
      <c r="R78" s="357"/>
      <c r="S78" s="357"/>
    </row>
    <row r="79" spans="1:19" x14ac:dyDescent="0.25">
      <c r="B79" s="355" t="s">
        <v>820</v>
      </c>
      <c r="C79" s="394" t="s">
        <v>123</v>
      </c>
      <c r="D79" s="377">
        <v>731</v>
      </c>
      <c r="E79" s="377">
        <v>787</v>
      </c>
      <c r="F79" s="377">
        <v>800</v>
      </c>
      <c r="G79" s="377">
        <v>800</v>
      </c>
      <c r="H79" s="377">
        <v>742</v>
      </c>
      <c r="I79" s="377">
        <v>632</v>
      </c>
      <c r="J79" s="377">
        <v>717</v>
      </c>
      <c r="K79" s="377">
        <v>631</v>
      </c>
      <c r="L79" s="377">
        <v>603</v>
      </c>
      <c r="M79" s="377">
        <v>563</v>
      </c>
      <c r="N79" s="377">
        <v>584</v>
      </c>
    </row>
    <row r="80" spans="1:19" x14ac:dyDescent="0.25">
      <c r="B80" s="355" t="s">
        <v>821</v>
      </c>
      <c r="C80" s="394" t="s">
        <v>123</v>
      </c>
      <c r="D80" s="377">
        <v>360</v>
      </c>
      <c r="E80" s="377">
        <v>360</v>
      </c>
      <c r="F80" s="377">
        <v>370</v>
      </c>
      <c r="G80" s="377">
        <v>369</v>
      </c>
      <c r="H80" s="377">
        <v>351</v>
      </c>
      <c r="I80" s="377">
        <v>311</v>
      </c>
      <c r="J80" s="377">
        <v>295</v>
      </c>
      <c r="K80" s="377">
        <v>298</v>
      </c>
      <c r="L80" s="377">
        <v>301</v>
      </c>
      <c r="M80" s="377">
        <v>263</v>
      </c>
      <c r="N80" s="377">
        <v>250</v>
      </c>
    </row>
    <row r="81" spans="2:14" s="360" customFormat="1" x14ac:dyDescent="0.25">
      <c r="B81" s="364" t="s">
        <v>789</v>
      </c>
      <c r="C81" s="394" t="s">
        <v>123</v>
      </c>
      <c r="D81" s="371">
        <f t="shared" ref="D81:N81" si="7">SUM(D78:D80)</f>
        <v>1615</v>
      </c>
      <c r="E81" s="371">
        <f t="shared" si="7"/>
        <v>1829</v>
      </c>
      <c r="F81" s="371">
        <f t="shared" si="7"/>
        <v>2045</v>
      </c>
      <c r="G81" s="371">
        <f t="shared" si="7"/>
        <v>2265</v>
      </c>
      <c r="H81" s="371">
        <f t="shared" si="7"/>
        <v>2369</v>
      </c>
      <c r="I81" s="371">
        <f t="shared" si="7"/>
        <v>2600</v>
      </c>
      <c r="J81" s="371">
        <f t="shared" si="7"/>
        <v>3352</v>
      </c>
      <c r="K81" s="371">
        <f t="shared" si="7"/>
        <v>3693</v>
      </c>
      <c r="L81" s="371">
        <f t="shared" si="7"/>
        <v>3429</v>
      </c>
      <c r="M81" s="371">
        <f t="shared" si="7"/>
        <v>2986</v>
      </c>
      <c r="N81" s="371">
        <f t="shared" si="7"/>
        <v>3018</v>
      </c>
    </row>
    <row r="83" spans="2:14" x14ac:dyDescent="0.25">
      <c r="B83" s="387" t="s">
        <v>738</v>
      </c>
    </row>
    <row r="84" spans="2:14" x14ac:dyDescent="0.25">
      <c r="B84" s="355" t="s">
        <v>819</v>
      </c>
      <c r="E84" s="26">
        <f t="shared" ref="E84:M84" si="8">E78/D78-1</f>
        <v>0.3015267175572518</v>
      </c>
      <c r="F84" s="26">
        <f t="shared" si="8"/>
        <v>0.28299120234604103</v>
      </c>
      <c r="G84" s="26">
        <f t="shared" si="8"/>
        <v>0.25257142857142867</v>
      </c>
      <c r="H84" s="26">
        <f t="shared" si="8"/>
        <v>0.16423357664233573</v>
      </c>
      <c r="I84" s="26">
        <f t="shared" si="8"/>
        <v>0.29858934169279006</v>
      </c>
      <c r="J84" s="26">
        <f t="shared" si="8"/>
        <v>0.41219070609535313</v>
      </c>
      <c r="K84" s="26">
        <f t="shared" si="8"/>
        <v>0.18119658119658122</v>
      </c>
      <c r="L84" s="26">
        <f t="shared" si="8"/>
        <v>-8.6468885672937756E-2</v>
      </c>
      <c r="M84" s="26">
        <f t="shared" si="8"/>
        <v>-0.14455445544554457</v>
      </c>
      <c r="N84" s="26">
        <f>N78/M78-1</f>
        <v>1.1111111111111072E-2</v>
      </c>
    </row>
    <row r="85" spans="2:14" x14ac:dyDescent="0.25">
      <c r="B85" s="355" t="s">
        <v>820</v>
      </c>
      <c r="E85" s="26">
        <f t="shared" ref="E85:N85" si="9">E79/D79-1</f>
        <v>7.6607387140902983E-2</v>
      </c>
      <c r="F85" s="26">
        <f t="shared" si="9"/>
        <v>1.6518424396442244E-2</v>
      </c>
      <c r="G85" s="26">
        <f t="shared" si="9"/>
        <v>0</v>
      </c>
      <c r="H85" s="26">
        <f t="shared" si="9"/>
        <v>-7.2500000000000009E-2</v>
      </c>
      <c r="I85" s="26">
        <f t="shared" si="9"/>
        <v>-0.14824797843665771</v>
      </c>
      <c r="J85" s="26">
        <f t="shared" si="9"/>
        <v>0.134493670886076</v>
      </c>
      <c r="K85" s="26">
        <f t="shared" si="9"/>
        <v>-0.11994421199442118</v>
      </c>
      <c r="L85" s="26">
        <f t="shared" si="9"/>
        <v>-4.4374009508716283E-2</v>
      </c>
      <c r="M85" s="26">
        <f t="shared" si="9"/>
        <v>-6.6334991708126068E-2</v>
      </c>
      <c r="N85" s="26">
        <f t="shared" si="9"/>
        <v>3.7300177619893349E-2</v>
      </c>
    </row>
    <row r="86" spans="2:14" x14ac:dyDescent="0.25">
      <c r="B86" s="355" t="s">
        <v>821</v>
      </c>
      <c r="E86" s="26">
        <f t="shared" ref="E86:N86" si="10">E80/D80-1</f>
        <v>0</v>
      </c>
      <c r="F86" s="26">
        <f t="shared" si="10"/>
        <v>2.7777777777777679E-2</v>
      </c>
      <c r="G86" s="26">
        <f t="shared" si="10"/>
        <v>-2.7027027027026751E-3</v>
      </c>
      <c r="H86" s="26">
        <f t="shared" si="10"/>
        <v>-4.8780487804878092E-2</v>
      </c>
      <c r="I86" s="26">
        <f t="shared" si="10"/>
        <v>-0.11396011396011396</v>
      </c>
      <c r="J86" s="26">
        <f t="shared" si="10"/>
        <v>-5.144694533762062E-2</v>
      </c>
      <c r="K86" s="26">
        <f t="shared" si="10"/>
        <v>1.0169491525423791E-2</v>
      </c>
      <c r="L86" s="26">
        <f t="shared" si="10"/>
        <v>1.0067114093959662E-2</v>
      </c>
      <c r="M86" s="26">
        <f t="shared" si="10"/>
        <v>-0.12624584717607978</v>
      </c>
      <c r="N86" s="26">
        <f t="shared" si="10"/>
        <v>-4.9429657794676785E-2</v>
      </c>
    </row>
    <row r="87" spans="2:14" s="34" customFormat="1" x14ac:dyDescent="0.25">
      <c r="B87" s="388" t="s">
        <v>789</v>
      </c>
      <c r="C87" s="124"/>
      <c r="E87" s="389">
        <f t="shared" ref="E87:N87" si="11">E81/D81-1</f>
        <v>0.13250773993808052</v>
      </c>
      <c r="F87" s="389">
        <f t="shared" si="11"/>
        <v>0.11809732094040459</v>
      </c>
      <c r="G87" s="389">
        <f t="shared" si="11"/>
        <v>0.10757946210268954</v>
      </c>
      <c r="H87" s="389">
        <f t="shared" si="11"/>
        <v>4.5916114790286899E-2</v>
      </c>
      <c r="I87" s="389">
        <f t="shared" si="11"/>
        <v>9.7509497678345269E-2</v>
      </c>
      <c r="J87" s="389">
        <f t="shared" si="11"/>
        <v>0.28923076923076918</v>
      </c>
      <c r="K87" s="389">
        <f t="shared" si="11"/>
        <v>0.10173031026252977</v>
      </c>
      <c r="L87" s="389">
        <f t="shared" si="11"/>
        <v>-7.1486596263200641E-2</v>
      </c>
      <c r="M87" s="389">
        <f t="shared" si="11"/>
        <v>-0.12919218431029456</v>
      </c>
      <c r="N87" s="389">
        <f t="shared" si="11"/>
        <v>1.0716677829872845E-2</v>
      </c>
    </row>
    <row r="89" spans="2:14" x14ac:dyDescent="0.25">
      <c r="B89" s="387" t="s">
        <v>861</v>
      </c>
    </row>
    <row r="90" spans="2:14" x14ac:dyDescent="0.25">
      <c r="B90" s="355" t="s">
        <v>819</v>
      </c>
      <c r="D90" s="162">
        <f t="shared" ref="D90:M92" si="12">D78/D$81</f>
        <v>0.32445820433436534</v>
      </c>
      <c r="E90" s="162">
        <f t="shared" si="12"/>
        <v>0.3728813559322034</v>
      </c>
      <c r="F90" s="162">
        <f t="shared" si="12"/>
        <v>0.42787286063569679</v>
      </c>
      <c r="G90" s="162">
        <f t="shared" si="12"/>
        <v>0.48388520971302429</v>
      </c>
      <c r="H90" s="162">
        <f t="shared" si="12"/>
        <v>0.53862389193752636</v>
      </c>
      <c r="I90" s="162">
        <f t="shared" si="12"/>
        <v>0.63730769230769235</v>
      </c>
      <c r="J90" s="162">
        <f t="shared" si="12"/>
        <v>0.69809069212410502</v>
      </c>
      <c r="K90" s="162">
        <f t="shared" si="12"/>
        <v>0.74844300027078259</v>
      </c>
      <c r="L90" s="162">
        <f t="shared" si="12"/>
        <v>0.73636628754738986</v>
      </c>
      <c r="M90" s="162">
        <f t="shared" si="12"/>
        <v>0.72337575351640993</v>
      </c>
      <c r="N90" s="162">
        <f>N78/N$81</f>
        <v>0.72365805168986086</v>
      </c>
    </row>
    <row r="91" spans="2:14" x14ac:dyDescent="0.25">
      <c r="B91" s="355" t="s">
        <v>820</v>
      </c>
      <c r="D91" s="162">
        <f t="shared" si="12"/>
        <v>0.45263157894736844</v>
      </c>
      <c r="E91" s="162">
        <f t="shared" si="12"/>
        <v>0.43028977583378897</v>
      </c>
      <c r="F91" s="162">
        <f t="shared" si="12"/>
        <v>0.39119804400977998</v>
      </c>
      <c r="G91" s="162">
        <f t="shared" si="12"/>
        <v>0.35320088300220753</v>
      </c>
      <c r="H91" s="162">
        <f t="shared" si="12"/>
        <v>0.31321232587589698</v>
      </c>
      <c r="I91" s="162">
        <f t="shared" si="12"/>
        <v>0.24307692307692308</v>
      </c>
      <c r="J91" s="162">
        <f t="shared" si="12"/>
        <v>0.2139021479713604</v>
      </c>
      <c r="K91" s="162">
        <f t="shared" si="12"/>
        <v>0.17086379637151367</v>
      </c>
      <c r="L91" s="162">
        <f t="shared" si="12"/>
        <v>0.17585301837270342</v>
      </c>
      <c r="M91" s="162">
        <f t="shared" si="12"/>
        <v>0.18854655056932351</v>
      </c>
      <c r="N91" s="162">
        <f>N79/N$81</f>
        <v>0.19350563286944997</v>
      </c>
    </row>
    <row r="92" spans="2:14" x14ac:dyDescent="0.25">
      <c r="B92" s="355" t="s">
        <v>821</v>
      </c>
      <c r="D92" s="162">
        <f t="shared" si="12"/>
        <v>0.22291021671826625</v>
      </c>
      <c r="E92" s="162">
        <f t="shared" si="12"/>
        <v>0.19682886823400766</v>
      </c>
      <c r="F92" s="162">
        <f t="shared" si="12"/>
        <v>0.18092909535452323</v>
      </c>
      <c r="G92" s="162">
        <f t="shared" si="12"/>
        <v>0.16291390728476821</v>
      </c>
      <c r="H92" s="162">
        <f t="shared" si="12"/>
        <v>0.14816378218657661</v>
      </c>
      <c r="I92" s="162">
        <f t="shared" si="12"/>
        <v>0.11961538461538461</v>
      </c>
      <c r="J92" s="162">
        <f t="shared" si="12"/>
        <v>8.8007159904534601E-2</v>
      </c>
      <c r="K92" s="162">
        <f t="shared" si="12"/>
        <v>8.0693203357703761E-2</v>
      </c>
      <c r="L92" s="162">
        <f t="shared" si="12"/>
        <v>8.7780694079906685E-2</v>
      </c>
      <c r="M92" s="162">
        <f t="shared" si="12"/>
        <v>8.8077695914266577E-2</v>
      </c>
      <c r="N92" s="162">
        <f>N80/N$81</f>
        <v>8.2836315440689201E-2</v>
      </c>
    </row>
    <row r="94" spans="2:14" x14ac:dyDescent="0.25">
      <c r="B94" s="387" t="s">
        <v>478</v>
      </c>
    </row>
    <row r="95" spans="2:14" s="404" customFormat="1" x14ac:dyDescent="0.25">
      <c r="B95" s="388" t="s">
        <v>789</v>
      </c>
      <c r="C95" s="395"/>
      <c r="D95" s="26">
        <f t="shared" ref="D95:N95" si="13">D$70/D81</f>
        <v>1.3250773993808048E-2</v>
      </c>
      <c r="E95" s="26">
        <f t="shared" si="13"/>
        <v>1.4106068890103882E-2</v>
      </c>
      <c r="F95" s="26">
        <f t="shared" si="13"/>
        <v>1.4767726161369192E-2</v>
      </c>
      <c r="G95" s="26">
        <f t="shared" si="13"/>
        <v>1.5452538631346579E-2</v>
      </c>
      <c r="H95" s="26">
        <f t="shared" si="13"/>
        <v>1.5829463908822287E-2</v>
      </c>
      <c r="I95" s="26">
        <f t="shared" si="13"/>
        <v>2.0076923076923079E-2</v>
      </c>
      <c r="J95" s="26">
        <f t="shared" si="13"/>
        <v>2.0733890214797136E-2</v>
      </c>
      <c r="K95" s="26">
        <f t="shared" si="13"/>
        <v>2.1066883292715947E-2</v>
      </c>
      <c r="L95" s="26">
        <f t="shared" si="13"/>
        <v>2.3476232137649461E-2</v>
      </c>
      <c r="M95" s="26">
        <f t="shared" si="13"/>
        <v>2.3476222371064968E-2</v>
      </c>
      <c r="N95" s="26">
        <f t="shared" si="13"/>
        <v>2.3392975480450627E-2</v>
      </c>
    </row>
    <row r="97" spans="1:19" x14ac:dyDescent="0.25">
      <c r="A97" s="390"/>
      <c r="B97" s="390"/>
      <c r="C97" s="396"/>
      <c r="D97" s="391"/>
      <c r="E97" s="391"/>
      <c r="F97" s="391"/>
      <c r="G97" s="391"/>
      <c r="H97" s="391"/>
      <c r="I97" s="391"/>
      <c r="J97" s="391"/>
      <c r="K97" s="391"/>
      <c r="L97" s="391"/>
      <c r="M97" s="391"/>
      <c r="N97" s="391"/>
      <c r="O97" s="390"/>
      <c r="P97" s="390"/>
      <c r="Q97" s="390"/>
      <c r="R97" s="390"/>
      <c r="S97" s="390"/>
    </row>
    <row r="98" spans="1:19" x14ac:dyDescent="0.25">
      <c r="B98" s="372" t="s">
        <v>796</v>
      </c>
    </row>
    <row r="99" spans="1:19" x14ac:dyDescent="0.25">
      <c r="B99" s="373" t="s">
        <v>797</v>
      </c>
      <c r="C99" s="397" t="s">
        <v>826</v>
      </c>
    </row>
    <row r="100" spans="1:19" x14ac:dyDescent="0.25">
      <c r="B100" s="375" t="s">
        <v>799</v>
      </c>
      <c r="C100" s="397" t="s">
        <v>827</v>
      </c>
    </row>
    <row r="101" spans="1:19" x14ac:dyDescent="0.25">
      <c r="B101" s="375" t="s">
        <v>801</v>
      </c>
      <c r="C101" s="397" t="s">
        <v>828</v>
      </c>
    </row>
    <row r="103" spans="1:19" x14ac:dyDescent="0.25">
      <c r="B103" s="375" t="s">
        <v>829</v>
      </c>
      <c r="C103" s="397" t="s">
        <v>830</v>
      </c>
    </row>
    <row r="105" spans="1:19" x14ac:dyDescent="0.25">
      <c r="B105" s="375" t="s">
        <v>831</v>
      </c>
    </row>
    <row r="106" spans="1:19" x14ac:dyDescent="0.25">
      <c r="C106" s="397" t="s">
        <v>832</v>
      </c>
    </row>
    <row r="107" spans="1:19" x14ac:dyDescent="0.25">
      <c r="C107" s="397" t="s">
        <v>833</v>
      </c>
    </row>
    <row r="108" spans="1:19" x14ac:dyDescent="0.25">
      <c r="C108" s="397" t="s">
        <v>834</v>
      </c>
    </row>
    <row r="109" spans="1:19" x14ac:dyDescent="0.25">
      <c r="C109" s="397" t="s">
        <v>835</v>
      </c>
    </row>
    <row r="110" spans="1:19" x14ac:dyDescent="0.25">
      <c r="C110" s="397" t="s">
        <v>836</v>
      </c>
    </row>
    <row r="112" spans="1:19" x14ac:dyDescent="0.25">
      <c r="B112" s="375" t="s">
        <v>837</v>
      </c>
    </row>
    <row r="113" spans="2:3" x14ac:dyDescent="0.25">
      <c r="C113" s="397" t="s">
        <v>838</v>
      </c>
    </row>
    <row r="114" spans="2:3" x14ac:dyDescent="0.25">
      <c r="C114" s="397" t="s">
        <v>839</v>
      </c>
    </row>
    <row r="116" spans="2:3" x14ac:dyDescent="0.25">
      <c r="B116" s="375" t="s">
        <v>815</v>
      </c>
      <c r="C116" s="397" t="s">
        <v>840</v>
      </c>
    </row>
    <row r="117" spans="2:3" x14ac:dyDescent="0.25">
      <c r="C117" s="398" t="s">
        <v>841</v>
      </c>
    </row>
  </sheetData>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C9572-A8C5-497D-84E0-E6B961CC9D10}">
  <sheetPr>
    <tabColor theme="4" tint="0.79998168889431442"/>
  </sheetPr>
  <dimension ref="A2:S58"/>
  <sheetViews>
    <sheetView workbookViewId="0">
      <selection activeCell="R25" sqref="R25"/>
    </sheetView>
  </sheetViews>
  <sheetFormatPr defaultColWidth="8.7109375" defaultRowHeight="15" x14ac:dyDescent="0.25"/>
  <cols>
    <col min="2" max="2" width="46.7109375" customWidth="1"/>
  </cols>
  <sheetData>
    <row r="2" spans="1:19" s="350" customFormat="1" ht="15" customHeight="1" x14ac:dyDescent="0.2">
      <c r="A2" s="347"/>
      <c r="B2" s="347"/>
      <c r="C2" s="348" t="s">
        <v>415</v>
      </c>
      <c r="D2" s="349" t="s">
        <v>164</v>
      </c>
      <c r="E2" s="349" t="s">
        <v>165</v>
      </c>
      <c r="F2" s="349" t="s">
        <v>166</v>
      </c>
      <c r="G2" s="349" t="s">
        <v>167</v>
      </c>
      <c r="H2" s="349" t="s">
        <v>168</v>
      </c>
      <c r="I2" s="349" t="s">
        <v>169</v>
      </c>
      <c r="J2" s="349" t="s">
        <v>170</v>
      </c>
      <c r="K2" s="349" t="s">
        <v>171</v>
      </c>
      <c r="L2" s="349" t="s">
        <v>172</v>
      </c>
      <c r="M2" s="349" t="s">
        <v>173</v>
      </c>
      <c r="N2" s="349" t="s">
        <v>174</v>
      </c>
      <c r="O2" s="349" t="s">
        <v>200</v>
      </c>
      <c r="P2" s="349" t="s">
        <v>201</v>
      </c>
      <c r="Q2" s="349" t="s">
        <v>202</v>
      </c>
      <c r="R2" s="349" t="s">
        <v>203</v>
      </c>
      <c r="S2" s="349" t="s">
        <v>204</v>
      </c>
    </row>
    <row r="3" spans="1:19" s="350" customFormat="1" ht="15" customHeight="1" x14ac:dyDescent="0.2">
      <c r="B3" s="351"/>
      <c r="C3" s="352"/>
      <c r="D3" s="352">
        <v>42185</v>
      </c>
      <c r="E3" s="352">
        <v>42551</v>
      </c>
      <c r="F3" s="352">
        <v>42916</v>
      </c>
      <c r="G3" s="352">
        <v>43281</v>
      </c>
      <c r="H3" s="352">
        <v>43646</v>
      </c>
      <c r="I3" s="352">
        <v>44012</v>
      </c>
      <c r="J3" s="352">
        <v>44377</v>
      </c>
      <c r="K3" s="352">
        <v>44742</v>
      </c>
      <c r="L3" s="352">
        <v>45107</v>
      </c>
      <c r="M3" s="352">
        <v>45473</v>
      </c>
      <c r="N3" s="352">
        <v>45838</v>
      </c>
      <c r="O3" s="352">
        <v>46203</v>
      </c>
      <c r="P3" s="352">
        <v>46568</v>
      </c>
      <c r="Q3" s="352">
        <v>46934</v>
      </c>
      <c r="R3" s="352">
        <v>47299</v>
      </c>
      <c r="S3" s="352">
        <v>47664</v>
      </c>
    </row>
    <row r="4" spans="1:19" x14ac:dyDescent="0.25">
      <c r="B4" s="353" t="s">
        <v>416</v>
      </c>
    </row>
    <row r="5" spans="1:19" s="350" customFormat="1" ht="15" customHeight="1" x14ac:dyDescent="0.2">
      <c r="B5" s="355" t="s">
        <v>197</v>
      </c>
      <c r="C5" s="354" t="s">
        <v>123</v>
      </c>
      <c r="D5" s="357"/>
      <c r="E5" s="381">
        <v>73.3</v>
      </c>
      <c r="F5" s="381">
        <v>83.8</v>
      </c>
      <c r="G5" s="381">
        <v>92.4</v>
      </c>
      <c r="H5" s="381">
        <v>110.9</v>
      </c>
      <c r="I5" s="381">
        <v>129.4</v>
      </c>
      <c r="J5" s="381">
        <v>146</v>
      </c>
      <c r="K5" s="381">
        <v>144.5</v>
      </c>
      <c r="L5" s="381">
        <v>144.5</v>
      </c>
      <c r="M5" s="381">
        <v>119.9</v>
      </c>
      <c r="N5" s="381">
        <v>101.8</v>
      </c>
      <c r="O5" s="357"/>
      <c r="P5" s="357"/>
      <c r="Q5" s="357"/>
      <c r="R5" s="357"/>
      <c r="S5" s="357"/>
    </row>
    <row r="6" spans="1:19" s="350" customFormat="1" ht="15" customHeight="1" x14ac:dyDescent="0.2">
      <c r="B6" s="355" t="s">
        <v>842</v>
      </c>
      <c r="C6" s="354" t="s">
        <v>123</v>
      </c>
      <c r="D6" s="357"/>
      <c r="E6" s="381">
        <v>16.2</v>
      </c>
      <c r="F6" s="381">
        <v>17.600000000000001</v>
      </c>
      <c r="G6" s="381">
        <v>17.5</v>
      </c>
      <c r="H6" s="381">
        <v>19.3</v>
      </c>
      <c r="I6" s="381">
        <v>23.4</v>
      </c>
      <c r="J6" s="381">
        <v>37.1</v>
      </c>
      <c r="K6" s="381">
        <v>43.5</v>
      </c>
      <c r="L6" s="381">
        <v>46.3</v>
      </c>
      <c r="M6" s="381">
        <v>35.299999999999997</v>
      </c>
      <c r="N6" s="381">
        <v>33.1</v>
      </c>
      <c r="O6" s="357"/>
      <c r="P6" s="357"/>
      <c r="Q6" s="357"/>
      <c r="R6" s="357"/>
      <c r="S6" s="357"/>
    </row>
    <row r="7" spans="1:19" x14ac:dyDescent="0.25">
      <c r="B7" s="355" t="s">
        <v>132</v>
      </c>
      <c r="C7" s="354" t="s">
        <v>123</v>
      </c>
      <c r="E7" s="381">
        <v>12.3</v>
      </c>
      <c r="F7" s="381">
        <v>11.6</v>
      </c>
      <c r="G7" s="381">
        <v>10.199999999999999</v>
      </c>
      <c r="H7" s="381">
        <v>11</v>
      </c>
      <c r="I7" s="381">
        <v>13.3</v>
      </c>
      <c r="J7" s="381">
        <v>18.899999999999999</v>
      </c>
      <c r="K7" s="381">
        <v>21.1</v>
      </c>
      <c r="L7" s="381">
        <v>21.5</v>
      </c>
      <c r="M7" s="381">
        <v>16.7</v>
      </c>
      <c r="N7" s="381">
        <v>14.6</v>
      </c>
    </row>
    <row r="8" spans="1:19" s="360" customFormat="1" x14ac:dyDescent="0.25">
      <c r="B8" s="364" t="s">
        <v>182</v>
      </c>
      <c r="C8" s="362" t="s">
        <v>123</v>
      </c>
      <c r="D8" s="378"/>
      <c r="E8" s="370">
        <f t="shared" ref="E8:N8" si="0">SUM(E5:E7)</f>
        <v>101.8</v>
      </c>
      <c r="F8" s="370">
        <f t="shared" si="0"/>
        <v>113</v>
      </c>
      <c r="G8" s="370">
        <f t="shared" si="0"/>
        <v>120.10000000000001</v>
      </c>
      <c r="H8" s="370">
        <f t="shared" si="0"/>
        <v>141.20000000000002</v>
      </c>
      <c r="I8" s="370">
        <f t="shared" si="0"/>
        <v>166.10000000000002</v>
      </c>
      <c r="J8" s="370">
        <f t="shared" si="0"/>
        <v>202</v>
      </c>
      <c r="K8" s="370">
        <f t="shared" si="0"/>
        <v>209.1</v>
      </c>
      <c r="L8" s="370">
        <f t="shared" si="0"/>
        <v>212.3</v>
      </c>
      <c r="M8" s="370">
        <f t="shared" si="0"/>
        <v>171.89999999999998</v>
      </c>
      <c r="N8" s="370">
        <f t="shared" si="0"/>
        <v>149.5</v>
      </c>
    </row>
    <row r="10" spans="1:19" s="350" customFormat="1" ht="15" customHeight="1" x14ac:dyDescent="0.2">
      <c r="B10" s="355" t="s">
        <v>843</v>
      </c>
      <c r="C10" s="354" t="s">
        <v>123</v>
      </c>
      <c r="D10" s="357"/>
      <c r="E10" s="357"/>
      <c r="F10" s="357"/>
      <c r="G10" s="357"/>
      <c r="H10" s="368">
        <v>81.7</v>
      </c>
      <c r="I10" s="368">
        <v>108.6</v>
      </c>
      <c r="J10" s="368">
        <v>149.6</v>
      </c>
      <c r="K10" s="368">
        <v>185.9</v>
      </c>
      <c r="L10" s="368">
        <v>192.5</v>
      </c>
      <c r="M10" s="368">
        <v>140.6</v>
      </c>
      <c r="N10" s="368">
        <v>127.6</v>
      </c>
      <c r="O10" s="357"/>
      <c r="P10" s="357"/>
      <c r="Q10" s="357"/>
      <c r="R10" s="357"/>
      <c r="S10" s="357"/>
    </row>
    <row r="11" spans="1:19" s="350" customFormat="1" ht="15" customHeight="1" x14ac:dyDescent="0.2">
      <c r="B11" s="355" t="s">
        <v>844</v>
      </c>
      <c r="C11" s="354" t="s">
        <v>123</v>
      </c>
      <c r="D11" s="357"/>
      <c r="E11" s="357"/>
      <c r="F11" s="357"/>
      <c r="G11" s="357"/>
      <c r="H11" s="357"/>
      <c r="I11" s="368">
        <v>-5.2</v>
      </c>
      <c r="J11" s="368">
        <v>-9.4</v>
      </c>
      <c r="K11" s="368">
        <v>-26.6</v>
      </c>
      <c r="L11" s="368">
        <v>-30.3</v>
      </c>
      <c r="M11" s="368">
        <v>-8.1999999999999993</v>
      </c>
      <c r="N11" s="368">
        <v>-9.1999999999999993</v>
      </c>
      <c r="O11" s="357"/>
      <c r="P11" s="357"/>
      <c r="Q11" s="357"/>
      <c r="R11" s="357"/>
      <c r="S11" s="357"/>
    </row>
    <row r="12" spans="1:19" x14ac:dyDescent="0.25">
      <c r="B12" s="355" t="s">
        <v>845</v>
      </c>
      <c r="C12" s="354" t="s">
        <v>123</v>
      </c>
      <c r="J12" s="369"/>
      <c r="K12" s="368">
        <v>54.3</v>
      </c>
      <c r="L12" s="368">
        <v>118.1</v>
      </c>
      <c r="M12" s="368">
        <v>235.8</v>
      </c>
      <c r="N12" s="368">
        <v>243.7</v>
      </c>
    </row>
    <row r="13" spans="1:19" x14ac:dyDescent="0.25">
      <c r="B13" s="355" t="s">
        <v>297</v>
      </c>
      <c r="C13" s="354" t="s">
        <v>123</v>
      </c>
      <c r="E13" s="379">
        <f t="shared" ref="E13:N13" si="1">E14-E10-E11-E12</f>
        <v>229.2</v>
      </c>
      <c r="F13" s="379">
        <f t="shared" si="1"/>
        <v>238.3</v>
      </c>
      <c r="G13" s="379">
        <f t="shared" si="1"/>
        <v>253.3</v>
      </c>
      <c r="H13" s="379">
        <f t="shared" si="1"/>
        <v>202.3</v>
      </c>
      <c r="I13" s="379">
        <f t="shared" si="1"/>
        <v>186.49999999999997</v>
      </c>
      <c r="J13" s="379">
        <f t="shared" si="1"/>
        <v>197.90000000000003</v>
      </c>
      <c r="K13" s="379">
        <f t="shared" si="1"/>
        <v>145.79999999999995</v>
      </c>
      <c r="L13" s="379">
        <f t="shared" si="1"/>
        <v>208.00000000000003</v>
      </c>
      <c r="M13" s="379">
        <f t="shared" si="1"/>
        <v>95.699999999999932</v>
      </c>
      <c r="N13" s="379">
        <f t="shared" si="1"/>
        <v>98.299999999999955</v>
      </c>
    </row>
    <row r="14" spans="1:19" s="360" customFormat="1" x14ac:dyDescent="0.25">
      <c r="B14" s="364" t="s">
        <v>182</v>
      </c>
      <c r="C14" s="362" t="s">
        <v>123</v>
      </c>
      <c r="D14" s="378"/>
      <c r="E14" s="380">
        <v>229.2</v>
      </c>
      <c r="F14" s="380">
        <v>238.3</v>
      </c>
      <c r="G14" s="380">
        <v>253.3</v>
      </c>
      <c r="H14" s="380">
        <v>284</v>
      </c>
      <c r="I14" s="380">
        <v>289.89999999999998</v>
      </c>
      <c r="J14" s="380">
        <v>338.1</v>
      </c>
      <c r="K14" s="380">
        <v>359.4</v>
      </c>
      <c r="L14" s="380">
        <v>488.3</v>
      </c>
      <c r="M14" s="380">
        <v>463.9</v>
      </c>
      <c r="N14" s="380">
        <v>460.4</v>
      </c>
    </row>
    <row r="16" spans="1:19" x14ac:dyDescent="0.25">
      <c r="B16" s="353" t="s">
        <v>583</v>
      </c>
    </row>
    <row r="17" spans="2:19" s="350" customFormat="1" ht="15" customHeight="1" x14ac:dyDescent="0.2">
      <c r="B17" s="355" t="s">
        <v>197</v>
      </c>
      <c r="C17" s="354" t="s">
        <v>123</v>
      </c>
      <c r="D17" s="357"/>
      <c r="E17" s="382">
        <v>2500</v>
      </c>
      <c r="F17" s="382">
        <v>2800</v>
      </c>
      <c r="G17" s="382">
        <v>2800</v>
      </c>
      <c r="H17" s="382">
        <v>3000</v>
      </c>
      <c r="I17" s="382">
        <v>3300</v>
      </c>
      <c r="J17" s="382">
        <v>4200</v>
      </c>
      <c r="K17" s="382">
        <v>4400</v>
      </c>
      <c r="L17" s="382">
        <v>4400</v>
      </c>
      <c r="M17" s="382">
        <v>4000</v>
      </c>
      <c r="N17" s="382">
        <v>3600</v>
      </c>
      <c r="O17" s="357"/>
      <c r="P17" s="357"/>
      <c r="Q17" s="357"/>
      <c r="R17" s="357"/>
      <c r="S17" s="357"/>
    </row>
    <row r="18" spans="2:19" s="350" customFormat="1" ht="15" customHeight="1" x14ac:dyDescent="0.2">
      <c r="B18" s="355" t="s">
        <v>842</v>
      </c>
      <c r="C18" s="354" t="s">
        <v>123</v>
      </c>
      <c r="D18" s="357"/>
      <c r="E18" s="382">
        <v>600</v>
      </c>
      <c r="F18" s="382">
        <v>700</v>
      </c>
      <c r="G18" s="382">
        <v>800</v>
      </c>
      <c r="H18" s="382">
        <v>900</v>
      </c>
      <c r="I18" s="382">
        <v>1000</v>
      </c>
      <c r="J18" s="382">
        <v>1400</v>
      </c>
      <c r="K18" s="382">
        <v>1600</v>
      </c>
      <c r="L18" s="382">
        <v>1500</v>
      </c>
      <c r="M18" s="382">
        <v>1400</v>
      </c>
      <c r="N18" s="382">
        <v>1400</v>
      </c>
      <c r="O18" s="357"/>
      <c r="P18" s="357"/>
      <c r="Q18" s="357"/>
      <c r="R18" s="357"/>
      <c r="S18" s="357"/>
    </row>
    <row r="19" spans="2:19" x14ac:dyDescent="0.25">
      <c r="B19" s="355" t="s">
        <v>132</v>
      </c>
      <c r="C19" s="354" t="s">
        <v>123</v>
      </c>
      <c r="E19" s="382">
        <v>500</v>
      </c>
      <c r="F19" s="382">
        <v>400</v>
      </c>
      <c r="G19" s="382">
        <v>500</v>
      </c>
      <c r="H19" s="382">
        <v>500</v>
      </c>
      <c r="I19" s="382">
        <v>500</v>
      </c>
      <c r="J19" s="382">
        <v>700</v>
      </c>
      <c r="K19" s="382">
        <v>700</v>
      </c>
      <c r="L19" s="382">
        <v>700</v>
      </c>
      <c r="M19" s="382">
        <v>700</v>
      </c>
      <c r="N19" s="382">
        <v>600</v>
      </c>
    </row>
    <row r="20" spans="2:19" s="360" customFormat="1" x14ac:dyDescent="0.25">
      <c r="B20" s="364" t="s">
        <v>182</v>
      </c>
      <c r="C20" s="362" t="s">
        <v>123</v>
      </c>
      <c r="D20" s="378"/>
      <c r="E20" s="371">
        <f t="shared" ref="E20:N20" si="2">SUM(E17:E19)</f>
        <v>3600</v>
      </c>
      <c r="F20" s="371">
        <f t="shared" si="2"/>
        <v>3900</v>
      </c>
      <c r="G20" s="371">
        <f t="shared" si="2"/>
        <v>4100</v>
      </c>
      <c r="H20" s="371">
        <f t="shared" si="2"/>
        <v>4400</v>
      </c>
      <c r="I20" s="371">
        <f t="shared" si="2"/>
        <v>4800</v>
      </c>
      <c r="J20" s="371">
        <f t="shared" si="2"/>
        <v>6300</v>
      </c>
      <c r="K20" s="371">
        <f t="shared" si="2"/>
        <v>6700</v>
      </c>
      <c r="L20" s="371">
        <f t="shared" si="2"/>
        <v>6600</v>
      </c>
      <c r="M20" s="371">
        <f t="shared" si="2"/>
        <v>6100</v>
      </c>
      <c r="N20" s="371">
        <f t="shared" si="2"/>
        <v>5600</v>
      </c>
    </row>
    <row r="21" spans="2:19" s="360" customFormat="1" x14ac:dyDescent="0.25">
      <c r="B21" s="364"/>
      <c r="C21" s="362"/>
      <c r="D21" s="378"/>
      <c r="E21" s="371"/>
      <c r="F21" s="371"/>
      <c r="G21" s="371"/>
      <c r="H21" s="371"/>
      <c r="I21" s="371"/>
      <c r="J21" s="371"/>
      <c r="K21" s="371"/>
      <c r="L21" s="371"/>
      <c r="M21" s="371"/>
      <c r="N21" s="371"/>
    </row>
    <row r="22" spans="2:19" x14ac:dyDescent="0.25">
      <c r="B22" s="387" t="s">
        <v>738</v>
      </c>
      <c r="C22" s="7"/>
    </row>
    <row r="23" spans="2:19" x14ac:dyDescent="0.25">
      <c r="B23" s="355" t="s">
        <v>197</v>
      </c>
      <c r="C23" s="7"/>
      <c r="E23" s="26"/>
      <c r="F23" s="26">
        <f t="shared" ref="F23:N23" si="3">F17/E17-1</f>
        <v>0.12000000000000011</v>
      </c>
      <c r="G23" s="26">
        <f t="shared" si="3"/>
        <v>0</v>
      </c>
      <c r="H23" s="26">
        <f t="shared" si="3"/>
        <v>7.1428571428571397E-2</v>
      </c>
      <c r="I23" s="26">
        <f t="shared" si="3"/>
        <v>0.10000000000000009</v>
      </c>
      <c r="J23" s="26">
        <f t="shared" si="3"/>
        <v>0.27272727272727271</v>
      </c>
      <c r="K23" s="26">
        <f t="shared" si="3"/>
        <v>4.7619047619047672E-2</v>
      </c>
      <c r="L23" s="26">
        <f t="shared" si="3"/>
        <v>0</v>
      </c>
      <c r="M23" s="26">
        <f t="shared" si="3"/>
        <v>-9.0909090909090939E-2</v>
      </c>
      <c r="N23" s="26">
        <f t="shared" si="3"/>
        <v>-9.9999999999999978E-2</v>
      </c>
    </row>
    <row r="24" spans="2:19" x14ac:dyDescent="0.25">
      <c r="B24" s="355" t="s">
        <v>842</v>
      </c>
      <c r="C24" s="7"/>
      <c r="E24" s="26"/>
      <c r="F24" s="26">
        <f t="shared" ref="F24:N24" si="4">F18/E18-1</f>
        <v>0.16666666666666674</v>
      </c>
      <c r="G24" s="26">
        <f t="shared" si="4"/>
        <v>0.14285714285714279</v>
      </c>
      <c r="H24" s="26">
        <f t="shared" si="4"/>
        <v>0.125</v>
      </c>
      <c r="I24" s="26">
        <f t="shared" si="4"/>
        <v>0.11111111111111116</v>
      </c>
      <c r="J24" s="26">
        <f t="shared" si="4"/>
        <v>0.39999999999999991</v>
      </c>
      <c r="K24" s="26">
        <f t="shared" si="4"/>
        <v>0.14285714285714279</v>
      </c>
      <c r="L24" s="26">
        <f t="shared" si="4"/>
        <v>-6.25E-2</v>
      </c>
      <c r="M24" s="26">
        <f t="shared" si="4"/>
        <v>-6.6666666666666652E-2</v>
      </c>
      <c r="N24" s="26">
        <f t="shared" si="4"/>
        <v>0</v>
      </c>
    </row>
    <row r="25" spans="2:19" x14ac:dyDescent="0.25">
      <c r="B25" s="355" t="s">
        <v>132</v>
      </c>
      <c r="C25" s="7"/>
      <c r="E25" s="26"/>
      <c r="F25" s="26">
        <f t="shared" ref="F25:N25" si="5">F19/E19-1</f>
        <v>-0.19999999999999996</v>
      </c>
      <c r="G25" s="26">
        <f t="shared" si="5"/>
        <v>0.25</v>
      </c>
      <c r="H25" s="26">
        <f t="shared" si="5"/>
        <v>0</v>
      </c>
      <c r="I25" s="26">
        <f t="shared" si="5"/>
        <v>0</v>
      </c>
      <c r="J25" s="26">
        <f t="shared" si="5"/>
        <v>0.39999999999999991</v>
      </c>
      <c r="K25" s="26">
        <f t="shared" si="5"/>
        <v>0</v>
      </c>
      <c r="L25" s="26">
        <f t="shared" si="5"/>
        <v>0</v>
      </c>
      <c r="M25" s="26">
        <f t="shared" si="5"/>
        <v>0</v>
      </c>
      <c r="N25" s="26">
        <f t="shared" si="5"/>
        <v>-0.1428571428571429</v>
      </c>
    </row>
    <row r="26" spans="2:19" s="34" customFormat="1" x14ac:dyDescent="0.25">
      <c r="B26" s="388" t="s">
        <v>182</v>
      </c>
      <c r="C26" s="124"/>
      <c r="E26" s="389"/>
      <c r="F26" s="389">
        <f t="shared" ref="F26:N26" si="6">F20/E20-1</f>
        <v>8.3333333333333259E-2</v>
      </c>
      <c r="G26" s="389">
        <f t="shared" si="6"/>
        <v>5.1282051282051322E-2</v>
      </c>
      <c r="H26" s="389">
        <f t="shared" si="6"/>
        <v>7.3170731707317138E-2</v>
      </c>
      <c r="I26" s="389">
        <f t="shared" si="6"/>
        <v>9.0909090909090828E-2</v>
      </c>
      <c r="J26" s="389">
        <f t="shared" si="6"/>
        <v>0.3125</v>
      </c>
      <c r="K26" s="389">
        <f t="shared" si="6"/>
        <v>6.3492063492063489E-2</v>
      </c>
      <c r="L26" s="389">
        <f t="shared" si="6"/>
        <v>-1.4925373134328401E-2</v>
      </c>
      <c r="M26" s="389">
        <f t="shared" si="6"/>
        <v>-7.5757575757575801E-2</v>
      </c>
      <c r="N26" s="389">
        <f t="shared" si="6"/>
        <v>-8.1967213114754078E-2</v>
      </c>
    </row>
    <row r="27" spans="2:19" x14ac:dyDescent="0.25">
      <c r="C27" s="7"/>
    </row>
    <row r="28" spans="2:19" x14ac:dyDescent="0.25">
      <c r="B28" s="387" t="s">
        <v>861</v>
      </c>
      <c r="C28" s="7"/>
    </row>
    <row r="29" spans="2:19" x14ac:dyDescent="0.25">
      <c r="B29" s="355" t="s">
        <v>197</v>
      </c>
      <c r="C29" s="7"/>
      <c r="D29" s="162"/>
      <c r="E29" s="162">
        <f t="shared" ref="E29:N29" si="7">E17/E$20</f>
        <v>0.69444444444444442</v>
      </c>
      <c r="F29" s="162">
        <f t="shared" si="7"/>
        <v>0.71794871794871795</v>
      </c>
      <c r="G29" s="162">
        <f t="shared" si="7"/>
        <v>0.68292682926829273</v>
      </c>
      <c r="H29" s="162">
        <f t="shared" si="7"/>
        <v>0.68181818181818177</v>
      </c>
      <c r="I29" s="162">
        <f t="shared" si="7"/>
        <v>0.6875</v>
      </c>
      <c r="J29" s="162">
        <f t="shared" si="7"/>
        <v>0.66666666666666663</v>
      </c>
      <c r="K29" s="162">
        <f t="shared" si="7"/>
        <v>0.65671641791044777</v>
      </c>
      <c r="L29" s="162">
        <f t="shared" si="7"/>
        <v>0.66666666666666663</v>
      </c>
      <c r="M29" s="162">
        <f t="shared" si="7"/>
        <v>0.65573770491803274</v>
      </c>
      <c r="N29" s="162">
        <f t="shared" si="7"/>
        <v>0.6428571428571429</v>
      </c>
    </row>
    <row r="30" spans="2:19" x14ac:dyDescent="0.25">
      <c r="B30" s="355" t="s">
        <v>842</v>
      </c>
      <c r="C30" s="7"/>
      <c r="D30" s="162"/>
      <c r="E30" s="162">
        <f t="shared" ref="E30:N30" si="8">E18/E$20</f>
        <v>0.16666666666666666</v>
      </c>
      <c r="F30" s="162">
        <f t="shared" si="8"/>
        <v>0.17948717948717949</v>
      </c>
      <c r="G30" s="162">
        <f t="shared" si="8"/>
        <v>0.1951219512195122</v>
      </c>
      <c r="H30" s="162">
        <f t="shared" si="8"/>
        <v>0.20454545454545456</v>
      </c>
      <c r="I30" s="162">
        <f t="shared" si="8"/>
        <v>0.20833333333333334</v>
      </c>
      <c r="J30" s="162">
        <f t="shared" si="8"/>
        <v>0.22222222222222221</v>
      </c>
      <c r="K30" s="162">
        <f t="shared" si="8"/>
        <v>0.23880597014925373</v>
      </c>
      <c r="L30" s="162">
        <f t="shared" si="8"/>
        <v>0.22727272727272727</v>
      </c>
      <c r="M30" s="162">
        <f t="shared" si="8"/>
        <v>0.22950819672131148</v>
      </c>
      <c r="N30" s="162">
        <f t="shared" si="8"/>
        <v>0.25</v>
      </c>
    </row>
    <row r="31" spans="2:19" x14ac:dyDescent="0.25">
      <c r="B31" s="355" t="s">
        <v>132</v>
      </c>
      <c r="C31" s="7"/>
      <c r="D31" s="162"/>
      <c r="E31" s="162">
        <f t="shared" ref="E31:N31" si="9">E19/E$20</f>
        <v>0.1388888888888889</v>
      </c>
      <c r="F31" s="162">
        <f t="shared" si="9"/>
        <v>0.10256410256410256</v>
      </c>
      <c r="G31" s="162">
        <f t="shared" si="9"/>
        <v>0.12195121951219512</v>
      </c>
      <c r="H31" s="162">
        <f t="shared" si="9"/>
        <v>0.11363636363636363</v>
      </c>
      <c r="I31" s="162">
        <f t="shared" si="9"/>
        <v>0.10416666666666667</v>
      </c>
      <c r="J31" s="162">
        <f t="shared" si="9"/>
        <v>0.1111111111111111</v>
      </c>
      <c r="K31" s="162">
        <f t="shared" si="9"/>
        <v>0.1044776119402985</v>
      </c>
      <c r="L31" s="162">
        <f t="shared" si="9"/>
        <v>0.10606060606060606</v>
      </c>
      <c r="M31" s="162">
        <f t="shared" si="9"/>
        <v>0.11475409836065574</v>
      </c>
      <c r="N31" s="162">
        <f t="shared" si="9"/>
        <v>0.10714285714285714</v>
      </c>
    </row>
    <row r="35" spans="2:14" x14ac:dyDescent="0.25">
      <c r="E35" s="204"/>
      <c r="F35" s="204"/>
      <c r="G35" s="204"/>
      <c r="H35" s="204"/>
      <c r="I35" s="204"/>
      <c r="J35" s="204"/>
      <c r="K35" s="204"/>
      <c r="L35" s="204"/>
      <c r="M35" s="204"/>
      <c r="N35" s="204"/>
    </row>
    <row r="36" spans="2:14" x14ac:dyDescent="0.25">
      <c r="E36" s="204"/>
      <c r="F36" s="204"/>
      <c r="G36" s="204"/>
      <c r="H36" s="204"/>
      <c r="I36" s="204"/>
      <c r="J36" s="204"/>
      <c r="K36" s="204"/>
      <c r="L36" s="204"/>
      <c r="M36" s="204"/>
      <c r="N36" s="204"/>
    </row>
    <row r="37" spans="2:14" x14ac:dyDescent="0.25">
      <c r="E37" s="204"/>
      <c r="F37" s="204"/>
      <c r="G37" s="204"/>
      <c r="H37" s="204"/>
      <c r="I37" s="204"/>
      <c r="J37" s="204"/>
      <c r="K37" s="204"/>
      <c r="L37" s="204"/>
      <c r="M37" s="204"/>
      <c r="N37" s="204"/>
    </row>
    <row r="39" spans="2:14" x14ac:dyDescent="0.25">
      <c r="B39" s="372" t="s">
        <v>796</v>
      </c>
    </row>
    <row r="40" spans="2:14" x14ac:dyDescent="0.25">
      <c r="B40" s="373" t="s">
        <v>797</v>
      </c>
      <c r="C40" s="374" t="s">
        <v>846</v>
      </c>
    </row>
    <row r="41" spans="2:14" x14ac:dyDescent="0.25">
      <c r="B41" s="375" t="s">
        <v>799</v>
      </c>
      <c r="C41" s="374" t="s">
        <v>847</v>
      </c>
    </row>
    <row r="42" spans="2:14" x14ac:dyDescent="0.25">
      <c r="B42" s="383" t="s">
        <v>801</v>
      </c>
      <c r="C42" s="374" t="s">
        <v>848</v>
      </c>
    </row>
    <row r="44" spans="2:14" x14ac:dyDescent="0.25">
      <c r="B44" s="375" t="s">
        <v>829</v>
      </c>
      <c r="C44" s="374" t="s">
        <v>849</v>
      </c>
    </row>
    <row r="45" spans="2:14" x14ac:dyDescent="0.25">
      <c r="C45" s="374" t="s">
        <v>850</v>
      </c>
    </row>
    <row r="47" spans="2:14" x14ac:dyDescent="0.25">
      <c r="B47" s="375" t="s">
        <v>808</v>
      </c>
    </row>
    <row r="48" spans="2:14" x14ac:dyDescent="0.25">
      <c r="C48" s="374" t="s">
        <v>851</v>
      </c>
    </row>
    <row r="49" spans="2:3" x14ac:dyDescent="0.25">
      <c r="C49" s="374" t="s">
        <v>852</v>
      </c>
    </row>
    <row r="50" spans="2:3" x14ac:dyDescent="0.25">
      <c r="C50" s="374" t="s">
        <v>853</v>
      </c>
    </row>
    <row r="51" spans="2:3" x14ac:dyDescent="0.25">
      <c r="C51" s="374" t="s">
        <v>854</v>
      </c>
    </row>
    <row r="52" spans="2:3" x14ac:dyDescent="0.25">
      <c r="C52" s="374" t="s">
        <v>855</v>
      </c>
    </row>
    <row r="53" spans="2:3" x14ac:dyDescent="0.25">
      <c r="C53" s="374" t="s">
        <v>856</v>
      </c>
    </row>
    <row r="54" spans="2:3" x14ac:dyDescent="0.25">
      <c r="C54" s="374" t="s">
        <v>857</v>
      </c>
    </row>
    <row r="55" spans="2:3" x14ac:dyDescent="0.25">
      <c r="C55" s="374" t="s">
        <v>858</v>
      </c>
    </row>
    <row r="57" spans="2:3" x14ac:dyDescent="0.25">
      <c r="B57" s="375" t="s">
        <v>815</v>
      </c>
      <c r="C57" s="374" t="s">
        <v>859</v>
      </c>
    </row>
    <row r="58" spans="2:3" x14ac:dyDescent="0.25">
      <c r="C58" s="376" t="s">
        <v>860</v>
      </c>
    </row>
  </sheetData>
  <pageMargins left="0.7" right="0.7" top="0.75" bottom="0.75" header="0.3" footer="0.3"/>
  <pageSetup paperSize="9" orientation="portrait"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40BA-B595-40A6-A8C1-1554AB90BF6A}">
  <sheetPr>
    <tabColor theme="2"/>
  </sheetPr>
  <dimension ref="A1"/>
  <sheetViews>
    <sheetView workbookViewId="0">
      <selection activeCell="G35" sqref="G35"/>
    </sheetView>
  </sheetViews>
  <sheetFormatPr defaultRowHeight="15"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B289-EF55-449F-A1BA-B5DDD5F1D4E2}">
  <sheetPr>
    <tabColor rgb="FFFFFF00"/>
  </sheetPr>
  <dimension ref="B2:K29"/>
  <sheetViews>
    <sheetView workbookViewId="0">
      <selection activeCell="K34" sqref="K34"/>
    </sheetView>
  </sheetViews>
  <sheetFormatPr defaultRowHeight="12" x14ac:dyDescent="0.2"/>
  <cols>
    <col min="1" max="1" width="9.140625" style="445"/>
    <col min="2" max="2" width="12.28515625" style="445" bestFit="1" customWidth="1"/>
    <col min="3" max="3" width="9.140625" style="445"/>
    <col min="4" max="4" width="10.140625" style="445" bestFit="1" customWidth="1"/>
    <col min="5" max="16384" width="9.140625" style="445"/>
  </cols>
  <sheetData>
    <row r="2" spans="2:11" x14ac:dyDescent="0.2">
      <c r="B2" s="446"/>
      <c r="C2" s="446" t="s">
        <v>415</v>
      </c>
      <c r="D2" s="446" t="s">
        <v>512</v>
      </c>
      <c r="E2" s="446" t="s">
        <v>513</v>
      </c>
      <c r="F2" s="446" t="s">
        <v>514</v>
      </c>
      <c r="G2" s="446" t="s">
        <v>515</v>
      </c>
      <c r="H2" s="446" t="s">
        <v>516</v>
      </c>
      <c r="I2" s="446" t="s">
        <v>517</v>
      </c>
      <c r="J2" s="446" t="s">
        <v>518</v>
      </c>
      <c r="K2" s="446" t="s">
        <v>519</v>
      </c>
    </row>
    <row r="3" spans="2:11" x14ac:dyDescent="0.2">
      <c r="B3" s="455" t="s">
        <v>12</v>
      </c>
      <c r="C3" s="447" t="s">
        <v>123</v>
      </c>
      <c r="D3" s="444">
        <v>122256</v>
      </c>
      <c r="E3" s="444">
        <v>113544</v>
      </c>
      <c r="F3" s="444">
        <v>156744</v>
      </c>
      <c r="G3" s="444">
        <v>187505</v>
      </c>
      <c r="H3" s="444">
        <v>217928</v>
      </c>
      <c r="I3" s="444">
        <v>222334</v>
      </c>
      <c r="J3" s="444">
        <v>232230</v>
      </c>
      <c r="K3" s="444">
        <v>201911</v>
      </c>
    </row>
    <row r="4" spans="2:11" x14ac:dyDescent="0.2">
      <c r="B4" s="455" t="s">
        <v>711</v>
      </c>
      <c r="C4" s="447" t="s">
        <v>123</v>
      </c>
      <c r="D4" s="444">
        <v>80400</v>
      </c>
      <c r="E4" s="444">
        <v>113571</v>
      </c>
      <c r="F4" s="444">
        <v>111357</v>
      </c>
      <c r="G4" s="444">
        <v>128386</v>
      </c>
      <c r="H4" s="444">
        <v>132987</v>
      </c>
      <c r="I4" s="444">
        <v>166022</v>
      </c>
      <c r="J4" s="444">
        <v>211208</v>
      </c>
      <c r="K4" s="444">
        <v>173696</v>
      </c>
    </row>
    <row r="5" spans="2:11" x14ac:dyDescent="0.2">
      <c r="B5" s="455" t="s">
        <v>15</v>
      </c>
      <c r="C5" s="447" t="s">
        <v>123</v>
      </c>
      <c r="D5" s="444">
        <v>36799</v>
      </c>
      <c r="E5" s="444">
        <v>32768</v>
      </c>
      <c r="F5" s="444">
        <v>37038</v>
      </c>
      <c r="G5" s="444">
        <v>41518</v>
      </c>
      <c r="H5" s="444">
        <v>44618</v>
      </c>
      <c r="I5" s="444">
        <v>42113</v>
      </c>
      <c r="J5" s="444">
        <v>49748</v>
      </c>
      <c r="K5" s="444">
        <v>0</v>
      </c>
    </row>
    <row r="6" spans="2:11" x14ac:dyDescent="0.2">
      <c r="B6" s="455" t="s">
        <v>14</v>
      </c>
      <c r="C6" s="447" t="s">
        <v>123</v>
      </c>
      <c r="D6" s="444"/>
      <c r="E6" s="444">
        <v>32500</v>
      </c>
      <c r="F6" s="444">
        <v>21000</v>
      </c>
      <c r="G6" s="444">
        <v>75100</v>
      </c>
      <c r="H6" s="444">
        <v>62099.999999999993</v>
      </c>
      <c r="I6" s="444">
        <v>44100</v>
      </c>
      <c r="J6" s="444">
        <v>42073.033707865172</v>
      </c>
      <c r="K6" s="444">
        <v>40300</v>
      </c>
    </row>
    <row r="7" spans="2:11" x14ac:dyDescent="0.2">
      <c r="B7" s="455"/>
      <c r="C7" s="447"/>
      <c r="D7" s="444"/>
      <c r="E7" s="444"/>
      <c r="F7" s="444"/>
      <c r="G7" s="444"/>
      <c r="H7" s="444"/>
      <c r="I7" s="444"/>
      <c r="J7" s="444"/>
      <c r="K7" s="444"/>
    </row>
    <row r="8" spans="2:11" x14ac:dyDescent="0.2">
      <c r="B8" s="455"/>
      <c r="D8" s="444"/>
    </row>
    <row r="9" spans="2:11" x14ac:dyDescent="0.2">
      <c r="B9" s="455" t="s">
        <v>1212</v>
      </c>
      <c r="C9" s="447" t="s">
        <v>123</v>
      </c>
      <c r="D9" s="450">
        <f>D3/1000</f>
        <v>122.256</v>
      </c>
      <c r="E9" s="450">
        <f t="shared" ref="E9:K9" si="0">E3/1000</f>
        <v>113.544</v>
      </c>
      <c r="F9" s="450">
        <f t="shared" si="0"/>
        <v>156.744</v>
      </c>
      <c r="G9" s="450">
        <f t="shared" si="0"/>
        <v>187.505</v>
      </c>
      <c r="H9" s="450">
        <f t="shared" si="0"/>
        <v>217.928</v>
      </c>
      <c r="I9" s="450">
        <f t="shared" si="0"/>
        <v>222.334</v>
      </c>
      <c r="J9" s="450">
        <f t="shared" si="0"/>
        <v>232.23</v>
      </c>
      <c r="K9" s="450">
        <f t="shared" si="0"/>
        <v>201.911</v>
      </c>
    </row>
    <row r="10" spans="2:11" x14ac:dyDescent="0.2">
      <c r="B10" s="455" t="s">
        <v>711</v>
      </c>
      <c r="C10" s="447" t="s">
        <v>123</v>
      </c>
      <c r="D10" s="450">
        <f t="shared" ref="D10:K10" si="1">D4/1000</f>
        <v>80.400000000000006</v>
      </c>
      <c r="E10" s="450">
        <f t="shared" si="1"/>
        <v>113.571</v>
      </c>
      <c r="F10" s="450">
        <f t="shared" si="1"/>
        <v>111.357</v>
      </c>
      <c r="G10" s="450">
        <f t="shared" si="1"/>
        <v>128.386</v>
      </c>
      <c r="H10" s="450">
        <f t="shared" si="1"/>
        <v>132.98699999999999</v>
      </c>
      <c r="I10" s="450">
        <f t="shared" si="1"/>
        <v>166.02199999999999</v>
      </c>
      <c r="J10" s="450">
        <f t="shared" si="1"/>
        <v>211.208</v>
      </c>
      <c r="K10" s="450">
        <f t="shared" si="1"/>
        <v>173.696</v>
      </c>
    </row>
    <row r="11" spans="2:11" x14ac:dyDescent="0.2">
      <c r="B11" s="455" t="s">
        <v>1407</v>
      </c>
      <c r="C11" s="447" t="s">
        <v>123</v>
      </c>
      <c r="D11" s="450">
        <f t="shared" ref="D11:K11" si="2">D5/1000</f>
        <v>36.798999999999999</v>
      </c>
      <c r="E11" s="450">
        <f t="shared" si="2"/>
        <v>32.768000000000001</v>
      </c>
      <c r="F11" s="450">
        <f t="shared" si="2"/>
        <v>37.037999999999997</v>
      </c>
      <c r="G11" s="450">
        <f t="shared" si="2"/>
        <v>41.518000000000001</v>
      </c>
      <c r="H11" s="450">
        <f t="shared" si="2"/>
        <v>44.618000000000002</v>
      </c>
      <c r="I11" s="450">
        <f t="shared" si="2"/>
        <v>42.113</v>
      </c>
      <c r="J11" s="450">
        <f t="shared" si="2"/>
        <v>49.747999999999998</v>
      </c>
      <c r="K11" s="450">
        <f t="shared" si="2"/>
        <v>0</v>
      </c>
    </row>
    <row r="12" spans="2:11" x14ac:dyDescent="0.2">
      <c r="B12" s="455" t="s">
        <v>14</v>
      </c>
      <c r="C12" s="447" t="s">
        <v>123</v>
      </c>
      <c r="D12" s="450"/>
      <c r="E12" s="450"/>
      <c r="F12" s="450">
        <v>32.5</v>
      </c>
      <c r="G12" s="450">
        <f>G6/1000</f>
        <v>75.099999999999994</v>
      </c>
      <c r="H12" s="450">
        <f>H6/1000</f>
        <v>62.099999999999994</v>
      </c>
      <c r="I12" s="450">
        <f>I6/1000</f>
        <v>44.1</v>
      </c>
      <c r="J12" s="450">
        <f>J6/1000</f>
        <v>42.073033707865171</v>
      </c>
      <c r="K12" s="450">
        <f>K6/1000</f>
        <v>40.299999999999997</v>
      </c>
    </row>
    <row r="13" spans="2:11" s="452" customFormat="1" x14ac:dyDescent="0.2">
      <c r="B13" s="456" t="s">
        <v>1006</v>
      </c>
      <c r="C13" s="453" t="s">
        <v>123</v>
      </c>
      <c r="D13" s="454">
        <f>SUM(D9:D12)</f>
        <v>239.45500000000001</v>
      </c>
      <c r="E13" s="454">
        <f t="shared" ref="E13:K13" si="3">SUM(E9:E12)</f>
        <v>259.88300000000004</v>
      </c>
      <c r="F13" s="454">
        <f t="shared" si="3"/>
        <v>337.63900000000001</v>
      </c>
      <c r="G13" s="454">
        <f t="shared" si="3"/>
        <v>432.50900000000001</v>
      </c>
      <c r="H13" s="454">
        <f t="shared" si="3"/>
        <v>457.63299999999992</v>
      </c>
      <c r="I13" s="454">
        <f t="shared" si="3"/>
        <v>474.56900000000002</v>
      </c>
      <c r="J13" s="454">
        <f t="shared" si="3"/>
        <v>535.25903370786511</v>
      </c>
      <c r="K13" s="454">
        <f t="shared" si="3"/>
        <v>415.90699999999998</v>
      </c>
    </row>
    <row r="14" spans="2:11" x14ac:dyDescent="0.2">
      <c r="B14" s="455" t="s">
        <v>1007</v>
      </c>
      <c r="C14" s="447" t="s">
        <v>123</v>
      </c>
      <c r="D14" s="450">
        <f>D9+D11</f>
        <v>159.05500000000001</v>
      </c>
      <c r="E14" s="450">
        <f t="shared" ref="E14:K14" si="4">E9+E11</f>
        <v>146.31200000000001</v>
      </c>
      <c r="F14" s="450">
        <f t="shared" si="4"/>
        <v>193.78199999999998</v>
      </c>
      <c r="G14" s="450">
        <f t="shared" si="4"/>
        <v>229.023</v>
      </c>
      <c r="H14" s="450">
        <f t="shared" si="4"/>
        <v>262.54599999999999</v>
      </c>
      <c r="I14" s="450">
        <f t="shared" si="4"/>
        <v>264.447</v>
      </c>
      <c r="J14" s="450">
        <f t="shared" si="4"/>
        <v>281.97800000000001</v>
      </c>
      <c r="K14" s="450">
        <f t="shared" si="4"/>
        <v>201.911</v>
      </c>
    </row>
    <row r="15" spans="2:11" x14ac:dyDescent="0.2">
      <c r="B15" s="455"/>
      <c r="C15" s="447"/>
      <c r="D15" s="450"/>
      <c r="E15" s="450"/>
      <c r="F15" s="450"/>
      <c r="G15" s="450"/>
      <c r="H15" s="450"/>
      <c r="I15" s="450"/>
      <c r="J15" s="450"/>
      <c r="K15" s="450"/>
    </row>
    <row r="16" spans="2:11" x14ac:dyDescent="0.2">
      <c r="B16" s="452" t="s">
        <v>738</v>
      </c>
      <c r="C16" s="447"/>
      <c r="D16" s="450"/>
      <c r="E16" s="450"/>
      <c r="F16" s="450"/>
      <c r="G16" s="450"/>
      <c r="H16" s="450"/>
      <c r="I16" s="450"/>
      <c r="J16" s="450"/>
      <c r="K16" s="450"/>
    </row>
    <row r="17" spans="2:11" x14ac:dyDescent="0.2">
      <c r="B17" s="445" t="s">
        <v>12</v>
      </c>
      <c r="E17" s="451">
        <f t="shared" ref="E17:K17" si="5">E9/D9-1</f>
        <v>-7.126030624263846E-2</v>
      </c>
      <c r="F17" s="451">
        <f t="shared" si="5"/>
        <v>0.38046924540266325</v>
      </c>
      <c r="G17" s="451">
        <f t="shared" si="5"/>
        <v>0.19624993620170472</v>
      </c>
      <c r="H17" s="451">
        <f t="shared" si="5"/>
        <v>0.16225167328871226</v>
      </c>
      <c r="I17" s="451">
        <f t="shared" si="5"/>
        <v>2.0217686575382698E-2</v>
      </c>
      <c r="J17" s="451">
        <f t="shared" si="5"/>
        <v>4.4509611665332294E-2</v>
      </c>
      <c r="K17" s="451">
        <f t="shared" si="5"/>
        <v>-0.13055591439521164</v>
      </c>
    </row>
    <row r="18" spans="2:11" x14ac:dyDescent="0.2">
      <c r="B18" s="445" t="s">
        <v>711</v>
      </c>
      <c r="E18" s="451">
        <f t="shared" ref="E18:I19" si="6">E10/D10-1</f>
        <v>0.41257462686567159</v>
      </c>
      <c r="F18" s="451">
        <f t="shared" si="6"/>
        <v>-1.9494413186464832E-2</v>
      </c>
      <c r="G18" s="451">
        <f t="shared" si="6"/>
        <v>0.15292258232531397</v>
      </c>
      <c r="H18" s="451">
        <f t="shared" si="6"/>
        <v>3.5837240820650207E-2</v>
      </c>
      <c r="I18" s="451">
        <f t="shared" si="6"/>
        <v>0.24840773910231828</v>
      </c>
      <c r="J18" s="451">
        <f t="shared" ref="J18:K20" si="7">J10/I10-1</f>
        <v>0.27216874872004926</v>
      </c>
      <c r="K18" s="451">
        <f t="shared" si="7"/>
        <v>-0.17760690882921104</v>
      </c>
    </row>
    <row r="19" spans="2:11" x14ac:dyDescent="0.2">
      <c r="B19" s="445" t="s">
        <v>15</v>
      </c>
      <c r="E19" s="451">
        <f t="shared" si="6"/>
        <v>-0.10954102013641676</v>
      </c>
      <c r="F19" s="451">
        <f t="shared" si="6"/>
        <v>0.13031005859374978</v>
      </c>
      <c r="G19" s="451">
        <f t="shared" si="6"/>
        <v>0.12095685512176702</v>
      </c>
      <c r="H19" s="451">
        <f t="shared" si="6"/>
        <v>7.4666409749988061E-2</v>
      </c>
      <c r="I19" s="451">
        <f t="shared" si="6"/>
        <v>-5.6143260567483977E-2</v>
      </c>
      <c r="J19" s="451">
        <f t="shared" si="7"/>
        <v>0.18129793650416737</v>
      </c>
      <c r="K19" s="451">
        <f t="shared" si="7"/>
        <v>-1</v>
      </c>
    </row>
    <row r="20" spans="2:11" x14ac:dyDescent="0.2">
      <c r="B20" s="445" t="s">
        <v>14</v>
      </c>
      <c r="E20" s="451"/>
      <c r="F20" s="451"/>
      <c r="G20" s="451">
        <f>G12/F12-1</f>
        <v>1.3107692307692305</v>
      </c>
      <c r="H20" s="451">
        <f>H12/G12-1</f>
        <v>-0.17310252996005326</v>
      </c>
      <c r="I20" s="451">
        <f>I12/H12-1</f>
        <v>-0.28985507246376807</v>
      </c>
      <c r="J20" s="451">
        <f t="shared" si="7"/>
        <v>-4.5962954470177508E-2</v>
      </c>
      <c r="K20" s="451">
        <f t="shared" si="7"/>
        <v>-4.2141807985044855E-2</v>
      </c>
    </row>
    <row r="23" spans="2:11" x14ac:dyDescent="0.2">
      <c r="B23" s="455" t="s">
        <v>1003</v>
      </c>
      <c r="C23" s="447" t="s">
        <v>123</v>
      </c>
      <c r="D23" s="450">
        <v>103</v>
      </c>
      <c r="E23" s="450"/>
      <c r="F23" s="450"/>
      <c r="G23" s="450"/>
      <c r="H23" s="450">
        <v>127.9</v>
      </c>
      <c r="I23" s="450"/>
      <c r="J23" s="450">
        <v>41.4</v>
      </c>
      <c r="K23" s="450"/>
    </row>
    <row r="24" spans="2:11" x14ac:dyDescent="0.2">
      <c r="B24" s="455" t="s">
        <v>1004</v>
      </c>
      <c r="C24" s="447" t="s">
        <v>123</v>
      </c>
      <c r="D24" s="450">
        <v>12.7</v>
      </c>
      <c r="E24" s="450"/>
      <c r="F24" s="450"/>
      <c r="G24" s="450"/>
      <c r="H24" s="450">
        <v>10.7</v>
      </c>
      <c r="I24" s="450"/>
      <c r="J24" s="450">
        <v>5</v>
      </c>
      <c r="K24" s="450"/>
    </row>
    <row r="25" spans="2:11" x14ac:dyDescent="0.2">
      <c r="B25" s="455" t="s">
        <v>1002</v>
      </c>
      <c r="C25" s="447" t="s">
        <v>123</v>
      </c>
      <c r="D25" s="450">
        <v>0</v>
      </c>
      <c r="E25" s="450"/>
      <c r="F25" s="450"/>
      <c r="G25" s="450"/>
      <c r="H25" s="450">
        <v>43.8</v>
      </c>
      <c r="I25" s="450"/>
      <c r="J25" s="450">
        <v>22.7</v>
      </c>
      <c r="K25" s="450"/>
    </row>
    <row r="26" spans="2:11" x14ac:dyDescent="0.2">
      <c r="B26" s="455" t="s">
        <v>297</v>
      </c>
      <c r="C26" s="447" t="s">
        <v>123</v>
      </c>
      <c r="D26" s="450"/>
      <c r="E26" s="450"/>
      <c r="F26" s="450"/>
      <c r="G26" s="450"/>
      <c r="H26" s="450">
        <f>H27-SUM(H23:H25)</f>
        <v>34.600000000000023</v>
      </c>
      <c r="I26" s="450"/>
      <c r="J26" s="450">
        <f>J27-SUM(J23:J25)</f>
        <v>12.900000000000006</v>
      </c>
      <c r="K26" s="450"/>
    </row>
    <row r="27" spans="2:11" x14ac:dyDescent="0.2">
      <c r="B27" s="452" t="s">
        <v>1005</v>
      </c>
      <c r="C27" s="453" t="s">
        <v>123</v>
      </c>
      <c r="D27" s="454">
        <f>SUM(D23:D25)</f>
        <v>115.7</v>
      </c>
      <c r="E27" s="454"/>
      <c r="F27" s="454"/>
      <c r="G27" s="454"/>
      <c r="H27" s="454">
        <v>217</v>
      </c>
      <c r="I27" s="454"/>
      <c r="J27" s="454">
        <v>82</v>
      </c>
      <c r="K27" s="454"/>
    </row>
    <row r="28" spans="2:11" x14ac:dyDescent="0.2">
      <c r="B28" s="455" t="s">
        <v>182</v>
      </c>
      <c r="C28" s="447" t="s">
        <v>118</v>
      </c>
      <c r="H28" s="451">
        <f>H27/H13</f>
        <v>0.47417909110575512</v>
      </c>
      <c r="J28" s="451">
        <f>J27/J13</f>
        <v>0.15319685392690474</v>
      </c>
    </row>
    <row r="29" spans="2:11" x14ac:dyDescent="0.2">
      <c r="B29" s="455" t="s">
        <v>1007</v>
      </c>
      <c r="C29" s="447" t="s">
        <v>118</v>
      </c>
      <c r="H29" s="451">
        <f>H27/H14</f>
        <v>0.82652182855575784</v>
      </c>
      <c r="J29" s="451">
        <f>J27/J14</f>
        <v>0.29080282858946443</v>
      </c>
    </row>
  </sheetData>
  <phoneticPr fontId="4" type="noConversion"/>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368E6-BD1B-4BEB-8FE9-FCD542D7507D}">
  <sheetPr>
    <tabColor rgb="FFFFFF00"/>
  </sheetPr>
  <dimension ref="B3:L14"/>
  <sheetViews>
    <sheetView workbookViewId="0">
      <selection activeCell="V26" sqref="V26"/>
    </sheetView>
  </sheetViews>
  <sheetFormatPr defaultRowHeight="15" x14ac:dyDescent="0.25"/>
  <cols>
    <col min="2" max="2" width="19.85546875" customWidth="1"/>
    <col min="3" max="7" width="9.7109375" customWidth="1"/>
    <col min="8" max="8" width="2.7109375" customWidth="1"/>
    <col min="9" max="10" width="12.7109375" customWidth="1"/>
    <col min="11" max="11" width="2.7109375" customWidth="1"/>
  </cols>
  <sheetData>
    <row r="3" spans="2:12" s="97" customFormat="1" x14ac:dyDescent="0.25">
      <c r="B3" s="97" t="s">
        <v>229</v>
      </c>
      <c r="C3" s="97" t="s">
        <v>611</v>
      </c>
      <c r="D3" s="97" t="s">
        <v>612</v>
      </c>
      <c r="E3" s="97" t="s">
        <v>613</v>
      </c>
      <c r="F3" s="97" t="s">
        <v>0</v>
      </c>
      <c r="G3" s="97" t="s">
        <v>621</v>
      </c>
      <c r="I3" s="97" t="s">
        <v>1008</v>
      </c>
      <c r="J3" s="97" t="s">
        <v>1009</v>
      </c>
      <c r="L3" s="97" t="s">
        <v>689</v>
      </c>
    </row>
    <row r="4" spans="2:12" x14ac:dyDescent="0.25">
      <c r="B4" s="36" t="s">
        <v>12</v>
      </c>
      <c r="C4" s="181">
        <v>981000</v>
      </c>
      <c r="D4" s="181">
        <v>120000</v>
      </c>
      <c r="E4" s="181">
        <v>37000</v>
      </c>
      <c r="F4" s="181">
        <v>122100</v>
      </c>
      <c r="G4" s="181">
        <v>194000</v>
      </c>
      <c r="I4" s="181">
        <v>2300000</v>
      </c>
      <c r="J4" s="442">
        <f>I4/E4</f>
        <v>62.162162162162161</v>
      </c>
    </row>
    <row r="5" spans="2:12" x14ac:dyDescent="0.25">
      <c r="B5" s="36" t="s">
        <v>608</v>
      </c>
      <c r="C5" s="181">
        <v>581000</v>
      </c>
      <c r="D5" s="181">
        <v>44500</v>
      </c>
      <c r="E5" s="181">
        <v>6062</v>
      </c>
      <c r="F5" s="181">
        <v>55500</v>
      </c>
      <c r="G5" s="181">
        <v>9080</v>
      </c>
      <c r="I5" s="181">
        <v>266900</v>
      </c>
      <c r="J5" s="442">
        <f t="shared" ref="J5:J13" si="0">I5/E5</f>
        <v>44.02837347410096</v>
      </c>
    </row>
    <row r="6" spans="2:12" x14ac:dyDescent="0.25">
      <c r="B6" s="36" t="s">
        <v>1010</v>
      </c>
      <c r="C6" s="181">
        <v>343000</v>
      </c>
      <c r="D6" s="181">
        <v>22100</v>
      </c>
      <c r="E6" s="181">
        <v>7745</v>
      </c>
      <c r="F6" s="181">
        <v>24400</v>
      </c>
      <c r="G6" s="181">
        <v>1090000</v>
      </c>
      <c r="I6" s="181">
        <v>180500</v>
      </c>
      <c r="J6" s="442">
        <f t="shared" si="0"/>
        <v>23.30535829567463</v>
      </c>
    </row>
    <row r="7" spans="2:12" x14ac:dyDescent="0.25">
      <c r="B7" s="36" t="s">
        <v>14</v>
      </c>
      <c r="C7" s="181">
        <v>152000</v>
      </c>
      <c r="D7" s="181">
        <v>38400</v>
      </c>
      <c r="E7" s="181">
        <v>3856</v>
      </c>
      <c r="F7" s="181">
        <v>17800</v>
      </c>
      <c r="G7" s="181">
        <v>825</v>
      </c>
      <c r="I7" s="181">
        <v>274000</v>
      </c>
      <c r="J7" s="442">
        <f t="shared" si="0"/>
        <v>71.058091286307061</v>
      </c>
    </row>
    <row r="8" spans="2:12" x14ac:dyDescent="0.25">
      <c r="B8" s="36" t="s">
        <v>1011</v>
      </c>
      <c r="C8" s="181">
        <v>14000</v>
      </c>
      <c r="D8" s="181">
        <v>17100</v>
      </c>
      <c r="E8" s="181">
        <v>4247</v>
      </c>
      <c r="F8" s="181">
        <v>3625</v>
      </c>
      <c r="G8" s="181">
        <v>3020</v>
      </c>
      <c r="I8" s="181">
        <v>738800</v>
      </c>
      <c r="J8" s="442">
        <f t="shared" si="0"/>
        <v>173.95808806216152</v>
      </c>
    </row>
    <row r="9" spans="2:12" x14ac:dyDescent="0.25">
      <c r="B9" s="36" t="s">
        <v>1012</v>
      </c>
      <c r="C9" s="181">
        <v>35000</v>
      </c>
      <c r="D9" s="181">
        <v>12800</v>
      </c>
      <c r="E9" s="181">
        <v>8355</v>
      </c>
      <c r="F9" s="181">
        <v>5173</v>
      </c>
      <c r="G9" s="181">
        <v>3100</v>
      </c>
      <c r="I9" s="181">
        <v>21000</v>
      </c>
      <c r="J9" s="442">
        <f t="shared" si="0"/>
        <v>2.5134649910233393</v>
      </c>
    </row>
    <row r="10" spans="2:12" x14ac:dyDescent="0.25">
      <c r="C10" s="181"/>
      <c r="D10" s="181"/>
      <c r="E10" s="181"/>
      <c r="F10" s="181"/>
      <c r="G10" s="181"/>
      <c r="I10" s="181"/>
      <c r="J10" s="181"/>
    </row>
    <row r="11" spans="2:12" x14ac:dyDescent="0.25">
      <c r="B11" s="36" t="s">
        <v>1013</v>
      </c>
      <c r="C11" s="181">
        <v>27000</v>
      </c>
      <c r="D11" s="181">
        <v>15900</v>
      </c>
      <c r="E11" s="181">
        <v>7578</v>
      </c>
      <c r="F11" s="181"/>
      <c r="G11" s="181"/>
      <c r="I11" s="181">
        <v>102200</v>
      </c>
      <c r="J11" s="442">
        <f t="shared" si="0"/>
        <v>13.486408023225126</v>
      </c>
    </row>
    <row r="12" spans="2:12" x14ac:dyDescent="0.25">
      <c r="B12" s="36" t="s">
        <v>1014</v>
      </c>
      <c r="C12" s="181">
        <v>17000</v>
      </c>
      <c r="D12" s="181">
        <v>18300</v>
      </c>
      <c r="E12" s="181">
        <v>2753</v>
      </c>
      <c r="F12" s="181"/>
      <c r="G12" s="181"/>
      <c r="I12" s="181">
        <v>215500</v>
      </c>
      <c r="J12" s="442">
        <f t="shared" si="0"/>
        <v>78.278241917907735</v>
      </c>
    </row>
    <row r="13" spans="2:12" x14ac:dyDescent="0.25">
      <c r="B13" s="36" t="s">
        <v>1015</v>
      </c>
      <c r="C13" s="181">
        <v>28000</v>
      </c>
      <c r="D13" s="181">
        <v>4507</v>
      </c>
      <c r="E13" s="181">
        <v>2467</v>
      </c>
      <c r="I13" s="181">
        <v>40000</v>
      </c>
      <c r="J13" s="442">
        <f t="shared" si="0"/>
        <v>16.214025131738953</v>
      </c>
    </row>
    <row r="14" spans="2:12" x14ac:dyDescent="0.25">
      <c r="B14" s="36" t="s">
        <v>1016</v>
      </c>
      <c r="C14" s="181"/>
      <c r="D14" s="181">
        <v>2967</v>
      </c>
      <c r="E14" s="181"/>
      <c r="F14" s="181">
        <v>9800</v>
      </c>
      <c r="G14" s="181">
        <v>81900</v>
      </c>
      <c r="I14" s="181"/>
      <c r="J14" s="181"/>
      <c r="L14" t="s">
        <v>1017</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097C5-22DD-4AE6-9744-2A20C6680B84}">
  <sheetPr>
    <tabColor theme="2" tint="0.59999389629810485"/>
    <pageSetUpPr autoPageBreaks="0"/>
  </sheetPr>
  <dimension ref="C3:S48"/>
  <sheetViews>
    <sheetView showGridLines="0" workbookViewId="0">
      <selection activeCell="N6" sqref="C6:N6"/>
    </sheetView>
  </sheetViews>
  <sheetFormatPr defaultRowHeight="15" x14ac:dyDescent="0.25"/>
  <cols>
    <col min="2" max="2" width="2.7109375" customWidth="1"/>
    <col min="3" max="3" width="27.7109375" bestFit="1" customWidth="1"/>
    <col min="4" max="7" width="15.7109375" style="40" customWidth="1"/>
    <col min="8" max="8" width="2.7109375" style="40" customWidth="1"/>
    <col min="9" max="10" width="6.7109375" style="40" customWidth="1"/>
    <col min="11" max="13" width="15.7109375" style="40" customWidth="1"/>
    <col min="14" max="14" width="15.7109375" customWidth="1"/>
    <col min="16" max="16" width="15.7109375" style="40" customWidth="1"/>
    <col min="17" max="19" width="15.7109375" customWidth="1"/>
  </cols>
  <sheetData>
    <row r="3" spans="3:19" x14ac:dyDescent="0.25">
      <c r="D3" s="40" t="s">
        <v>12</v>
      </c>
      <c r="E3" s="40" t="s">
        <v>606</v>
      </c>
      <c r="F3" s="40" t="s">
        <v>607</v>
      </c>
      <c r="G3" s="40" t="s">
        <v>608</v>
      </c>
      <c r="H3" s="40" t="s">
        <v>14</v>
      </c>
      <c r="K3" s="40" t="s">
        <v>596</v>
      </c>
      <c r="L3" s="40" t="s">
        <v>15</v>
      </c>
      <c r="M3" s="40" t="s">
        <v>16</v>
      </c>
      <c r="N3" s="40" t="s">
        <v>609</v>
      </c>
      <c r="P3" s="40" t="s">
        <v>614</v>
      </c>
      <c r="Q3" s="40" t="s">
        <v>615</v>
      </c>
      <c r="R3" s="40" t="s">
        <v>616</v>
      </c>
      <c r="S3" s="40" t="s">
        <v>617</v>
      </c>
    </row>
    <row r="4" spans="3:19" x14ac:dyDescent="0.25">
      <c r="C4" t="s">
        <v>612</v>
      </c>
      <c r="D4" s="202"/>
      <c r="F4" s="202"/>
      <c r="G4" s="202"/>
      <c r="H4" s="202"/>
      <c r="I4" s="202"/>
      <c r="J4" s="202"/>
      <c r="K4" s="202"/>
      <c r="L4" s="202"/>
      <c r="M4" s="202"/>
      <c r="N4" s="202"/>
      <c r="O4" s="202"/>
      <c r="P4" s="202"/>
      <c r="Q4" s="202"/>
      <c r="R4" s="202"/>
      <c r="S4" s="202"/>
    </row>
    <row r="5" spans="3:19" x14ac:dyDescent="0.25">
      <c r="C5" t="s">
        <v>611</v>
      </c>
      <c r="D5" s="202"/>
      <c r="F5" s="202"/>
      <c r="G5" s="202"/>
      <c r="H5" s="202"/>
      <c r="I5" s="202"/>
      <c r="J5" s="202"/>
      <c r="K5" s="202"/>
      <c r="L5" s="202"/>
      <c r="M5" s="202"/>
      <c r="N5" s="202"/>
      <c r="O5" s="202"/>
      <c r="P5" s="202"/>
      <c r="Q5" s="202"/>
      <c r="R5" s="202"/>
      <c r="S5" s="202"/>
    </row>
    <row r="6" spans="3:19" x14ac:dyDescent="0.25">
      <c r="C6" t="s">
        <v>610</v>
      </c>
      <c r="D6" s="202">
        <v>126.5</v>
      </c>
      <c r="F6" s="202"/>
      <c r="G6" s="202">
        <v>51.9</v>
      </c>
      <c r="H6" s="202"/>
      <c r="I6" s="202"/>
      <c r="J6" s="202"/>
      <c r="K6" s="202"/>
      <c r="L6" s="202"/>
      <c r="M6" s="202"/>
      <c r="N6" s="202">
        <v>4097</v>
      </c>
      <c r="O6" s="202"/>
      <c r="P6" s="202">
        <v>26.6</v>
      </c>
      <c r="Q6" s="202">
        <v>55.3</v>
      </c>
      <c r="R6" s="202">
        <v>88.1</v>
      </c>
      <c r="S6" s="202">
        <v>41.8</v>
      </c>
    </row>
    <row r="7" spans="3:19" x14ac:dyDescent="0.25">
      <c r="C7" t="s">
        <v>613</v>
      </c>
      <c r="D7" s="202"/>
      <c r="F7" s="202"/>
      <c r="G7" s="202"/>
      <c r="H7" s="202"/>
      <c r="I7" s="202"/>
      <c r="J7" s="202"/>
      <c r="K7" s="202"/>
      <c r="L7" s="202"/>
      <c r="M7" s="202"/>
      <c r="N7" s="202"/>
      <c r="O7" s="202"/>
      <c r="P7" s="202"/>
      <c r="Q7" s="202"/>
      <c r="R7" s="202"/>
      <c r="S7" s="202"/>
    </row>
    <row r="8" spans="3:19" x14ac:dyDescent="0.25">
      <c r="C8" t="s">
        <v>621</v>
      </c>
      <c r="D8" s="40">
        <v>101</v>
      </c>
      <c r="G8" s="40">
        <v>5</v>
      </c>
    </row>
    <row r="12" spans="3:19" x14ac:dyDescent="0.25">
      <c r="E12" s="40" t="s">
        <v>618</v>
      </c>
    </row>
    <row r="14" spans="3:19" x14ac:dyDescent="0.25">
      <c r="E14" s="40" t="s">
        <v>619</v>
      </c>
      <c r="N14" t="s">
        <v>620</v>
      </c>
    </row>
    <row r="15" spans="3:19" x14ac:dyDescent="0.25">
      <c r="E15" s="202"/>
    </row>
    <row r="16" spans="3:19" x14ac:dyDescent="0.25">
      <c r="E16" s="202"/>
      <c r="N16">
        <v>7345</v>
      </c>
    </row>
    <row r="17" spans="3:7" x14ac:dyDescent="0.25">
      <c r="E17" s="202">
        <v>194.5</v>
      </c>
    </row>
    <row r="18" spans="3:7" x14ac:dyDescent="0.25">
      <c r="E18" s="202">
        <v>24.1</v>
      </c>
    </row>
    <row r="20" spans="3:7" x14ac:dyDescent="0.25">
      <c r="C20" t="s">
        <v>622</v>
      </c>
    </row>
    <row r="21" spans="3:7" x14ac:dyDescent="0.25">
      <c r="C21" t="s">
        <v>623</v>
      </c>
    </row>
    <row r="30" spans="3:7" ht="15.75" thickBot="1" x14ac:dyDescent="0.3"/>
    <row r="31" spans="3:7" ht="15.75" thickBot="1" x14ac:dyDescent="0.3">
      <c r="C31" s="256" t="s">
        <v>719</v>
      </c>
      <c r="D31" s="257" t="s">
        <v>12</v>
      </c>
      <c r="E31" s="257" t="s">
        <v>608</v>
      </c>
      <c r="F31" s="257" t="s">
        <v>711</v>
      </c>
      <c r="G31" s="258" t="s">
        <v>712</v>
      </c>
    </row>
    <row r="32" spans="3:7" ht="15.75" thickBot="1" x14ac:dyDescent="0.3">
      <c r="C32" s="273" t="s">
        <v>722</v>
      </c>
      <c r="D32" s="271"/>
      <c r="E32" s="271"/>
      <c r="F32" s="271"/>
      <c r="G32" s="272"/>
    </row>
    <row r="33" spans="3:14" ht="15.75" thickBot="1" x14ac:dyDescent="0.3">
      <c r="C33" s="274" t="s">
        <v>720</v>
      </c>
      <c r="D33" s="270"/>
      <c r="E33" s="246"/>
      <c r="F33" s="247"/>
      <c r="G33" s="249"/>
    </row>
    <row r="34" spans="3:14" ht="15.75" thickBot="1" x14ac:dyDescent="0.3">
      <c r="C34" s="273" t="s">
        <v>723</v>
      </c>
      <c r="D34" s="248"/>
      <c r="E34" s="248"/>
      <c r="F34" s="248"/>
      <c r="G34" s="250"/>
    </row>
    <row r="35" spans="3:14" x14ac:dyDescent="0.25">
      <c r="C35" s="275" t="s">
        <v>28</v>
      </c>
      <c r="D35" s="261"/>
      <c r="E35" s="262"/>
      <c r="F35" s="263"/>
      <c r="G35" s="264"/>
      <c r="K35" s="40">
        <v>0</v>
      </c>
      <c r="L35" s="40">
        <v>4</v>
      </c>
      <c r="M35" s="40">
        <v>1</v>
      </c>
      <c r="N35" s="40">
        <v>0</v>
      </c>
    </row>
    <row r="36" spans="3:14" x14ac:dyDescent="0.25">
      <c r="C36" s="275" t="s">
        <v>724</v>
      </c>
      <c r="D36" s="265"/>
      <c r="E36" s="244"/>
      <c r="F36" s="244"/>
      <c r="G36" s="251"/>
      <c r="K36" s="40">
        <v>3</v>
      </c>
      <c r="L36" s="40">
        <v>1</v>
      </c>
      <c r="M36" s="40">
        <v>1</v>
      </c>
      <c r="N36" s="40">
        <v>1</v>
      </c>
    </row>
    <row r="37" spans="3:14" x14ac:dyDescent="0.25">
      <c r="C37" s="275" t="s">
        <v>709</v>
      </c>
      <c r="D37" s="266"/>
      <c r="E37" s="243"/>
      <c r="F37" s="239"/>
      <c r="G37" s="252"/>
      <c r="K37" s="40">
        <v>0</v>
      </c>
      <c r="L37" s="40">
        <v>4</v>
      </c>
      <c r="M37" s="40">
        <v>0</v>
      </c>
      <c r="N37" s="40">
        <v>0</v>
      </c>
    </row>
    <row r="38" spans="3:14" x14ac:dyDescent="0.25">
      <c r="C38" s="275" t="s">
        <v>708</v>
      </c>
      <c r="D38" s="265"/>
      <c r="E38" s="245"/>
      <c r="F38" s="245"/>
      <c r="G38" s="253"/>
      <c r="K38" s="40">
        <v>3</v>
      </c>
      <c r="L38" s="40">
        <v>2</v>
      </c>
      <c r="M38" s="40">
        <v>2</v>
      </c>
      <c r="N38" s="40">
        <v>2</v>
      </c>
    </row>
    <row r="39" spans="3:14" x14ac:dyDescent="0.25">
      <c r="C39" s="275" t="s">
        <v>714</v>
      </c>
      <c r="D39" s="265"/>
      <c r="E39" s="245"/>
      <c r="F39" s="245"/>
      <c r="G39" s="251"/>
      <c r="K39" s="40">
        <v>3</v>
      </c>
      <c r="L39" s="40">
        <v>2</v>
      </c>
      <c r="M39" s="40">
        <v>2</v>
      </c>
      <c r="N39" s="40">
        <v>1</v>
      </c>
    </row>
    <row r="40" spans="3:14" x14ac:dyDescent="0.25">
      <c r="C40" s="275" t="s">
        <v>707</v>
      </c>
      <c r="D40" s="266"/>
      <c r="E40" s="239"/>
      <c r="F40" s="245"/>
      <c r="G40" s="254"/>
      <c r="K40" s="40">
        <v>0</v>
      </c>
      <c r="L40" s="40">
        <v>0</v>
      </c>
      <c r="M40" s="40">
        <v>2</v>
      </c>
      <c r="N40" s="40">
        <v>3</v>
      </c>
    </row>
    <row r="41" spans="3:14" x14ac:dyDescent="0.25">
      <c r="C41" s="275" t="s">
        <v>710</v>
      </c>
      <c r="D41" s="267"/>
      <c r="E41" s="259"/>
      <c r="F41" s="259"/>
      <c r="G41" s="260"/>
      <c r="K41" s="40">
        <v>2</v>
      </c>
      <c r="L41" s="40">
        <v>2</v>
      </c>
      <c r="M41" s="40">
        <v>2</v>
      </c>
      <c r="N41" s="40">
        <v>2</v>
      </c>
    </row>
    <row r="42" spans="3:14" ht="15.75" thickBot="1" x14ac:dyDescent="0.3">
      <c r="C42" s="276" t="s">
        <v>721</v>
      </c>
      <c r="D42" s="268"/>
      <c r="E42" s="255"/>
      <c r="F42" s="255"/>
      <c r="G42" s="269"/>
      <c r="K42" s="40">
        <v>3</v>
      </c>
      <c r="L42" s="40">
        <v>2</v>
      </c>
      <c r="M42" s="40">
        <v>2</v>
      </c>
      <c r="N42" s="40">
        <v>1</v>
      </c>
    </row>
    <row r="43" spans="3:14" x14ac:dyDescent="0.25">
      <c r="K43" s="40">
        <f>SUM(K35:K42)</f>
        <v>14</v>
      </c>
      <c r="L43" s="40">
        <f>SUM(L35:L42)</f>
        <v>17</v>
      </c>
      <c r="M43" s="40">
        <f>SUM(M35:M42)</f>
        <v>12</v>
      </c>
      <c r="N43" s="40">
        <f>SUM(N35:N42)</f>
        <v>10</v>
      </c>
    </row>
    <row r="44" spans="3:14" x14ac:dyDescent="0.25">
      <c r="C44" s="241"/>
      <c r="D44" s="40" t="s">
        <v>713</v>
      </c>
    </row>
    <row r="45" spans="3:14" x14ac:dyDescent="0.25">
      <c r="C45" s="240"/>
      <c r="D45" s="40" t="s">
        <v>715</v>
      </c>
    </row>
    <row r="46" spans="3:14" x14ac:dyDescent="0.25">
      <c r="C46" s="242"/>
      <c r="D46" s="40" t="s">
        <v>716</v>
      </c>
    </row>
    <row r="47" spans="3:14" x14ac:dyDescent="0.25">
      <c r="C47" s="232"/>
      <c r="D47" s="40" t="s">
        <v>717</v>
      </c>
    </row>
    <row r="48" spans="3:14" x14ac:dyDescent="0.25">
      <c r="D48" s="40" t="s">
        <v>718</v>
      </c>
    </row>
  </sheetData>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9DA19-B8E4-473A-A627-09CCBDB4CD5B}">
  <dimension ref="A1:M25"/>
  <sheetViews>
    <sheetView showGridLines="0" workbookViewId="0">
      <selection activeCell="H3" sqref="H3"/>
    </sheetView>
  </sheetViews>
  <sheetFormatPr defaultColWidth="8.7109375" defaultRowHeight="15" x14ac:dyDescent="0.25"/>
  <cols>
    <col min="1" max="1" width="36" customWidth="1"/>
    <col min="2" max="4" width="13" customWidth="1"/>
    <col min="5" max="7" width="11" customWidth="1"/>
    <col min="8" max="8" width="15" customWidth="1"/>
  </cols>
  <sheetData>
    <row r="1" spans="1:13" ht="16.5" x14ac:dyDescent="0.25">
      <c r="A1" s="699" t="s">
        <v>1054</v>
      </c>
      <c r="B1" s="699"/>
      <c r="C1" s="699"/>
      <c r="D1" s="699"/>
      <c r="E1" s="699"/>
      <c r="F1" s="699"/>
      <c r="G1" s="699"/>
      <c r="H1" s="699"/>
    </row>
    <row r="2" spans="1:13" x14ac:dyDescent="0.25">
      <c r="A2" s="700" t="s">
        <v>1053</v>
      </c>
      <c r="B2" s="700"/>
      <c r="C2" s="700"/>
      <c r="D2" s="700"/>
      <c r="E2" s="700"/>
      <c r="F2" s="700"/>
      <c r="G2" s="700"/>
      <c r="H2" s="700"/>
    </row>
    <row r="4" spans="1:13" x14ac:dyDescent="0.25">
      <c r="A4" s="471" t="s">
        <v>1052</v>
      </c>
      <c r="B4" s="471"/>
      <c r="C4" s="471"/>
      <c r="D4" s="471"/>
      <c r="E4" s="471"/>
      <c r="F4" s="471"/>
      <c r="G4" s="471"/>
      <c r="H4" s="471"/>
    </row>
    <row r="5" spans="1:13" x14ac:dyDescent="0.25">
      <c r="A5" s="470" t="s">
        <v>1046</v>
      </c>
      <c r="B5" s="470" t="s">
        <v>513</v>
      </c>
      <c r="C5" s="470" t="s">
        <v>514</v>
      </c>
      <c r="D5" s="470" t="s">
        <v>515</v>
      </c>
      <c r="E5" s="470" t="s">
        <v>516</v>
      </c>
      <c r="F5" s="470" t="s">
        <v>517</v>
      </c>
      <c r="G5" s="470" t="s">
        <v>518</v>
      </c>
      <c r="H5" s="470" t="s">
        <v>1060</v>
      </c>
      <c r="I5" s="470" t="s">
        <v>1061</v>
      </c>
      <c r="J5" s="470" t="s">
        <v>1062</v>
      </c>
      <c r="K5" s="470" t="s">
        <v>1063</v>
      </c>
      <c r="L5" s="470" t="s">
        <v>1064</v>
      </c>
      <c r="M5" s="470" t="s">
        <v>1039</v>
      </c>
    </row>
    <row r="6" spans="1:13" x14ac:dyDescent="0.25">
      <c r="A6" s="463" t="s">
        <v>1038</v>
      </c>
      <c r="B6" s="469">
        <v>3818</v>
      </c>
      <c r="C6" s="469">
        <v>5161</v>
      </c>
      <c r="D6" s="469">
        <v>6970</v>
      </c>
      <c r="E6" s="469">
        <v>7430</v>
      </c>
      <c r="F6" s="469">
        <v>7066</v>
      </c>
      <c r="G6" s="469">
        <v>7037</v>
      </c>
      <c r="H6" s="469">
        <v>6982</v>
      </c>
      <c r="I6" s="469">
        <v>7204</v>
      </c>
      <c r="J6" s="469">
        <v>7375</v>
      </c>
      <c r="K6" s="469">
        <v>7544</v>
      </c>
      <c r="L6" s="469">
        <v>7714</v>
      </c>
      <c r="M6" s="468">
        <v>1.9E-2</v>
      </c>
    </row>
    <row r="7" spans="1:13" x14ac:dyDescent="0.25">
      <c r="A7" s="463" t="s">
        <v>1037</v>
      </c>
      <c r="B7" s="469">
        <v>693</v>
      </c>
      <c r="C7" s="469">
        <v>911</v>
      </c>
      <c r="D7" s="469">
        <v>1090</v>
      </c>
      <c r="E7" s="469">
        <v>1086</v>
      </c>
      <c r="F7" s="469">
        <v>1359</v>
      </c>
      <c r="G7" s="469">
        <v>1237</v>
      </c>
      <c r="H7" s="469">
        <v>1228</v>
      </c>
      <c r="I7" s="469">
        <v>1294</v>
      </c>
      <c r="J7" s="469">
        <v>1351</v>
      </c>
      <c r="K7" s="469">
        <v>1407</v>
      </c>
      <c r="L7" s="469">
        <v>1463</v>
      </c>
      <c r="M7" s="468">
        <v>3.4000000000000002E-2</v>
      </c>
    </row>
    <row r="8" spans="1:13" x14ac:dyDescent="0.25">
      <c r="A8" s="466" t="s">
        <v>1036</v>
      </c>
      <c r="B8" s="467">
        <v>4511</v>
      </c>
      <c r="C8" s="467">
        <v>6072</v>
      </c>
      <c r="D8" s="467">
        <v>8061</v>
      </c>
      <c r="E8" s="467">
        <v>8516</v>
      </c>
      <c r="F8" s="467">
        <v>8425</v>
      </c>
      <c r="G8" s="467">
        <v>8273</v>
      </c>
      <c r="H8" s="467">
        <v>8210</v>
      </c>
      <c r="I8" s="467">
        <v>8498</v>
      </c>
      <c r="J8" s="467">
        <v>8726</v>
      </c>
      <c r="K8" s="467">
        <v>8951</v>
      </c>
      <c r="L8" s="467">
        <v>9176</v>
      </c>
      <c r="M8" s="464">
        <v>2.1000000000000001E-2</v>
      </c>
    </row>
    <row r="9" spans="1:13" x14ac:dyDescent="0.25">
      <c r="A9" s="466" t="s">
        <v>1059</v>
      </c>
      <c r="B9" s="465">
        <v>0.85</v>
      </c>
      <c r="C9" s="465">
        <v>0.85</v>
      </c>
      <c r="D9" s="465">
        <v>0.86</v>
      </c>
      <c r="E9" s="465">
        <v>0.87</v>
      </c>
      <c r="F9" s="465">
        <v>0.84</v>
      </c>
      <c r="G9" s="465">
        <v>0.85</v>
      </c>
      <c r="H9" s="465">
        <v>0.85</v>
      </c>
      <c r="I9" s="465">
        <v>0.85</v>
      </c>
      <c r="J9" s="465">
        <v>0.85</v>
      </c>
      <c r="K9" s="465">
        <v>0.84</v>
      </c>
      <c r="L9" s="465">
        <v>0.84</v>
      </c>
      <c r="M9" s="464">
        <v>-0.01</v>
      </c>
    </row>
    <row r="11" spans="1:13" x14ac:dyDescent="0.25">
      <c r="A11" s="470" t="s">
        <v>1046</v>
      </c>
      <c r="B11" s="470" t="s">
        <v>1051</v>
      </c>
      <c r="C11" s="470" t="s">
        <v>1050</v>
      </c>
      <c r="D11" s="470" t="s">
        <v>1049</v>
      </c>
      <c r="E11" s="470" t="s">
        <v>1048</v>
      </c>
      <c r="F11" s="470" t="s">
        <v>1047</v>
      </c>
      <c r="G11" s="470" t="s">
        <v>1045</v>
      </c>
      <c r="H11" s="470" t="s">
        <v>1044</v>
      </c>
      <c r="I11" s="470" t="s">
        <v>1043</v>
      </c>
      <c r="J11" s="470" t="s">
        <v>1042</v>
      </c>
      <c r="K11" s="470" t="s">
        <v>1041</v>
      </c>
      <c r="L11" s="470" t="s">
        <v>1040</v>
      </c>
      <c r="M11" s="470" t="s">
        <v>1039</v>
      </c>
    </row>
    <row r="12" spans="1:13" x14ac:dyDescent="0.25">
      <c r="A12" s="472" t="s">
        <v>1038</v>
      </c>
      <c r="B12" s="469">
        <v>3818</v>
      </c>
      <c r="C12" s="469">
        <v>5161</v>
      </c>
      <c r="D12" s="469">
        <v>6970</v>
      </c>
      <c r="E12" s="469">
        <v>7430</v>
      </c>
      <c r="F12" s="469">
        <v>7066</v>
      </c>
      <c r="G12" s="469">
        <v>7037</v>
      </c>
      <c r="H12" s="469">
        <v>6982</v>
      </c>
      <c r="I12" s="469">
        <v>7204</v>
      </c>
      <c r="J12" s="469">
        <v>7375</v>
      </c>
      <c r="K12" s="469">
        <v>7544</v>
      </c>
      <c r="L12" s="469">
        <v>7714</v>
      </c>
      <c r="M12" s="468">
        <v>1.9E-2</v>
      </c>
    </row>
    <row r="13" spans="1:13" x14ac:dyDescent="0.25">
      <c r="A13" s="472" t="s">
        <v>1055</v>
      </c>
      <c r="B13" s="469">
        <v>1465</v>
      </c>
      <c r="C13" s="469">
        <v>2082</v>
      </c>
      <c r="D13" s="469">
        <v>2413</v>
      </c>
      <c r="E13" s="469">
        <v>2682</v>
      </c>
      <c r="F13" s="469">
        <v>4052</v>
      </c>
      <c r="G13" s="469">
        <v>3893</v>
      </c>
      <c r="H13" s="469">
        <v>3929</v>
      </c>
      <c r="I13" s="469">
        <v>4209</v>
      </c>
      <c r="J13" s="469">
        <v>4467</v>
      </c>
      <c r="K13" s="469">
        <v>4729</v>
      </c>
      <c r="L13" s="469">
        <v>4997</v>
      </c>
      <c r="M13" s="468">
        <v>5.0999999999999997E-2</v>
      </c>
    </row>
    <row r="14" spans="1:13" x14ac:dyDescent="0.25">
      <c r="A14" s="473" t="s">
        <v>1056</v>
      </c>
      <c r="B14" s="467">
        <v>5283</v>
      </c>
      <c r="C14" s="467">
        <v>7243</v>
      </c>
      <c r="D14" s="467">
        <v>9383</v>
      </c>
      <c r="E14" s="467">
        <v>10113</v>
      </c>
      <c r="F14" s="467">
        <v>11118</v>
      </c>
      <c r="G14" s="467">
        <v>10930</v>
      </c>
      <c r="H14" s="467">
        <v>10911</v>
      </c>
      <c r="I14" s="467">
        <v>11413</v>
      </c>
      <c r="J14" s="467">
        <v>11842</v>
      </c>
      <c r="K14" s="467">
        <v>12273</v>
      </c>
      <c r="L14" s="467">
        <v>12711</v>
      </c>
      <c r="M14" s="464">
        <v>3.1E-2</v>
      </c>
    </row>
    <row r="15" spans="1:13" x14ac:dyDescent="0.25">
      <c r="A15" s="466" t="s">
        <v>1059</v>
      </c>
      <c r="B15" s="465">
        <v>0.72</v>
      </c>
      <c r="C15" s="465">
        <v>0.71</v>
      </c>
      <c r="D15" s="465">
        <v>0.74</v>
      </c>
      <c r="E15" s="465">
        <v>0.73</v>
      </c>
      <c r="F15" s="465">
        <v>0.64</v>
      </c>
      <c r="G15" s="465">
        <v>0.64</v>
      </c>
      <c r="H15" s="465">
        <v>0.64</v>
      </c>
      <c r="I15" s="465">
        <v>0.63</v>
      </c>
      <c r="J15" s="465">
        <v>0.62</v>
      </c>
      <c r="K15" s="465">
        <v>0.61</v>
      </c>
      <c r="L15" s="465">
        <v>0.61</v>
      </c>
      <c r="M15" s="464">
        <v>-3.6999999999999998E-2</v>
      </c>
    </row>
    <row r="17" spans="1:13" x14ac:dyDescent="0.25">
      <c r="A17" t="s">
        <v>1057</v>
      </c>
      <c r="B17" s="181">
        <f>B13-B7</f>
        <v>772</v>
      </c>
      <c r="C17" s="181">
        <f t="shared" ref="C17:M17" si="0">C13-C7</f>
        <v>1171</v>
      </c>
      <c r="D17" s="181">
        <f t="shared" si="0"/>
        <v>1323</v>
      </c>
      <c r="E17" s="181">
        <f t="shared" si="0"/>
        <v>1596</v>
      </c>
      <c r="F17" s="181">
        <f t="shared" si="0"/>
        <v>2693</v>
      </c>
      <c r="G17" s="181">
        <f t="shared" si="0"/>
        <v>2656</v>
      </c>
      <c r="H17" s="181">
        <f t="shared" si="0"/>
        <v>2701</v>
      </c>
      <c r="I17" s="181">
        <f t="shared" si="0"/>
        <v>2915</v>
      </c>
      <c r="J17" s="181">
        <f t="shared" si="0"/>
        <v>3116</v>
      </c>
      <c r="K17" s="181">
        <f t="shared" si="0"/>
        <v>3322</v>
      </c>
      <c r="L17" s="181">
        <f t="shared" si="0"/>
        <v>3534</v>
      </c>
      <c r="M17" s="181">
        <f t="shared" si="0"/>
        <v>1.6999999999999994E-2</v>
      </c>
    </row>
    <row r="19" spans="1:13" x14ac:dyDescent="0.25">
      <c r="A19" s="463" t="s">
        <v>1038</v>
      </c>
      <c r="B19" s="181">
        <f>B6</f>
        <v>3818</v>
      </c>
      <c r="C19" s="181">
        <f t="shared" ref="C19:M19" si="1">C6</f>
        <v>5161</v>
      </c>
      <c r="D19" s="181">
        <f t="shared" si="1"/>
        <v>6970</v>
      </c>
      <c r="E19" s="181">
        <f t="shared" si="1"/>
        <v>7430</v>
      </c>
      <c r="F19" s="181">
        <f t="shared" si="1"/>
        <v>7066</v>
      </c>
      <c r="G19" s="181">
        <f t="shared" si="1"/>
        <v>7037</v>
      </c>
      <c r="H19" s="181">
        <f t="shared" si="1"/>
        <v>6982</v>
      </c>
      <c r="I19" s="181">
        <f t="shared" si="1"/>
        <v>7204</v>
      </c>
      <c r="J19" s="181">
        <f t="shared" si="1"/>
        <v>7375</v>
      </c>
      <c r="K19" s="181">
        <f t="shared" si="1"/>
        <v>7544</v>
      </c>
      <c r="L19" s="181">
        <f t="shared" si="1"/>
        <v>7714</v>
      </c>
      <c r="M19" s="181">
        <f t="shared" si="1"/>
        <v>1.9E-2</v>
      </c>
    </row>
    <row r="20" spans="1:13" x14ac:dyDescent="0.25">
      <c r="A20" s="463" t="s">
        <v>1037</v>
      </c>
      <c r="B20" s="181">
        <f>B7</f>
        <v>693</v>
      </c>
      <c r="C20" s="181">
        <f t="shared" ref="C20:M20" si="2">C7</f>
        <v>911</v>
      </c>
      <c r="D20" s="181">
        <f t="shared" si="2"/>
        <v>1090</v>
      </c>
      <c r="E20" s="181">
        <f t="shared" si="2"/>
        <v>1086</v>
      </c>
      <c r="F20" s="181">
        <f t="shared" si="2"/>
        <v>1359</v>
      </c>
      <c r="G20" s="181">
        <f t="shared" si="2"/>
        <v>1237</v>
      </c>
      <c r="H20" s="181">
        <f t="shared" si="2"/>
        <v>1228</v>
      </c>
      <c r="I20" s="181">
        <f t="shared" si="2"/>
        <v>1294</v>
      </c>
      <c r="J20" s="181">
        <f t="shared" si="2"/>
        <v>1351</v>
      </c>
      <c r="K20" s="181">
        <f t="shared" si="2"/>
        <v>1407</v>
      </c>
      <c r="L20" s="181">
        <f t="shared" si="2"/>
        <v>1463</v>
      </c>
      <c r="M20" s="181">
        <f t="shared" si="2"/>
        <v>3.4000000000000002E-2</v>
      </c>
    </row>
    <row r="21" spans="1:13" x14ac:dyDescent="0.25">
      <c r="A21" s="472" t="s">
        <v>1058</v>
      </c>
      <c r="B21" s="181">
        <f>B17</f>
        <v>772</v>
      </c>
      <c r="C21" s="181">
        <f t="shared" ref="C21:M21" si="3">C17</f>
        <v>1171</v>
      </c>
      <c r="D21" s="181">
        <f t="shared" si="3"/>
        <v>1323</v>
      </c>
      <c r="E21" s="181">
        <f t="shared" si="3"/>
        <v>1596</v>
      </c>
      <c r="F21" s="181">
        <f t="shared" si="3"/>
        <v>2693</v>
      </c>
      <c r="G21" s="181">
        <f t="shared" si="3"/>
        <v>2656</v>
      </c>
      <c r="H21" s="181">
        <f t="shared" si="3"/>
        <v>2701</v>
      </c>
      <c r="I21" s="181">
        <f t="shared" si="3"/>
        <v>2915</v>
      </c>
      <c r="J21" s="181">
        <f t="shared" si="3"/>
        <v>3116</v>
      </c>
      <c r="K21" s="181">
        <f t="shared" si="3"/>
        <v>3322</v>
      </c>
      <c r="L21" s="181">
        <f t="shared" si="3"/>
        <v>3534</v>
      </c>
      <c r="M21" s="181">
        <f t="shared" si="3"/>
        <v>1.6999999999999994E-2</v>
      </c>
    </row>
    <row r="22" spans="1:13" x14ac:dyDescent="0.25">
      <c r="A22" s="474"/>
      <c r="B22" s="181">
        <f t="shared" ref="B22:L22" si="4">SUM(B19:B21)</f>
        <v>5283</v>
      </c>
      <c r="C22" s="181">
        <f t="shared" si="4"/>
        <v>7243</v>
      </c>
      <c r="D22" s="181">
        <f t="shared" si="4"/>
        <v>9383</v>
      </c>
      <c r="E22" s="181">
        <f t="shared" si="4"/>
        <v>10112</v>
      </c>
      <c r="F22" s="181">
        <f t="shared" si="4"/>
        <v>11118</v>
      </c>
      <c r="G22" s="181">
        <f t="shared" si="4"/>
        <v>10930</v>
      </c>
      <c r="H22" s="181">
        <f t="shared" si="4"/>
        <v>10911</v>
      </c>
      <c r="I22" s="181">
        <f t="shared" si="4"/>
        <v>11413</v>
      </c>
      <c r="J22" s="181">
        <f t="shared" si="4"/>
        <v>11842</v>
      </c>
      <c r="K22" s="181">
        <f t="shared" si="4"/>
        <v>12273</v>
      </c>
      <c r="L22" s="181">
        <f t="shared" si="4"/>
        <v>12711</v>
      </c>
      <c r="M22" s="181"/>
    </row>
    <row r="23" spans="1:13" x14ac:dyDescent="0.25">
      <c r="A23" s="474"/>
      <c r="B23" s="181"/>
      <c r="C23" s="181"/>
      <c r="D23" s="181"/>
      <c r="E23" s="181"/>
      <c r="F23" s="181"/>
      <c r="G23" s="181"/>
      <c r="H23" s="181"/>
      <c r="I23" s="181"/>
      <c r="J23" s="181"/>
      <c r="K23" s="181"/>
      <c r="L23" s="181"/>
      <c r="M23" s="181"/>
    </row>
    <row r="24" spans="1:13" x14ac:dyDescent="0.25">
      <c r="A24" s="474"/>
      <c r="B24" s="181"/>
      <c r="C24" s="181"/>
      <c r="D24" s="181"/>
      <c r="E24" s="181"/>
      <c r="F24" s="181"/>
      <c r="G24" s="181"/>
      <c r="H24" s="181"/>
      <c r="I24" s="181"/>
      <c r="J24" s="181"/>
      <c r="K24" s="181"/>
      <c r="L24" s="181"/>
      <c r="M24" s="181"/>
    </row>
    <row r="25" spans="1:13" x14ac:dyDescent="0.25">
      <c r="A25" s="474"/>
      <c r="B25" s="181"/>
      <c r="C25" s="181"/>
      <c r="D25" s="181"/>
      <c r="E25" s="181"/>
      <c r="F25" s="181"/>
      <c r="G25" s="181"/>
      <c r="H25" s="181"/>
      <c r="I25" s="181"/>
      <c r="J25" s="181"/>
      <c r="K25" s="181"/>
      <c r="L25" s="181"/>
      <c r="M25" s="181"/>
    </row>
  </sheetData>
  <mergeCells count="2">
    <mergeCell ref="A1:H1"/>
    <mergeCell ref="A2:H2"/>
  </mergeCells>
  <phoneticPr fontId="4" type="noConversion"/>
  <pageMargins left="0.7" right="0.7" top="0.75" bottom="0.75" header="0.3" footer="0.3"/>
  <drawing r:id="rId1"/>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AACA-673E-45B5-8B98-4118A2A574F1}">
  <dimension ref="B2:M15"/>
  <sheetViews>
    <sheetView showGridLines="0" tabSelected="1" zoomScale="115" zoomScaleNormal="115" workbookViewId="0">
      <selection activeCell="H16" sqref="H16"/>
    </sheetView>
  </sheetViews>
  <sheetFormatPr defaultRowHeight="15" x14ac:dyDescent="0.25"/>
  <cols>
    <col min="2" max="2" width="14.7109375" bestFit="1" customWidth="1"/>
    <col min="3" max="7" width="11.7109375" customWidth="1"/>
  </cols>
  <sheetData>
    <row r="2" spans="2:13" ht="25.5" x14ac:dyDescent="0.25">
      <c r="B2" s="462" t="s">
        <v>1029</v>
      </c>
      <c r="C2" s="462" t="s">
        <v>1028</v>
      </c>
      <c r="D2" s="462" t="s">
        <v>1033</v>
      </c>
      <c r="E2" s="462" t="s">
        <v>1027</v>
      </c>
      <c r="F2" s="462" t="s">
        <v>1034</v>
      </c>
      <c r="G2" s="462" t="s">
        <v>182</v>
      </c>
    </row>
    <row r="3" spans="2:13" x14ac:dyDescent="0.25">
      <c r="B3" s="461" t="s">
        <v>1026</v>
      </c>
    </row>
    <row r="4" spans="2:13" x14ac:dyDescent="0.25">
      <c r="B4" s="459" t="s">
        <v>1023</v>
      </c>
      <c r="C4" s="458">
        <v>64</v>
      </c>
      <c r="D4" s="458">
        <v>52.5</v>
      </c>
      <c r="E4" s="458">
        <v>22.7</v>
      </c>
      <c r="F4" s="458">
        <v>0</v>
      </c>
      <c r="G4" s="458">
        <v>139.19999999999999</v>
      </c>
      <c r="I4" t="s">
        <v>1025</v>
      </c>
      <c r="J4" s="460">
        <v>66.5</v>
      </c>
      <c r="K4" s="183">
        <v>8.0000000000000002E-3</v>
      </c>
      <c r="M4" s="442">
        <f>J4/K4</f>
        <v>8312.5</v>
      </c>
    </row>
    <row r="5" spans="2:13" x14ac:dyDescent="0.25">
      <c r="B5" s="459" t="s">
        <v>1030</v>
      </c>
      <c r="C5" s="458">
        <f ca="1">SUM(C4:C6)</f>
        <v>44.8</v>
      </c>
      <c r="D5" s="458">
        <f ca="1">SUM(D4:D6)</f>
        <v>5.2000000000000028</v>
      </c>
      <c r="E5" s="458">
        <f ca="1">SUM(E4:E6)</f>
        <v>22.7</v>
      </c>
      <c r="F5" s="458">
        <f ca="1">SUM(F4:F6)</f>
        <v>3.8</v>
      </c>
      <c r="G5" s="458">
        <f ca="1">SUM(G4:G6)</f>
        <v>76.499999999999986</v>
      </c>
    </row>
    <row r="6" spans="2:13" s="34" customFormat="1" x14ac:dyDescent="0.25">
      <c r="B6" s="457" t="s">
        <v>1032</v>
      </c>
      <c r="C6" s="693">
        <v>-19.2</v>
      </c>
      <c r="D6" s="693">
        <v>-47.3</v>
      </c>
      <c r="E6" s="693">
        <v>0</v>
      </c>
      <c r="F6" s="693">
        <v>3.8</v>
      </c>
      <c r="G6" s="693">
        <v>-62.7</v>
      </c>
      <c r="I6" s="34" t="s">
        <v>1021</v>
      </c>
      <c r="J6" s="692">
        <v>62.7</v>
      </c>
    </row>
    <row r="8" spans="2:13" x14ac:dyDescent="0.25">
      <c r="B8" s="461" t="s">
        <v>1024</v>
      </c>
    </row>
    <row r="9" spans="2:13" x14ac:dyDescent="0.25">
      <c r="B9" s="459" t="s">
        <v>1023</v>
      </c>
      <c r="C9" s="458">
        <v>64</v>
      </c>
      <c r="D9" s="458">
        <v>52.5</v>
      </c>
      <c r="E9" s="458">
        <v>22.7</v>
      </c>
      <c r="F9" s="458">
        <v>0</v>
      </c>
      <c r="G9" s="458">
        <v>139.19999999999999</v>
      </c>
      <c r="I9" t="s">
        <v>1022</v>
      </c>
      <c r="J9" s="460">
        <v>139.19999999999999</v>
      </c>
    </row>
    <row r="10" spans="2:13" x14ac:dyDescent="0.25">
      <c r="B10" s="459" t="s">
        <v>1031</v>
      </c>
      <c r="C10" s="458">
        <f ca="1">SUM(C9:C11)</f>
        <v>0</v>
      </c>
      <c r="D10" s="458">
        <f ca="1">SUM(D9:D11)</f>
        <v>0</v>
      </c>
      <c r="E10" s="458">
        <f ca="1">SUM(E9:E11)</f>
        <v>0</v>
      </c>
      <c r="F10" s="458">
        <f ca="1">SUM(F9:F11)</f>
        <v>29.7</v>
      </c>
      <c r="G10" s="458"/>
      <c r="I10" t="s">
        <v>1020</v>
      </c>
    </row>
    <row r="11" spans="2:13" x14ac:dyDescent="0.25">
      <c r="B11" s="457" t="s">
        <v>1032</v>
      </c>
      <c r="C11" s="693">
        <v>-64</v>
      </c>
      <c r="D11" s="693">
        <v>-52.5</v>
      </c>
      <c r="E11" s="693">
        <v>-22.7</v>
      </c>
      <c r="F11" s="693">
        <v>29.7</v>
      </c>
      <c r="G11" s="693">
        <v>-109.5</v>
      </c>
      <c r="I11" t="s">
        <v>1021</v>
      </c>
      <c r="J11" s="458">
        <v>109.5</v>
      </c>
      <c r="K11" s="183">
        <v>1.4E-2</v>
      </c>
      <c r="M11" s="442">
        <f>J11/K11</f>
        <v>7821.4285714285716</v>
      </c>
    </row>
    <row r="12" spans="2:13" x14ac:dyDescent="0.25">
      <c r="I12" t="s">
        <v>1019</v>
      </c>
    </row>
    <row r="13" spans="2:13" x14ac:dyDescent="0.25">
      <c r="I13" t="s">
        <v>1018</v>
      </c>
    </row>
    <row r="15" spans="2:13" x14ac:dyDescent="0.25">
      <c r="G15" s="204"/>
    </row>
  </sheetData>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7AC5A-9810-457A-88C5-464D4C487C6E}">
  <sheetPr>
    <tabColor rgb="FFFFFF00"/>
  </sheetPr>
  <dimension ref="B1:BN226"/>
  <sheetViews>
    <sheetView showGridLines="0" topLeftCell="A154" zoomScale="85" zoomScaleNormal="85" workbookViewId="0">
      <pane xSplit="5" topLeftCell="AW1" activePane="topRight" state="frozen"/>
      <selection pane="topRight" activeCell="BK188" sqref="BK188"/>
    </sheetView>
  </sheetViews>
  <sheetFormatPr defaultRowHeight="15" x14ac:dyDescent="0.25"/>
  <cols>
    <col min="1" max="1" width="2.7109375" customWidth="1"/>
    <col min="4" max="4" width="10.7109375" bestFit="1" customWidth="1"/>
    <col min="14" max="14" width="2.7109375" customWidth="1"/>
    <col min="30" max="30" width="2.7109375" customWidth="1"/>
    <col min="36" max="36" width="5.7109375" bestFit="1" customWidth="1"/>
    <col min="41" max="41" width="5.7109375" bestFit="1" customWidth="1"/>
  </cols>
  <sheetData>
    <row r="1" spans="3:22" x14ac:dyDescent="0.25">
      <c r="F1" t="s">
        <v>866</v>
      </c>
    </row>
    <row r="2" spans="3:22" s="405" customFormat="1" x14ac:dyDescent="0.25">
      <c r="F2" s="405" t="s">
        <v>316</v>
      </c>
      <c r="G2" s="405" t="s">
        <v>666</v>
      </c>
      <c r="H2" s="405" t="s">
        <v>655</v>
      </c>
      <c r="I2" s="405" t="s">
        <v>652</v>
      </c>
      <c r="J2" s="405" t="s">
        <v>651</v>
      </c>
      <c r="K2" s="405" t="s">
        <v>650</v>
      </c>
      <c r="L2" s="405" t="s">
        <v>653</v>
      </c>
      <c r="M2" s="405" t="s">
        <v>182</v>
      </c>
      <c r="O2" s="405" t="s">
        <v>660</v>
      </c>
      <c r="P2" s="405" t="s">
        <v>297</v>
      </c>
      <c r="S2" s="405" t="s">
        <v>316</v>
      </c>
      <c r="T2" s="405" t="s">
        <v>666</v>
      </c>
      <c r="U2" s="405" t="s">
        <v>651</v>
      </c>
      <c r="V2" s="405" t="s">
        <v>653</v>
      </c>
    </row>
    <row r="3" spans="3:22" x14ac:dyDescent="0.25">
      <c r="C3" s="40" t="s">
        <v>662</v>
      </c>
      <c r="D3" s="205">
        <v>35246</v>
      </c>
      <c r="E3" s="343" t="s">
        <v>624</v>
      </c>
      <c r="F3" s="343">
        <v>0.52200000000000002</v>
      </c>
      <c r="G3" s="343">
        <v>1.304</v>
      </c>
      <c r="H3" s="343">
        <v>0</v>
      </c>
      <c r="I3" s="343">
        <v>3.5000000000000003E-2</v>
      </c>
      <c r="J3" s="343">
        <v>0.34</v>
      </c>
      <c r="K3" s="343">
        <v>5.8000000000000003E-2</v>
      </c>
      <c r="L3" s="343">
        <v>0.47399999999999998</v>
      </c>
      <c r="M3" s="343">
        <v>2.7330000000000001</v>
      </c>
      <c r="O3">
        <f t="shared" ref="O3:O28" si="0">SUM(F3:K3)</f>
        <v>2.2589999999999999</v>
      </c>
      <c r="P3">
        <f t="shared" ref="P3:P28" si="1">H3+I3+K3</f>
        <v>9.2999999999999999E-2</v>
      </c>
      <c r="S3" s="224">
        <f t="shared" ref="S3:S28" si="2">F3/F$3</f>
        <v>1</v>
      </c>
      <c r="T3" s="224">
        <f t="shared" ref="T3:T28" si="3">G3/G$3</f>
        <v>1</v>
      </c>
      <c r="U3" s="224">
        <f>J3/J$3</f>
        <v>1</v>
      </c>
      <c r="V3" s="224">
        <f t="shared" ref="V3:V28" si="4">L3/L$3</f>
        <v>1</v>
      </c>
    </row>
    <row r="4" spans="3:22" x14ac:dyDescent="0.25">
      <c r="C4" s="40" t="s">
        <v>663</v>
      </c>
      <c r="D4" s="205">
        <f>EOMONTH(D3,12)</f>
        <v>35611</v>
      </c>
      <c r="E4" s="343" t="s">
        <v>625</v>
      </c>
      <c r="F4" s="343">
        <v>0.53600000000000003</v>
      </c>
      <c r="G4" s="343">
        <v>1.3480000000000001</v>
      </c>
      <c r="H4" s="343">
        <v>0</v>
      </c>
      <c r="I4" s="343">
        <v>3.4000000000000002E-2</v>
      </c>
      <c r="J4" s="343">
        <v>0.313</v>
      </c>
      <c r="K4" s="343">
        <v>0.04</v>
      </c>
      <c r="L4" s="343">
        <v>0.45500000000000002</v>
      </c>
      <c r="M4" s="343">
        <v>2.7269999999999999</v>
      </c>
      <c r="O4">
        <f t="shared" si="0"/>
        <v>2.2710000000000004</v>
      </c>
      <c r="P4">
        <f t="shared" si="1"/>
        <v>7.400000000000001E-2</v>
      </c>
      <c r="S4" s="224">
        <f t="shared" si="2"/>
        <v>1.0268199233716475</v>
      </c>
      <c r="T4" s="224">
        <f t="shared" si="3"/>
        <v>1.0337423312883436</v>
      </c>
      <c r="U4" s="224">
        <f t="shared" ref="U4:U28" si="5">J4/J$3</f>
        <v>0.9205882352941176</v>
      </c>
      <c r="V4" s="224">
        <f t="shared" si="4"/>
        <v>0.95991561181434604</v>
      </c>
    </row>
    <row r="5" spans="3:22" x14ac:dyDescent="0.25">
      <c r="C5" s="40" t="s">
        <v>664</v>
      </c>
      <c r="D5" s="205">
        <f t="shared" ref="D5:D31" si="6">EOMONTH(D4,12)</f>
        <v>35976</v>
      </c>
      <c r="E5" s="343" t="s">
        <v>626</v>
      </c>
      <c r="F5" s="343">
        <v>0.58399999999999996</v>
      </c>
      <c r="G5" s="343">
        <v>1.5349999999999999</v>
      </c>
      <c r="H5" s="343">
        <v>0</v>
      </c>
      <c r="I5" s="343">
        <v>4.4999999999999998E-2</v>
      </c>
      <c r="J5" s="343">
        <v>0.317</v>
      </c>
      <c r="K5" s="343">
        <v>4.2999999999999997E-2</v>
      </c>
      <c r="L5" s="343">
        <v>0.436</v>
      </c>
      <c r="M5" s="343">
        <v>2.96</v>
      </c>
      <c r="O5">
        <f t="shared" si="0"/>
        <v>2.524</v>
      </c>
      <c r="P5">
        <f t="shared" si="1"/>
        <v>8.7999999999999995E-2</v>
      </c>
      <c r="S5" s="224">
        <f t="shared" si="2"/>
        <v>1.1187739463601531</v>
      </c>
      <c r="T5" s="224">
        <f t="shared" si="3"/>
        <v>1.1771472392638036</v>
      </c>
      <c r="U5" s="224">
        <f t="shared" si="5"/>
        <v>0.9323529411764705</v>
      </c>
      <c r="V5" s="224">
        <f t="shared" si="4"/>
        <v>0.91983122362869207</v>
      </c>
    </row>
    <row r="6" spans="3:22" x14ac:dyDescent="0.25">
      <c r="C6" s="40" t="s">
        <v>665</v>
      </c>
      <c r="D6" s="205">
        <f t="shared" si="6"/>
        <v>36341</v>
      </c>
      <c r="E6" s="343" t="s">
        <v>627</v>
      </c>
      <c r="F6" s="406">
        <v>0.55608309207157203</v>
      </c>
      <c r="G6" s="406">
        <v>1.7371701136254201</v>
      </c>
      <c r="H6" s="406">
        <v>3.4478037996826E-5</v>
      </c>
      <c r="I6" s="406">
        <v>4.5206538658500099E-2</v>
      </c>
      <c r="J6" s="406">
        <v>0.32881354986893302</v>
      </c>
      <c r="K6" s="406">
        <v>4.1713609191439301E-2</v>
      </c>
      <c r="L6" s="406">
        <v>0.444304785855892</v>
      </c>
      <c r="M6" s="406">
        <v>3.1533261673097499</v>
      </c>
      <c r="O6">
        <f t="shared" si="0"/>
        <v>2.7090213814538604</v>
      </c>
      <c r="P6">
        <f t="shared" si="1"/>
        <v>8.6954625887936232E-2</v>
      </c>
      <c r="S6" s="224">
        <f t="shared" si="2"/>
        <v>1.0652932798305976</v>
      </c>
      <c r="T6" s="224">
        <f t="shared" si="3"/>
        <v>1.3321856699581442</v>
      </c>
      <c r="U6" s="224">
        <f t="shared" si="5"/>
        <v>0.96709867608509703</v>
      </c>
      <c r="V6" s="224">
        <f t="shared" si="4"/>
        <v>0.93735186889428701</v>
      </c>
    </row>
    <row r="7" spans="3:22" x14ac:dyDescent="0.25">
      <c r="C7" s="40" t="s">
        <v>149</v>
      </c>
      <c r="D7" s="205">
        <f t="shared" si="6"/>
        <v>36707</v>
      </c>
      <c r="E7" s="343" t="s">
        <v>628</v>
      </c>
      <c r="F7" s="406">
        <v>0.565318047708951</v>
      </c>
      <c r="G7" s="406">
        <v>1.8315305485165401</v>
      </c>
      <c r="H7" s="406">
        <v>1.28903660844825E-3</v>
      </c>
      <c r="I7" s="406">
        <v>4.3832508991191899E-2</v>
      </c>
      <c r="J7" s="406">
        <v>0.31264872756006701</v>
      </c>
      <c r="K7" s="406">
        <v>7.9751333424262199E-3</v>
      </c>
      <c r="L7" s="406">
        <v>0.423159108801198</v>
      </c>
      <c r="M7" s="406">
        <v>3.1857531115288298</v>
      </c>
      <c r="O7">
        <f t="shared" si="0"/>
        <v>2.7625940027276243</v>
      </c>
      <c r="P7">
        <f t="shared" si="1"/>
        <v>5.3096678942066371E-2</v>
      </c>
      <c r="S7" s="224">
        <f t="shared" si="2"/>
        <v>1.0829847657259597</v>
      </c>
      <c r="T7" s="224">
        <f t="shared" si="3"/>
        <v>1.4045479666537883</v>
      </c>
      <c r="U7" s="224">
        <f t="shared" si="5"/>
        <v>0.91955508105902051</v>
      </c>
      <c r="V7" s="224">
        <f t="shared" si="4"/>
        <v>0.89274073586750635</v>
      </c>
    </row>
    <row r="8" spans="3:22" x14ac:dyDescent="0.25">
      <c r="C8" s="40" t="s">
        <v>150</v>
      </c>
      <c r="D8" s="205">
        <f t="shared" si="6"/>
        <v>37072</v>
      </c>
      <c r="E8" s="343" t="s">
        <v>629</v>
      </c>
      <c r="F8" s="406">
        <v>0.55549561316334894</v>
      </c>
      <c r="G8" s="406">
        <v>1.8171111746937301</v>
      </c>
      <c r="H8" s="406">
        <v>3.2264053275439198E-3</v>
      </c>
      <c r="I8" s="406">
        <v>3.8563974428138699E-2</v>
      </c>
      <c r="J8" s="406">
        <v>0.31171808748337299</v>
      </c>
      <c r="K8" s="406">
        <v>6.4724241941085097E-3</v>
      </c>
      <c r="L8" s="406">
        <v>0.40145703695776103</v>
      </c>
      <c r="M8" s="406">
        <v>3.1340447162479999</v>
      </c>
      <c r="O8">
        <f t="shared" si="0"/>
        <v>2.7325876792902424</v>
      </c>
      <c r="P8">
        <f t="shared" si="1"/>
        <v>4.8262803949791128E-2</v>
      </c>
      <c r="S8" s="224">
        <f t="shared" si="2"/>
        <v>1.0641678413090976</v>
      </c>
      <c r="T8" s="224">
        <f t="shared" si="3"/>
        <v>1.3934901646424309</v>
      </c>
      <c r="U8" s="224">
        <f t="shared" si="5"/>
        <v>0.9168179043628617</v>
      </c>
      <c r="V8" s="224">
        <f t="shared" si="4"/>
        <v>0.84695577417249168</v>
      </c>
    </row>
    <row r="9" spans="3:22" x14ac:dyDescent="0.25">
      <c r="C9" s="40" t="s">
        <v>151</v>
      </c>
      <c r="D9" s="205">
        <f t="shared" si="6"/>
        <v>37437</v>
      </c>
      <c r="E9" s="343" t="s">
        <v>630</v>
      </c>
      <c r="F9" s="406">
        <v>0.51986950842860302</v>
      </c>
      <c r="G9" s="406">
        <v>1.8225040727515001</v>
      </c>
      <c r="H9" s="406">
        <v>3.1016276697729299E-3</v>
      </c>
      <c r="I9" s="406">
        <v>2.09581646147903E-2</v>
      </c>
      <c r="J9" s="406">
        <v>0.29430525107199701</v>
      </c>
      <c r="K9" s="406">
        <v>5.7772772148716204E-3</v>
      </c>
      <c r="L9" s="406">
        <v>0.40002842647687098</v>
      </c>
      <c r="M9" s="406">
        <v>3.0665443282284102</v>
      </c>
      <c r="O9">
        <f t="shared" si="0"/>
        <v>2.6665159017515352</v>
      </c>
      <c r="P9">
        <f t="shared" si="1"/>
        <v>2.9837069499434852E-2</v>
      </c>
      <c r="S9" s="224">
        <f t="shared" si="2"/>
        <v>0.99591859852222797</v>
      </c>
      <c r="T9" s="224">
        <f t="shared" si="3"/>
        <v>1.3976258226621932</v>
      </c>
      <c r="U9" s="224">
        <f t="shared" si="5"/>
        <v>0.86560367962352058</v>
      </c>
      <c r="V9" s="224">
        <f t="shared" si="4"/>
        <v>0.8439418280102764</v>
      </c>
    </row>
    <row r="10" spans="3:22" x14ac:dyDescent="0.25">
      <c r="C10" s="40" t="s">
        <v>152</v>
      </c>
      <c r="D10" s="205">
        <f t="shared" si="6"/>
        <v>37802</v>
      </c>
      <c r="E10" s="343" t="s">
        <v>631</v>
      </c>
      <c r="F10" s="406">
        <v>0.50566109039106499</v>
      </c>
      <c r="G10" s="406">
        <v>1.79590198153992</v>
      </c>
      <c r="H10" s="406">
        <v>3.66886617927842E-3</v>
      </c>
      <c r="I10" s="406">
        <v>2.69972201062493E-2</v>
      </c>
      <c r="J10" s="406">
        <v>0.30867326850212201</v>
      </c>
      <c r="K10" s="406">
        <v>5.4739174737591899E-3</v>
      </c>
      <c r="L10" s="406">
        <v>0.40900547075175803</v>
      </c>
      <c r="M10" s="406">
        <v>3.0553818149441501</v>
      </c>
      <c r="O10">
        <f t="shared" si="0"/>
        <v>2.6463763441923938</v>
      </c>
      <c r="P10">
        <f t="shared" si="1"/>
        <v>3.6140003759286915E-2</v>
      </c>
      <c r="S10" s="224">
        <f t="shared" si="2"/>
        <v>0.96869940687943479</v>
      </c>
      <c r="T10" s="224">
        <f t="shared" si="3"/>
        <v>1.3772254459661963</v>
      </c>
      <c r="U10" s="224">
        <f t="shared" si="5"/>
        <v>0.9078625544180059</v>
      </c>
      <c r="V10" s="224">
        <f t="shared" si="4"/>
        <v>0.86288073998261194</v>
      </c>
    </row>
    <row r="11" spans="3:22" x14ac:dyDescent="0.25">
      <c r="C11" s="40" t="s">
        <v>153</v>
      </c>
      <c r="D11" s="205">
        <f t="shared" si="6"/>
        <v>38168</v>
      </c>
      <c r="E11" s="343" t="s">
        <v>632</v>
      </c>
      <c r="F11" s="406">
        <v>0.495049145055938</v>
      </c>
      <c r="G11" s="406">
        <v>1.7527234475339399</v>
      </c>
      <c r="H11" s="406">
        <v>2.69646089507521E-3</v>
      </c>
      <c r="I11" s="406">
        <v>3.4504345399604203E-2</v>
      </c>
      <c r="J11" s="406">
        <v>0.29390432410402501</v>
      </c>
      <c r="K11" s="406">
        <v>4.0661705041544699E-3</v>
      </c>
      <c r="L11" s="406">
        <v>0.399689011114089</v>
      </c>
      <c r="M11" s="406">
        <v>2.9826329046068198</v>
      </c>
      <c r="O11">
        <f t="shared" si="0"/>
        <v>2.5829438934927365</v>
      </c>
      <c r="P11">
        <f t="shared" si="1"/>
        <v>4.1266976798833885E-2</v>
      </c>
      <c r="S11" s="224">
        <f t="shared" si="2"/>
        <v>0.94837000968570495</v>
      </c>
      <c r="T11" s="224">
        <f t="shared" si="3"/>
        <v>1.3441130732622237</v>
      </c>
      <c r="U11" s="224">
        <f t="shared" si="5"/>
        <v>0.86442448265889704</v>
      </c>
      <c r="V11" s="224">
        <f t="shared" si="4"/>
        <v>0.84322576184406961</v>
      </c>
    </row>
    <row r="12" spans="3:22" x14ac:dyDescent="0.25">
      <c r="C12" s="40" t="s">
        <v>154</v>
      </c>
      <c r="D12" s="205">
        <f t="shared" si="6"/>
        <v>38533</v>
      </c>
      <c r="E12" s="343" t="s">
        <v>633</v>
      </c>
      <c r="F12" s="406">
        <v>0.450331354140177</v>
      </c>
      <c r="G12" s="406">
        <v>1.72299647226882</v>
      </c>
      <c r="H12" s="406">
        <v>2.4064349093490902E-3</v>
      </c>
      <c r="I12" s="406">
        <v>3.5592537662413E-2</v>
      </c>
      <c r="J12" s="406">
        <v>0.27766111593725501</v>
      </c>
      <c r="K12" s="406">
        <v>3.7839055585232998E-3</v>
      </c>
      <c r="L12" s="406">
        <v>0.39396394443695398</v>
      </c>
      <c r="M12" s="406">
        <v>2.8867357649134999</v>
      </c>
      <c r="O12">
        <f t="shared" si="0"/>
        <v>2.4927718204765372</v>
      </c>
      <c r="P12">
        <f t="shared" si="1"/>
        <v>4.1782878130285389E-2</v>
      </c>
      <c r="S12" s="224">
        <f t="shared" si="2"/>
        <v>0.86270374356355739</v>
      </c>
      <c r="T12" s="224">
        <f t="shared" si="3"/>
        <v>1.3213163130895857</v>
      </c>
      <c r="U12" s="224">
        <f t="shared" si="5"/>
        <v>0.81665034099192646</v>
      </c>
      <c r="V12" s="224">
        <f t="shared" si="4"/>
        <v>0.83114756210327845</v>
      </c>
    </row>
    <row r="13" spans="3:22" x14ac:dyDescent="0.25">
      <c r="C13" s="40" t="s">
        <v>155</v>
      </c>
      <c r="D13" s="205">
        <f t="shared" si="6"/>
        <v>38898</v>
      </c>
      <c r="E13" s="343" t="s">
        <v>634</v>
      </c>
      <c r="F13" s="406">
        <v>0.47367181359875898</v>
      </c>
      <c r="G13" s="406">
        <v>1.67734659869442</v>
      </c>
      <c r="H13" s="406">
        <v>2.38382238883144E-3</v>
      </c>
      <c r="I13" s="406">
        <v>3.4068963288521201E-2</v>
      </c>
      <c r="J13" s="406">
        <v>0.27190615466649398</v>
      </c>
      <c r="K13" s="406">
        <v>3.4247350051706299E-3</v>
      </c>
      <c r="L13" s="406">
        <v>0.38380253125484798</v>
      </c>
      <c r="M13" s="406">
        <v>2.84660461889704</v>
      </c>
      <c r="O13">
        <f t="shared" si="0"/>
        <v>2.4628020876421961</v>
      </c>
      <c r="P13">
        <f t="shared" si="1"/>
        <v>3.9877520682523274E-2</v>
      </c>
      <c r="S13" s="224">
        <f t="shared" si="2"/>
        <v>0.90741726743057272</v>
      </c>
      <c r="T13" s="224">
        <f t="shared" si="3"/>
        <v>1.2863087413300767</v>
      </c>
      <c r="U13" s="224">
        <f t="shared" si="5"/>
        <v>0.79972398431321756</v>
      </c>
      <c r="V13" s="224">
        <f t="shared" si="4"/>
        <v>0.80970998155031226</v>
      </c>
    </row>
    <row r="14" spans="3:22" x14ac:dyDescent="0.25">
      <c r="C14" s="40" t="s">
        <v>156</v>
      </c>
      <c r="D14" s="205">
        <f t="shared" si="6"/>
        <v>39263</v>
      </c>
      <c r="E14" s="343" t="s">
        <v>635</v>
      </c>
      <c r="F14" s="406">
        <v>0.455566104878315</v>
      </c>
      <c r="G14" s="406">
        <v>1.5620893270057099</v>
      </c>
      <c r="H14" s="406">
        <v>1.00584429199607E-3</v>
      </c>
      <c r="I14" s="406">
        <v>2.9786841335888801E-2</v>
      </c>
      <c r="J14" s="406">
        <v>0.25834200182504902</v>
      </c>
      <c r="K14" s="406">
        <v>3.1267995782895898E-3</v>
      </c>
      <c r="L14" s="406">
        <v>0.37934889341328498</v>
      </c>
      <c r="M14" s="406">
        <v>2.68926581232853</v>
      </c>
      <c r="O14">
        <f t="shared" si="0"/>
        <v>2.3099169189152482</v>
      </c>
      <c r="P14">
        <f t="shared" si="1"/>
        <v>3.3919485206174459E-2</v>
      </c>
      <c r="S14" s="224">
        <f t="shared" si="2"/>
        <v>0.87273200168259579</v>
      </c>
      <c r="T14" s="224">
        <f t="shared" si="3"/>
        <v>1.1979212630411886</v>
      </c>
      <c r="U14" s="224">
        <f t="shared" si="5"/>
        <v>0.75982941713249708</v>
      </c>
      <c r="V14" s="224">
        <f t="shared" si="4"/>
        <v>0.80031412112507383</v>
      </c>
    </row>
    <row r="15" spans="3:22" x14ac:dyDescent="0.25">
      <c r="C15" s="40" t="s">
        <v>157</v>
      </c>
      <c r="D15" s="205">
        <f t="shared" si="6"/>
        <v>39629</v>
      </c>
      <c r="E15" s="343" t="s">
        <v>636</v>
      </c>
      <c r="F15" s="406">
        <v>0.433460342836122</v>
      </c>
      <c r="G15" s="406">
        <v>1.37481657296579</v>
      </c>
      <c r="H15" s="406">
        <v>5.0906832801225798E-4</v>
      </c>
      <c r="I15" s="406">
        <v>3.0838876871882401E-2</v>
      </c>
      <c r="J15" s="406">
        <v>0.25054738883046601</v>
      </c>
      <c r="K15" s="406">
        <v>3.0117513651427901E-3</v>
      </c>
      <c r="L15" s="406">
        <v>0.35024346829831299</v>
      </c>
      <c r="M15" s="406">
        <v>2.4434274694957199</v>
      </c>
      <c r="O15">
        <f t="shared" si="0"/>
        <v>2.0931840011974154</v>
      </c>
      <c r="P15">
        <f t="shared" si="1"/>
        <v>3.4359696565037449E-2</v>
      </c>
      <c r="S15" s="224">
        <f t="shared" si="2"/>
        <v>0.83038379853663213</v>
      </c>
      <c r="T15" s="224">
        <f t="shared" si="3"/>
        <v>1.0543071878572008</v>
      </c>
      <c r="U15" s="224">
        <f t="shared" si="5"/>
        <v>0.73690408479548819</v>
      </c>
      <c r="V15" s="224">
        <f t="shared" si="4"/>
        <v>0.73891027067154647</v>
      </c>
    </row>
    <row r="16" spans="3:22" x14ac:dyDescent="0.25">
      <c r="C16" s="40" t="s">
        <v>158</v>
      </c>
      <c r="D16" s="205">
        <f t="shared" si="6"/>
        <v>39994</v>
      </c>
      <c r="E16" s="343" t="s">
        <v>637</v>
      </c>
      <c r="F16" s="406">
        <v>0.42499595002577301</v>
      </c>
      <c r="G16" s="406">
        <v>1.2847441388490699</v>
      </c>
      <c r="H16" s="406">
        <v>9.3394860214525907E-5</v>
      </c>
      <c r="I16" s="406">
        <v>3.1916012039468797E-2</v>
      </c>
      <c r="J16" s="406">
        <v>0.24496100876267099</v>
      </c>
      <c r="K16" s="406">
        <v>2.8502000441815402E-3</v>
      </c>
      <c r="L16" s="406">
        <v>0.347049024999386</v>
      </c>
      <c r="M16" s="406">
        <v>2.3366097295807702</v>
      </c>
      <c r="O16">
        <f t="shared" si="0"/>
        <v>1.9895607045813786</v>
      </c>
      <c r="P16">
        <f t="shared" si="1"/>
        <v>3.4859606943864863E-2</v>
      </c>
      <c r="S16" s="224">
        <f t="shared" si="2"/>
        <v>0.81416848663941188</v>
      </c>
      <c r="T16" s="224">
        <f t="shared" si="3"/>
        <v>0.98523323531370388</v>
      </c>
      <c r="U16" s="224">
        <f t="shared" si="5"/>
        <v>0.72047355518432643</v>
      </c>
      <c r="V16" s="224">
        <f t="shared" si="4"/>
        <v>0.73217093881727013</v>
      </c>
    </row>
    <row r="17" spans="3:22" x14ac:dyDescent="0.25">
      <c r="C17" s="40" t="s">
        <v>159</v>
      </c>
      <c r="D17" s="205">
        <f t="shared" si="6"/>
        <v>40359</v>
      </c>
      <c r="E17" s="343" t="s">
        <v>638</v>
      </c>
      <c r="F17" s="406">
        <v>0.41564253185693401</v>
      </c>
      <c r="G17" s="406">
        <v>1.2071733843047401</v>
      </c>
      <c r="H17" s="406">
        <v>0</v>
      </c>
      <c r="I17" s="406">
        <v>3.0919387250850201E-2</v>
      </c>
      <c r="J17" s="406">
        <v>0.175901747478273</v>
      </c>
      <c r="K17" s="406">
        <v>2.3527536368788998E-3</v>
      </c>
      <c r="L17" s="406">
        <v>0.34731387457490998</v>
      </c>
      <c r="M17" s="406">
        <v>2.1793036791025902</v>
      </c>
      <c r="O17">
        <f t="shared" si="0"/>
        <v>1.8319898045276761</v>
      </c>
      <c r="P17">
        <f t="shared" si="1"/>
        <v>3.3272140887729104E-2</v>
      </c>
      <c r="S17" s="224">
        <f t="shared" si="2"/>
        <v>0.79625006102860918</v>
      </c>
      <c r="T17" s="224">
        <f t="shared" si="3"/>
        <v>0.92574646035639574</v>
      </c>
      <c r="U17" s="224">
        <f t="shared" si="5"/>
        <v>0.51735808081844992</v>
      </c>
      <c r="V17" s="224">
        <f t="shared" si="4"/>
        <v>0.73272969319601267</v>
      </c>
    </row>
    <row r="18" spans="3:22" x14ac:dyDescent="0.25">
      <c r="C18" s="40" t="s">
        <v>160</v>
      </c>
      <c r="D18" s="205">
        <f t="shared" si="6"/>
        <v>40724</v>
      </c>
      <c r="E18" s="343" t="s">
        <v>639</v>
      </c>
      <c r="F18" s="406">
        <v>0.40506270241166897</v>
      </c>
      <c r="G18" s="406">
        <v>1.16493365426053</v>
      </c>
      <c r="H18" s="406">
        <v>0</v>
      </c>
      <c r="I18" s="406">
        <v>3.1273109334924103E-2</v>
      </c>
      <c r="J18" s="406">
        <v>0.194658536023712</v>
      </c>
      <c r="K18" s="406">
        <v>2.7201321138099902E-3</v>
      </c>
      <c r="L18" s="406">
        <v>0.33102972242721801</v>
      </c>
      <c r="M18" s="406">
        <v>2.1296778565718602</v>
      </c>
      <c r="O18">
        <f t="shared" si="0"/>
        <v>1.7986481341446452</v>
      </c>
      <c r="P18">
        <f t="shared" si="1"/>
        <v>3.3993241448734092E-2</v>
      </c>
      <c r="S18" s="224">
        <f t="shared" si="2"/>
        <v>0.77598218852810141</v>
      </c>
      <c r="T18" s="224">
        <f t="shared" si="3"/>
        <v>0.89335402934089714</v>
      </c>
      <c r="U18" s="224">
        <f t="shared" si="5"/>
        <v>0.57252510595209405</v>
      </c>
      <c r="V18" s="224">
        <f t="shared" si="4"/>
        <v>0.69837494182957394</v>
      </c>
    </row>
    <row r="19" spans="3:22" x14ac:dyDescent="0.25">
      <c r="C19" s="40" t="s">
        <v>161</v>
      </c>
      <c r="D19" s="205">
        <f t="shared" si="6"/>
        <v>41090</v>
      </c>
      <c r="E19" s="343" t="s">
        <v>640</v>
      </c>
      <c r="F19" s="406">
        <v>0.424104699859917</v>
      </c>
      <c r="G19" s="406">
        <v>1.1338841331665099</v>
      </c>
      <c r="H19" s="406">
        <v>0</v>
      </c>
      <c r="I19" s="406">
        <v>3.1919050612916798E-2</v>
      </c>
      <c r="J19" s="406">
        <v>0.20454139401673499</v>
      </c>
      <c r="K19" s="406">
        <v>2.5264890614413202E-3</v>
      </c>
      <c r="L19" s="406">
        <v>0.338439901110275</v>
      </c>
      <c r="M19" s="406">
        <v>2.13541566782779</v>
      </c>
      <c r="O19">
        <f t="shared" si="0"/>
        <v>1.7969757667175201</v>
      </c>
      <c r="P19">
        <f t="shared" si="1"/>
        <v>3.4445539674358115E-2</v>
      </c>
      <c r="S19" s="224">
        <f t="shared" si="2"/>
        <v>0.81246111084275285</v>
      </c>
      <c r="T19" s="224">
        <f t="shared" si="3"/>
        <v>0.86954304690683271</v>
      </c>
      <c r="U19" s="224">
        <f t="shared" si="5"/>
        <v>0.60159233534333811</v>
      </c>
      <c r="V19" s="224">
        <f t="shared" si="4"/>
        <v>0.71400823019045356</v>
      </c>
    </row>
    <row r="20" spans="3:22" x14ac:dyDescent="0.25">
      <c r="C20" s="40" t="s">
        <v>162</v>
      </c>
      <c r="D20" s="205">
        <f t="shared" si="6"/>
        <v>41455</v>
      </c>
      <c r="E20" s="343" t="s">
        <v>641</v>
      </c>
      <c r="F20" s="406">
        <v>0.41614583681015099</v>
      </c>
      <c r="G20" s="406">
        <v>1.09385178403661</v>
      </c>
      <c r="H20" s="406">
        <v>0</v>
      </c>
      <c r="I20" s="406">
        <v>3.2450552788693701E-2</v>
      </c>
      <c r="J20" s="406">
        <v>0.217565678206669</v>
      </c>
      <c r="K20" s="406">
        <v>2.5421006374445601E-3</v>
      </c>
      <c r="L20" s="406">
        <v>0.33823770701795203</v>
      </c>
      <c r="M20" s="406">
        <v>2.1007936594975201</v>
      </c>
      <c r="O20">
        <f t="shared" si="0"/>
        <v>1.7625559524795684</v>
      </c>
      <c r="P20">
        <f t="shared" si="1"/>
        <v>3.4992653426138262E-2</v>
      </c>
      <c r="S20" s="224">
        <f t="shared" si="2"/>
        <v>0.79721424676274133</v>
      </c>
      <c r="T20" s="224">
        <f t="shared" si="3"/>
        <v>0.83884339266611196</v>
      </c>
      <c r="U20" s="224">
        <f t="shared" si="5"/>
        <v>0.63989905354902643</v>
      </c>
      <c r="V20" s="224">
        <f t="shared" si="4"/>
        <v>0.71358166037542625</v>
      </c>
    </row>
    <row r="21" spans="3:22" x14ac:dyDescent="0.25">
      <c r="C21" s="40" t="s">
        <v>163</v>
      </c>
      <c r="D21" s="205">
        <f t="shared" si="6"/>
        <v>41820</v>
      </c>
      <c r="E21" s="343" t="s">
        <v>642</v>
      </c>
      <c r="F21" s="406">
        <v>0.42059823490062798</v>
      </c>
      <c r="G21" s="406">
        <v>1.0592124340076301</v>
      </c>
      <c r="H21" s="406">
        <v>0</v>
      </c>
      <c r="I21" s="406">
        <v>3.1353554015797501E-2</v>
      </c>
      <c r="J21" s="406">
        <v>0.18717553831103201</v>
      </c>
      <c r="K21" s="406">
        <v>2.5687763907177499E-3</v>
      </c>
      <c r="L21" s="406">
        <v>0.33863011157959999</v>
      </c>
      <c r="M21" s="406">
        <v>2.0395386492054102</v>
      </c>
      <c r="O21">
        <f t="shared" si="0"/>
        <v>1.7009085376258055</v>
      </c>
      <c r="P21">
        <f t="shared" si="1"/>
        <v>3.3922330406515253E-2</v>
      </c>
      <c r="S21" s="224">
        <f t="shared" si="2"/>
        <v>0.80574374502036006</v>
      </c>
      <c r="T21" s="224">
        <f t="shared" si="3"/>
        <v>0.81227947393223165</v>
      </c>
      <c r="U21" s="224">
        <f t="shared" si="5"/>
        <v>0.5505162891500941</v>
      </c>
      <c r="V21" s="224">
        <f t="shared" si="4"/>
        <v>0.71440951810042197</v>
      </c>
    </row>
    <row r="22" spans="3:22" x14ac:dyDescent="0.25">
      <c r="C22" s="40" t="s">
        <v>164</v>
      </c>
      <c r="D22" s="205">
        <f t="shared" si="6"/>
        <v>42185</v>
      </c>
      <c r="E22" s="343" t="s">
        <v>643</v>
      </c>
      <c r="F22" s="406">
        <v>0.47444810111261299</v>
      </c>
      <c r="G22" s="406">
        <v>1.0626312147781101</v>
      </c>
      <c r="H22" s="406">
        <v>0</v>
      </c>
      <c r="I22" s="406">
        <v>2.9965006399311898E-2</v>
      </c>
      <c r="J22" s="406">
        <v>0.182767635828811</v>
      </c>
      <c r="K22" s="406">
        <v>2.11721038047435E-3</v>
      </c>
      <c r="L22" s="406">
        <v>0.34861772744194403</v>
      </c>
      <c r="M22" s="406">
        <v>2.1005468959412599</v>
      </c>
      <c r="O22">
        <f t="shared" si="0"/>
        <v>1.7519291684993203</v>
      </c>
      <c r="P22">
        <f t="shared" si="1"/>
        <v>3.2082216779786246E-2</v>
      </c>
      <c r="S22" s="224">
        <f t="shared" si="2"/>
        <v>0.90890440826171071</v>
      </c>
      <c r="T22" s="224">
        <f t="shared" si="3"/>
        <v>0.81490123832677153</v>
      </c>
      <c r="U22" s="224">
        <f t="shared" si="5"/>
        <v>0.53755187008473826</v>
      </c>
      <c r="V22" s="224">
        <f t="shared" si="4"/>
        <v>0.73548043764123217</v>
      </c>
    </row>
    <row r="23" spans="3:22" x14ac:dyDescent="0.25">
      <c r="C23" s="40" t="s">
        <v>165</v>
      </c>
      <c r="D23" s="205">
        <f t="shared" si="6"/>
        <v>42551</v>
      </c>
      <c r="E23" s="343" t="s">
        <v>644</v>
      </c>
      <c r="F23" s="406">
        <v>0.46528958346051902</v>
      </c>
      <c r="G23" s="406">
        <v>1.08145761679564</v>
      </c>
      <c r="H23" s="406">
        <v>7.1653768988248802E-7</v>
      </c>
      <c r="I23" s="406">
        <v>3.0976298042060799E-2</v>
      </c>
      <c r="J23" s="406">
        <v>0.19152186109468999</v>
      </c>
      <c r="K23" s="406">
        <v>2.84555030094583E-3</v>
      </c>
      <c r="L23" s="406">
        <v>0.36002455485096002</v>
      </c>
      <c r="M23" s="406">
        <v>2.1321161810825102</v>
      </c>
      <c r="O23">
        <f t="shared" si="0"/>
        <v>1.7720916262315456</v>
      </c>
      <c r="P23">
        <f t="shared" si="1"/>
        <v>3.3822564880696515E-2</v>
      </c>
      <c r="S23" s="224">
        <f t="shared" si="2"/>
        <v>0.89135935528835053</v>
      </c>
      <c r="T23" s="224">
        <f t="shared" si="3"/>
        <v>0.82933866318684046</v>
      </c>
      <c r="U23" s="224">
        <f t="shared" si="5"/>
        <v>0.56329959145497055</v>
      </c>
      <c r="V23" s="224">
        <f t="shared" si="4"/>
        <v>0.75954547436911402</v>
      </c>
    </row>
    <row r="24" spans="3:22" x14ac:dyDescent="0.25">
      <c r="C24" s="40" t="s">
        <v>166</v>
      </c>
      <c r="D24" s="205">
        <f t="shared" si="6"/>
        <v>42916</v>
      </c>
      <c r="E24" s="343" t="s">
        <v>645</v>
      </c>
      <c r="F24" s="406">
        <v>0.41753024019901802</v>
      </c>
      <c r="G24" s="406">
        <v>1.0578708141579001</v>
      </c>
      <c r="H24" s="406">
        <v>3.9791428412038702E-7</v>
      </c>
      <c r="I24" s="406">
        <v>3.11000341007747E-2</v>
      </c>
      <c r="J24" s="406">
        <v>0.1746140941222</v>
      </c>
      <c r="K24" s="406">
        <v>2.9941633427240499E-3</v>
      </c>
      <c r="L24" s="406">
        <v>0.38152399836300799</v>
      </c>
      <c r="M24" s="406">
        <v>2.06563374219991</v>
      </c>
      <c r="O24">
        <f t="shared" si="0"/>
        <v>1.684109743836901</v>
      </c>
      <c r="P24">
        <f t="shared" si="1"/>
        <v>3.4094595357782871E-2</v>
      </c>
      <c r="S24" s="224">
        <f t="shared" si="2"/>
        <v>0.79986636053451721</v>
      </c>
      <c r="T24" s="224">
        <f t="shared" si="3"/>
        <v>0.8112506243542178</v>
      </c>
      <c r="U24" s="224">
        <f t="shared" si="5"/>
        <v>0.51357086506529404</v>
      </c>
      <c r="V24" s="224">
        <f t="shared" si="4"/>
        <v>0.80490295013292823</v>
      </c>
    </row>
    <row r="25" spans="3:22" x14ac:dyDescent="0.25">
      <c r="C25" s="40" t="s">
        <v>167</v>
      </c>
      <c r="D25" s="205">
        <f t="shared" si="6"/>
        <v>43281</v>
      </c>
      <c r="E25" s="343" t="s">
        <v>646</v>
      </c>
      <c r="F25" s="406">
        <v>0.42886294546579701</v>
      </c>
      <c r="G25" s="406">
        <v>1.05273167831891</v>
      </c>
      <c r="H25" s="406">
        <v>8.4081165230420199E-8</v>
      </c>
      <c r="I25" s="406">
        <v>2.98210832395128E-2</v>
      </c>
      <c r="J25" s="406">
        <v>0.176178633252072</v>
      </c>
      <c r="K25" s="406">
        <v>2.91004912862484E-3</v>
      </c>
      <c r="L25" s="406">
        <v>0.41592754089395501</v>
      </c>
      <c r="M25" s="406">
        <v>2.1064320143800401</v>
      </c>
      <c r="O25">
        <f t="shared" si="0"/>
        <v>1.6905044734860819</v>
      </c>
      <c r="P25">
        <f t="shared" si="1"/>
        <v>3.2731216449302873E-2</v>
      </c>
      <c r="S25" s="224">
        <f t="shared" si="2"/>
        <v>0.82157652388083713</v>
      </c>
      <c r="T25" s="224">
        <f t="shared" si="3"/>
        <v>0.80730956926296782</v>
      </c>
      <c r="U25" s="224">
        <f t="shared" si="5"/>
        <v>0.51817245074138818</v>
      </c>
      <c r="V25" s="224">
        <f t="shared" si="4"/>
        <v>0.8774842634893566</v>
      </c>
    </row>
    <row r="26" spans="3:22" x14ac:dyDescent="0.25">
      <c r="C26" s="40" t="s">
        <v>168</v>
      </c>
      <c r="D26" s="205">
        <f t="shared" si="6"/>
        <v>43646</v>
      </c>
      <c r="E26" s="343" t="s">
        <v>647</v>
      </c>
      <c r="F26" s="406">
        <v>0.39253875781587</v>
      </c>
      <c r="G26" s="406">
        <v>1.02719324720893</v>
      </c>
      <c r="H26" s="406">
        <v>6.6071217988171796E-5</v>
      </c>
      <c r="I26" s="406">
        <v>2.8957619225189801E-2</v>
      </c>
      <c r="J26" s="406">
        <v>0.208694264795275</v>
      </c>
      <c r="K26" s="406">
        <v>2.5776659898001501E-3</v>
      </c>
      <c r="L26" s="406">
        <v>0.406291463669463</v>
      </c>
      <c r="M26" s="406">
        <v>2.0663190899225201</v>
      </c>
      <c r="O26">
        <f t="shared" si="0"/>
        <v>1.6600276262530529</v>
      </c>
      <c r="P26">
        <f t="shared" si="1"/>
        <v>3.1601356432978123E-2</v>
      </c>
      <c r="S26" s="224">
        <f t="shared" si="2"/>
        <v>0.75198995750166664</v>
      </c>
      <c r="T26" s="224">
        <f t="shared" si="3"/>
        <v>0.78772488282893405</v>
      </c>
      <c r="U26" s="224">
        <f t="shared" si="5"/>
        <v>0.61380666116257354</v>
      </c>
      <c r="V26" s="224">
        <f t="shared" si="4"/>
        <v>0.85715498664443679</v>
      </c>
    </row>
    <row r="27" spans="3:22" x14ac:dyDescent="0.25">
      <c r="C27" s="40" t="s">
        <v>169</v>
      </c>
      <c r="D27" s="205">
        <f t="shared" si="6"/>
        <v>44012</v>
      </c>
      <c r="E27" s="343" t="s">
        <v>648</v>
      </c>
      <c r="F27" s="406">
        <v>0.26943898266352401</v>
      </c>
      <c r="G27" s="406">
        <v>0.78188978362603101</v>
      </c>
      <c r="H27" s="406">
        <v>2.9057687560089601E-4</v>
      </c>
      <c r="I27" s="406">
        <v>2.3502127662535201E-2</v>
      </c>
      <c r="J27" s="406">
        <v>0.201189340714263</v>
      </c>
      <c r="K27" s="406">
        <v>2.2387453212522898E-3</v>
      </c>
      <c r="L27" s="406">
        <v>0.35139577541707101</v>
      </c>
      <c r="M27" s="406">
        <v>1.6299453322802799</v>
      </c>
      <c r="O27">
        <f t="shared" si="0"/>
        <v>1.2785495568632064</v>
      </c>
      <c r="P27">
        <f t="shared" si="1"/>
        <v>2.6031449859388385E-2</v>
      </c>
      <c r="S27" s="224">
        <f t="shared" si="2"/>
        <v>0.51616663345502678</v>
      </c>
      <c r="T27" s="224">
        <f t="shared" si="3"/>
        <v>0.59960872977456359</v>
      </c>
      <c r="U27" s="224">
        <f t="shared" si="5"/>
        <v>0.59173335504195002</v>
      </c>
      <c r="V27" s="224">
        <f t="shared" si="4"/>
        <v>0.74134129834825113</v>
      </c>
    </row>
    <row r="28" spans="3:22" x14ac:dyDescent="0.25">
      <c r="C28" s="40" t="s">
        <v>170</v>
      </c>
      <c r="D28" s="205">
        <f t="shared" si="6"/>
        <v>44377</v>
      </c>
      <c r="E28" s="343" t="s">
        <v>649</v>
      </c>
      <c r="F28" s="406">
        <v>0.19738077952438601</v>
      </c>
      <c r="G28" s="406">
        <v>0.88121377442826898</v>
      </c>
      <c r="H28" s="406">
        <v>8.0488995786389902E-4</v>
      </c>
      <c r="I28" s="406">
        <v>3.0342726551530801E-2</v>
      </c>
      <c r="J28" s="406">
        <v>0.205299234868491</v>
      </c>
      <c r="K28" s="406">
        <v>3.2271551802086902E-3</v>
      </c>
      <c r="L28" s="406">
        <v>0.41871960072822301</v>
      </c>
      <c r="M28" s="406">
        <v>1.7369881612389699</v>
      </c>
      <c r="O28">
        <f t="shared" si="0"/>
        <v>1.3182685605107494</v>
      </c>
      <c r="P28">
        <f t="shared" si="1"/>
        <v>3.4374771689603387E-2</v>
      </c>
      <c r="S28" s="224">
        <f t="shared" si="2"/>
        <v>0.37812409870572034</v>
      </c>
      <c r="T28" s="224">
        <f t="shared" si="3"/>
        <v>0.67577743437750681</v>
      </c>
      <c r="U28" s="224">
        <f t="shared" si="5"/>
        <v>0.60382127902497351</v>
      </c>
      <c r="V28" s="224">
        <f t="shared" si="4"/>
        <v>0.88337468508063932</v>
      </c>
    </row>
    <row r="29" spans="3:22" x14ac:dyDescent="0.25">
      <c r="C29" s="40" t="s">
        <v>171</v>
      </c>
      <c r="D29" s="205">
        <f t="shared" si="6"/>
        <v>44742</v>
      </c>
      <c r="E29" s="343" t="s">
        <v>867</v>
      </c>
      <c r="F29" s="406">
        <v>0.19226395999005599</v>
      </c>
      <c r="G29" s="406">
        <v>0.87165825871367197</v>
      </c>
      <c r="H29" s="406">
        <v>1.2318275550097699E-3</v>
      </c>
      <c r="I29" s="406">
        <v>2.8010421714153001E-2</v>
      </c>
      <c r="J29" s="406">
        <v>0.21345619030929</v>
      </c>
      <c r="K29" s="406">
        <v>3.4569504728707199E-3</v>
      </c>
      <c r="L29" s="406">
        <v>0.56143199845614</v>
      </c>
      <c r="M29" s="406">
        <v>1.8715096072111901</v>
      </c>
      <c r="O29">
        <f>SUM(F29:K29)</f>
        <v>1.3100776087550516</v>
      </c>
      <c r="P29">
        <f>H29+I29+K29</f>
        <v>3.2699199742033488E-2</v>
      </c>
      <c r="S29" s="224">
        <f t="shared" ref="S29:T31" si="7">F29/F$3</f>
        <v>0.36832176243305742</v>
      </c>
      <c r="T29" s="224">
        <f t="shared" si="7"/>
        <v>0.66844958490312267</v>
      </c>
      <c r="U29" s="224">
        <f>J29/J$3</f>
        <v>0.62781232443908819</v>
      </c>
      <c r="V29" s="224">
        <f>L29/L$3</f>
        <v>1.1844556929454431</v>
      </c>
    </row>
    <row r="30" spans="3:22" x14ac:dyDescent="0.25">
      <c r="C30" s="40" t="s">
        <v>172</v>
      </c>
      <c r="D30" s="205">
        <f t="shared" si="6"/>
        <v>45107</v>
      </c>
      <c r="E30" s="343" t="s">
        <v>868</v>
      </c>
      <c r="F30" s="406">
        <v>0.23936328151355701</v>
      </c>
      <c r="G30" s="406">
        <v>1.0447948552124799</v>
      </c>
      <c r="H30" s="406">
        <v>2.94277874980118E-3</v>
      </c>
      <c r="I30" s="406">
        <v>3.1359905747309298E-2</v>
      </c>
      <c r="J30" s="406">
        <v>0.20601719612553701</v>
      </c>
      <c r="K30" s="406">
        <v>4.0430489243677399E-3</v>
      </c>
      <c r="L30" s="406">
        <v>0.55687898834565996</v>
      </c>
      <c r="M30" s="406">
        <v>2.0854000546187099</v>
      </c>
      <c r="O30">
        <f>SUM(F30:K30)</f>
        <v>1.528521066273052</v>
      </c>
      <c r="P30">
        <f>H30+I30+K30</f>
        <v>3.834573342147822E-2</v>
      </c>
      <c r="S30" s="224">
        <f t="shared" si="7"/>
        <v>0.45855034772712072</v>
      </c>
      <c r="T30" s="224">
        <f t="shared" si="7"/>
        <v>0.80122304847582815</v>
      </c>
      <c r="U30" s="224">
        <f>J30/J$3</f>
        <v>0.60593292978099111</v>
      </c>
      <c r="V30" s="224">
        <f>L30/L$3</f>
        <v>1.174850186383249</v>
      </c>
    </row>
    <row r="31" spans="3:22" x14ac:dyDescent="0.25">
      <c r="C31" s="40" t="s">
        <v>173</v>
      </c>
      <c r="D31" s="205">
        <f t="shared" si="6"/>
        <v>45473</v>
      </c>
      <c r="E31" s="343" t="s">
        <v>869</v>
      </c>
      <c r="F31" s="406">
        <v>0.219473423522549</v>
      </c>
      <c r="G31" s="406">
        <v>1.0319572976031299</v>
      </c>
      <c r="H31" s="406">
        <v>0</v>
      </c>
      <c r="I31" s="406">
        <v>2.97127001116635E-2</v>
      </c>
      <c r="J31" s="406">
        <v>0.22021568463803401</v>
      </c>
      <c r="K31" s="406">
        <v>3.2501845962665298E-3</v>
      </c>
      <c r="L31" s="406">
        <v>0.53386769310340199</v>
      </c>
      <c r="M31" s="406">
        <v>2.03847698357505</v>
      </c>
      <c r="O31">
        <f>SUM(F31:K31)</f>
        <v>1.504609290471643</v>
      </c>
      <c r="P31">
        <f>H31+I31+K31</f>
        <v>3.2962884707930032E-2</v>
      </c>
      <c r="S31" s="224">
        <f t="shared" si="7"/>
        <v>0.42044717149913602</v>
      </c>
      <c r="T31" s="224">
        <f t="shared" si="7"/>
        <v>0.79137829570792173</v>
      </c>
      <c r="U31" s="224">
        <f>J31/J$3</f>
        <v>0.64769319011186466</v>
      </c>
      <c r="V31" s="224">
        <f>L31/L$3</f>
        <v>1.1263031500071772</v>
      </c>
    </row>
    <row r="32" spans="3:22" x14ac:dyDescent="0.25">
      <c r="C32" s="40"/>
      <c r="D32" s="205"/>
      <c r="S32" s="224"/>
      <c r="T32" s="224"/>
      <c r="U32" s="224"/>
      <c r="V32" s="224"/>
    </row>
    <row r="33" spans="3:22" x14ac:dyDescent="0.25">
      <c r="C33" s="40"/>
      <c r="D33" s="205"/>
      <c r="S33" s="224"/>
      <c r="T33" s="224"/>
      <c r="U33" s="224"/>
      <c r="V33" s="224"/>
    </row>
    <row r="34" spans="3:22" x14ac:dyDescent="0.25">
      <c r="C34" s="40"/>
      <c r="D34" s="205"/>
      <c r="S34" s="224"/>
      <c r="T34" s="224"/>
      <c r="U34" s="224"/>
      <c r="V34" s="224"/>
    </row>
    <row r="35" spans="3:22" x14ac:dyDescent="0.25">
      <c r="C35" s="40"/>
      <c r="D35" s="205"/>
      <c r="S35" s="224"/>
      <c r="T35" s="224"/>
      <c r="U35" s="224"/>
      <c r="V35" s="224"/>
    </row>
    <row r="36" spans="3:22" x14ac:dyDescent="0.25">
      <c r="C36" s="40"/>
      <c r="D36" s="205"/>
      <c r="S36" s="224"/>
      <c r="T36" s="224"/>
      <c r="U36" s="224"/>
      <c r="V36" s="224"/>
    </row>
    <row r="37" spans="3:22" x14ac:dyDescent="0.25">
      <c r="C37" s="40"/>
      <c r="D37" s="205"/>
      <c r="S37" s="224"/>
      <c r="T37" s="224"/>
      <c r="U37" s="224"/>
      <c r="V37" s="224"/>
    </row>
    <row r="38" spans="3:22" x14ac:dyDescent="0.25">
      <c r="F38" t="s">
        <v>870</v>
      </c>
    </row>
    <row r="39" spans="3:22" s="405" customFormat="1" x14ac:dyDescent="0.25">
      <c r="F39" s="405" t="s">
        <v>316</v>
      </c>
      <c r="G39" s="405" t="s">
        <v>666</v>
      </c>
      <c r="H39" s="405" t="s">
        <v>655</v>
      </c>
      <c r="I39" s="405" t="s">
        <v>652</v>
      </c>
      <c r="J39" s="405" t="s">
        <v>651</v>
      </c>
      <c r="K39" s="405" t="s">
        <v>650</v>
      </c>
      <c r="L39" s="405" t="s">
        <v>653</v>
      </c>
      <c r="M39" s="405" t="s">
        <v>182</v>
      </c>
      <c r="O39" s="405" t="s">
        <v>660</v>
      </c>
      <c r="P39" s="405" t="s">
        <v>297</v>
      </c>
      <c r="S39" s="405" t="s">
        <v>316</v>
      </c>
      <c r="T39" s="405" t="s">
        <v>666</v>
      </c>
      <c r="U39" s="405" t="s">
        <v>651</v>
      </c>
      <c r="V39" s="405" t="s">
        <v>653</v>
      </c>
    </row>
    <row r="40" spans="3:22" x14ac:dyDescent="0.25">
      <c r="C40" s="40" t="s">
        <v>662</v>
      </c>
      <c r="D40" s="205">
        <v>35246</v>
      </c>
      <c r="E40" s="343" t="s">
        <v>624</v>
      </c>
      <c r="F40" s="343">
        <v>895.54</v>
      </c>
      <c r="G40" s="407">
        <v>3314.13</v>
      </c>
      <c r="H40" s="343">
        <v>0</v>
      </c>
      <c r="I40" s="343">
        <v>37.409999999999997</v>
      </c>
      <c r="J40" s="343">
        <v>223.57</v>
      </c>
      <c r="K40" s="343">
        <v>37.56</v>
      </c>
      <c r="L40" s="343">
        <v>865.56</v>
      </c>
      <c r="M40" s="407">
        <v>5373.76</v>
      </c>
      <c r="N40" s="57"/>
    </row>
    <row r="41" spans="3:22" x14ac:dyDescent="0.25">
      <c r="C41" s="40" t="s">
        <v>663</v>
      </c>
      <c r="D41" s="205">
        <f>EOMONTH(D40,12)</f>
        <v>35611</v>
      </c>
      <c r="E41" s="343" t="s">
        <v>625</v>
      </c>
      <c r="F41" s="407">
        <v>1101.3800000000001</v>
      </c>
      <c r="G41" s="407">
        <v>3646.71</v>
      </c>
      <c r="H41" s="343">
        <v>0</v>
      </c>
      <c r="I41" s="343">
        <v>38</v>
      </c>
      <c r="J41" s="343">
        <v>214.32</v>
      </c>
      <c r="K41" s="343">
        <v>24.12</v>
      </c>
      <c r="L41" s="343">
        <v>849.2</v>
      </c>
      <c r="M41" s="407">
        <v>5873.72</v>
      </c>
      <c r="N41" s="57"/>
    </row>
    <row r="42" spans="3:22" x14ac:dyDescent="0.25">
      <c r="C42" s="40" t="s">
        <v>664</v>
      </c>
      <c r="D42" s="205">
        <f t="shared" ref="D42:D68" si="8">EOMONTH(D41,12)</f>
        <v>35976</v>
      </c>
      <c r="E42" s="343" t="s">
        <v>626</v>
      </c>
      <c r="F42" s="407">
        <v>1709.1</v>
      </c>
      <c r="G42" s="407">
        <v>4169.8</v>
      </c>
      <c r="H42" s="343">
        <v>0</v>
      </c>
      <c r="I42" s="343">
        <v>50.71</v>
      </c>
      <c r="J42" s="343">
        <v>222.58</v>
      </c>
      <c r="K42" s="343">
        <v>26.99</v>
      </c>
      <c r="L42" s="343">
        <v>856.82</v>
      </c>
      <c r="M42" s="407">
        <v>7036.01</v>
      </c>
      <c r="N42" s="57"/>
    </row>
    <row r="43" spans="3:22" x14ac:dyDescent="0.25">
      <c r="C43" s="40" t="s">
        <v>665</v>
      </c>
      <c r="D43" s="205">
        <f t="shared" si="8"/>
        <v>36341</v>
      </c>
      <c r="E43" s="343" t="s">
        <v>627</v>
      </c>
      <c r="F43" s="407">
        <v>1452.9009062442101</v>
      </c>
      <c r="G43" s="407">
        <v>4714.6598919196604</v>
      </c>
      <c r="H43" s="343">
        <v>0.18484241505860999</v>
      </c>
      <c r="I43" s="343">
        <v>51.708683927359402</v>
      </c>
      <c r="J43" s="343">
        <v>231.205304984452</v>
      </c>
      <c r="K43" s="343">
        <v>26.483584383578901</v>
      </c>
      <c r="L43" s="343">
        <v>867.520285455519</v>
      </c>
      <c r="M43" s="407">
        <v>7344.6634993298403</v>
      </c>
      <c r="N43" s="57"/>
    </row>
    <row r="44" spans="3:22" x14ac:dyDescent="0.25">
      <c r="C44" s="40" t="s">
        <v>149</v>
      </c>
      <c r="D44" s="205">
        <f t="shared" si="8"/>
        <v>36707</v>
      </c>
      <c r="E44" s="343" t="s">
        <v>628</v>
      </c>
      <c r="F44" s="407">
        <v>1595.39432634072</v>
      </c>
      <c r="G44" s="407">
        <v>5223.0271137131404</v>
      </c>
      <c r="H44" s="343">
        <v>7.4462814947738396</v>
      </c>
      <c r="I44" s="343">
        <v>50.924582183141702</v>
      </c>
      <c r="J44" s="343">
        <v>229.805208571685</v>
      </c>
      <c r="K44" s="343">
        <v>16.8253217248986</v>
      </c>
      <c r="L44" s="343">
        <v>867.10922302464803</v>
      </c>
      <c r="M44" s="407">
        <v>7990.5320570530002</v>
      </c>
      <c r="N44" s="57"/>
    </row>
    <row r="45" spans="3:22" x14ac:dyDescent="0.25">
      <c r="C45" s="40" t="s">
        <v>150</v>
      </c>
      <c r="D45" s="205">
        <f t="shared" si="8"/>
        <v>37072</v>
      </c>
      <c r="E45" s="343" t="s">
        <v>629</v>
      </c>
      <c r="F45" s="407">
        <v>1574.96224273129</v>
      </c>
      <c r="G45" s="407">
        <v>5397.4760684167804</v>
      </c>
      <c r="H45" s="343">
        <v>19.169431123466801</v>
      </c>
      <c r="I45" s="343">
        <v>49.643357644628701</v>
      </c>
      <c r="J45" s="343">
        <v>240.74695675976201</v>
      </c>
      <c r="K45" s="343">
        <v>5.58506608656936</v>
      </c>
      <c r="L45" s="343">
        <v>890.618127772413</v>
      </c>
      <c r="M45" s="407">
        <v>8178.2012505349103</v>
      </c>
      <c r="N45" s="57"/>
    </row>
    <row r="46" spans="3:22" x14ac:dyDescent="0.25">
      <c r="C46" s="40" t="s">
        <v>151</v>
      </c>
      <c r="D46" s="205">
        <f t="shared" si="8"/>
        <v>37437</v>
      </c>
      <c r="E46" s="343" t="s">
        <v>630</v>
      </c>
      <c r="F46" s="407">
        <v>1414.0518238483501</v>
      </c>
      <c r="G46" s="407">
        <v>5821.2619478823699</v>
      </c>
      <c r="H46" s="343">
        <v>21.9651278118825</v>
      </c>
      <c r="I46" s="343">
        <v>27.1941121637566</v>
      </c>
      <c r="J46" s="343">
        <v>238.859809485906</v>
      </c>
      <c r="K46" s="343">
        <v>5.6650808394877901</v>
      </c>
      <c r="L46" s="343">
        <v>970.448113771512</v>
      </c>
      <c r="M46" s="407">
        <v>8499.4460158032598</v>
      </c>
      <c r="N46" s="57"/>
    </row>
    <row r="47" spans="3:22" x14ac:dyDescent="0.25">
      <c r="C47" s="40" t="s">
        <v>152</v>
      </c>
      <c r="D47" s="205">
        <f t="shared" si="8"/>
        <v>37802</v>
      </c>
      <c r="E47" s="343" t="s">
        <v>631</v>
      </c>
      <c r="F47" s="407">
        <v>1164.461339921</v>
      </c>
      <c r="G47" s="407">
        <v>6079.7106995022596</v>
      </c>
      <c r="H47" s="343">
        <v>31.145344694670701</v>
      </c>
      <c r="I47" s="343">
        <v>50.673505891326499</v>
      </c>
      <c r="J47" s="343">
        <v>253.548440038998</v>
      </c>
      <c r="K47" s="343">
        <v>5.2811325501426696</v>
      </c>
      <c r="L47" s="407">
        <v>1040.4883682182401</v>
      </c>
      <c r="M47" s="407">
        <v>8625.3088308166407</v>
      </c>
      <c r="N47" s="57"/>
    </row>
    <row r="48" spans="3:22" x14ac:dyDescent="0.25">
      <c r="C48" s="40" t="s">
        <v>153</v>
      </c>
      <c r="D48" s="205">
        <f t="shared" si="8"/>
        <v>38168</v>
      </c>
      <c r="E48" s="343" t="s">
        <v>632</v>
      </c>
      <c r="F48" s="407">
        <v>1149.05996058083</v>
      </c>
      <c r="G48" s="407">
        <v>6365.1377693432496</v>
      </c>
      <c r="H48" s="343">
        <v>24.037533106077099</v>
      </c>
      <c r="I48" s="343">
        <v>52.299774252800297</v>
      </c>
      <c r="J48" s="343">
        <v>255.456033740229</v>
      </c>
      <c r="K48" s="343">
        <v>4.6196335515155198</v>
      </c>
      <c r="L48" s="407">
        <v>1075.1095547656801</v>
      </c>
      <c r="M48" s="407">
        <v>8925.7202593403799</v>
      </c>
      <c r="N48" s="57"/>
    </row>
    <row r="49" spans="3:21" x14ac:dyDescent="0.25">
      <c r="C49" s="40" t="s">
        <v>154</v>
      </c>
      <c r="D49" s="205">
        <f t="shared" si="8"/>
        <v>38533</v>
      </c>
      <c r="E49" s="343" t="s">
        <v>633</v>
      </c>
      <c r="F49" s="407">
        <v>1150.1030282003001</v>
      </c>
      <c r="G49" s="407">
        <v>6733.9170762347703</v>
      </c>
      <c r="H49" s="343">
        <v>20.7508171289671</v>
      </c>
      <c r="I49" s="343">
        <v>55.395833470563403</v>
      </c>
      <c r="J49" s="343">
        <v>255.27535944351101</v>
      </c>
      <c r="K49" s="343">
        <v>4.9655800900432103</v>
      </c>
      <c r="L49" s="407">
        <v>1130.6941322017799</v>
      </c>
      <c r="M49" s="407">
        <v>9351.1018267699401</v>
      </c>
      <c r="N49" s="57"/>
    </row>
    <row r="50" spans="3:21" x14ac:dyDescent="0.25">
      <c r="C50" s="40" t="s">
        <v>155</v>
      </c>
      <c r="D50" s="205">
        <f t="shared" si="8"/>
        <v>38898</v>
      </c>
      <c r="E50" s="343" t="s">
        <v>634</v>
      </c>
      <c r="F50" s="407">
        <v>1139.16298961654</v>
      </c>
      <c r="G50" s="407">
        <v>6967.5056329930903</v>
      </c>
      <c r="H50" s="343">
        <v>23.299714743073501</v>
      </c>
      <c r="I50" s="343">
        <v>55.634102228309501</v>
      </c>
      <c r="J50" s="343">
        <v>258.640896811365</v>
      </c>
      <c r="K50" s="343">
        <v>4.6686974988613299</v>
      </c>
      <c r="L50" s="407">
        <v>1136.17854725236</v>
      </c>
      <c r="M50" s="407">
        <v>9585.0905811436005</v>
      </c>
      <c r="N50" s="57"/>
    </row>
    <row r="51" spans="3:21" x14ac:dyDescent="0.25">
      <c r="C51" s="40" t="s">
        <v>156</v>
      </c>
      <c r="D51" s="205">
        <f t="shared" si="8"/>
        <v>39263</v>
      </c>
      <c r="E51" s="343" t="s">
        <v>635</v>
      </c>
      <c r="F51" s="407">
        <v>1094.91193647318</v>
      </c>
      <c r="G51" s="407">
        <v>7059.6636272938204</v>
      </c>
      <c r="H51" s="343">
        <v>10.2124398787515</v>
      </c>
      <c r="I51" s="343">
        <v>50.239349898167902</v>
      </c>
      <c r="J51" s="343">
        <v>263.56897905595702</v>
      </c>
      <c r="K51" s="343">
        <v>4.8031049124863197</v>
      </c>
      <c r="L51" s="407">
        <v>1235.3850521551301</v>
      </c>
      <c r="M51" s="407">
        <v>9718.7844896674906</v>
      </c>
      <c r="N51" s="57"/>
    </row>
    <row r="52" spans="3:21" x14ac:dyDescent="0.25">
      <c r="C52" s="40" t="s">
        <v>157</v>
      </c>
      <c r="D52" s="205">
        <f t="shared" si="8"/>
        <v>39629</v>
      </c>
      <c r="E52" s="343" t="s">
        <v>636</v>
      </c>
      <c r="F52" s="407">
        <v>1146.02969551091</v>
      </c>
      <c r="G52" s="407">
        <v>6764.0215841567597</v>
      </c>
      <c r="H52" s="343">
        <v>5.48614139578864</v>
      </c>
      <c r="I52" s="343">
        <v>52.1544274358818</v>
      </c>
      <c r="J52" s="343">
        <v>274.13882716198998</v>
      </c>
      <c r="K52" s="343">
        <v>4.4033975717380898</v>
      </c>
      <c r="L52" s="407">
        <v>1232.4929970374101</v>
      </c>
      <c r="M52" s="407">
        <v>9478.7270702704809</v>
      </c>
      <c r="N52" s="57"/>
    </row>
    <row r="53" spans="3:21" x14ac:dyDescent="0.25">
      <c r="C53" s="40" t="s">
        <v>158</v>
      </c>
      <c r="D53" s="205">
        <f t="shared" si="8"/>
        <v>39994</v>
      </c>
      <c r="E53" s="343" t="s">
        <v>637</v>
      </c>
      <c r="F53" s="407">
        <v>1180.87269961775</v>
      </c>
      <c r="G53" s="407">
        <v>6922.6075758492598</v>
      </c>
      <c r="H53" s="343">
        <v>1.2128638178197699</v>
      </c>
      <c r="I53" s="343">
        <v>59.051953659187497</v>
      </c>
      <c r="J53" s="343">
        <v>287.61845507209699</v>
      </c>
      <c r="K53" s="343">
        <v>3.2763216365132499</v>
      </c>
      <c r="L53" s="407">
        <v>1322.9784493960101</v>
      </c>
      <c r="M53" s="407">
        <v>9777.6183190486408</v>
      </c>
      <c r="N53" s="57"/>
    </row>
    <row r="54" spans="3:21" x14ac:dyDescent="0.25">
      <c r="C54" s="40" t="s">
        <v>159</v>
      </c>
      <c r="D54" s="205">
        <f t="shared" si="8"/>
        <v>40359</v>
      </c>
      <c r="E54" s="343" t="s">
        <v>638</v>
      </c>
      <c r="F54" s="407">
        <v>1179.2781778195999</v>
      </c>
      <c r="G54" s="407">
        <v>6746.8273387679201</v>
      </c>
      <c r="H54" s="343">
        <v>0</v>
      </c>
      <c r="I54" s="343">
        <v>58.666890502695502</v>
      </c>
      <c r="J54" s="343">
        <v>214.27000101279</v>
      </c>
      <c r="K54" s="343">
        <v>2.7540865825813499</v>
      </c>
      <c r="L54" s="407">
        <v>1334.5736297472699</v>
      </c>
      <c r="M54" s="407">
        <v>9536.3701244328604</v>
      </c>
      <c r="N54" s="57"/>
    </row>
    <row r="55" spans="3:21" x14ac:dyDescent="0.25">
      <c r="C55" s="40" t="s">
        <v>160</v>
      </c>
      <c r="D55" s="205">
        <f t="shared" si="8"/>
        <v>40724</v>
      </c>
      <c r="E55" s="343" t="s">
        <v>639</v>
      </c>
      <c r="F55" s="407">
        <v>1211.5335021419501</v>
      </c>
      <c r="G55" s="407">
        <v>6982.3657135946796</v>
      </c>
      <c r="H55" s="343">
        <v>0</v>
      </c>
      <c r="I55" s="343">
        <v>62.653290467587098</v>
      </c>
      <c r="J55" s="343">
        <v>253.83718476460299</v>
      </c>
      <c r="K55" s="343">
        <v>3.3140020928263101</v>
      </c>
      <c r="L55" s="407">
        <v>1358.87246396193</v>
      </c>
      <c r="M55" s="407">
        <v>9872.5761570235809</v>
      </c>
      <c r="N55" s="57"/>
    </row>
    <row r="56" spans="3:21" x14ac:dyDescent="0.25">
      <c r="C56" s="40" t="s">
        <v>161</v>
      </c>
      <c r="D56" s="205">
        <f t="shared" si="8"/>
        <v>41090</v>
      </c>
      <c r="E56" s="343" t="s">
        <v>640</v>
      </c>
      <c r="F56" s="407">
        <v>1258.33483575169</v>
      </c>
      <c r="G56" s="407">
        <v>7098.8000495121596</v>
      </c>
      <c r="H56" s="343">
        <v>0</v>
      </c>
      <c r="I56" s="343">
        <v>65.878929449285295</v>
      </c>
      <c r="J56" s="343">
        <v>276.766678100577</v>
      </c>
      <c r="K56" s="343">
        <v>3.2483950130147501</v>
      </c>
      <c r="L56" s="407">
        <v>1378.08238407984</v>
      </c>
      <c r="M56" s="407">
        <v>10081.1112719066</v>
      </c>
      <c r="N56" s="57"/>
    </row>
    <row r="57" spans="3:21" x14ac:dyDescent="0.25">
      <c r="C57" s="40" t="s">
        <v>162</v>
      </c>
      <c r="D57" s="205">
        <f t="shared" si="8"/>
        <v>41455</v>
      </c>
      <c r="E57" s="343" t="s">
        <v>641</v>
      </c>
      <c r="F57" s="407">
        <v>1247.50505758443</v>
      </c>
      <c r="G57" s="407">
        <v>7006.1967996162202</v>
      </c>
      <c r="H57" s="343">
        <v>0</v>
      </c>
      <c r="I57" s="343">
        <v>67.943683748080602</v>
      </c>
      <c r="J57" s="343">
        <v>295.85115117391899</v>
      </c>
      <c r="K57" s="343">
        <v>3.3008690438402599</v>
      </c>
      <c r="L57" s="407">
        <v>1352.85810806523</v>
      </c>
      <c r="M57" s="407">
        <v>9973.6556692317208</v>
      </c>
      <c r="N57" s="57"/>
    </row>
    <row r="58" spans="3:21" x14ac:dyDescent="0.25">
      <c r="C58" s="40" t="s">
        <v>163</v>
      </c>
      <c r="D58" s="205">
        <f t="shared" si="8"/>
        <v>41820</v>
      </c>
      <c r="E58" s="343" t="s">
        <v>642</v>
      </c>
      <c r="F58" s="407">
        <v>1246.1654792623401</v>
      </c>
      <c r="G58" s="407">
        <v>7118.7445973265503</v>
      </c>
      <c r="H58" s="343">
        <v>0</v>
      </c>
      <c r="I58" s="343">
        <v>66.732506884959605</v>
      </c>
      <c r="J58" s="343">
        <v>268.24500208016798</v>
      </c>
      <c r="K58" s="343">
        <v>3.4564113727827999</v>
      </c>
      <c r="L58" s="407">
        <v>1440.55737660623</v>
      </c>
      <c r="M58" s="407">
        <v>10143.901373533001</v>
      </c>
      <c r="N58" s="57"/>
    </row>
    <row r="59" spans="3:21" x14ac:dyDescent="0.25">
      <c r="C59" s="40" t="s">
        <v>164</v>
      </c>
      <c r="D59" s="205">
        <f t="shared" si="8"/>
        <v>42185</v>
      </c>
      <c r="E59" s="343" t="s">
        <v>643</v>
      </c>
      <c r="F59" s="407">
        <v>1373.55927809695</v>
      </c>
      <c r="G59" s="407">
        <v>7408.48158117001</v>
      </c>
      <c r="H59" s="343">
        <v>0</v>
      </c>
      <c r="I59" s="343">
        <v>67.443930245775505</v>
      </c>
      <c r="J59" s="343">
        <v>270.11456281314298</v>
      </c>
      <c r="K59" s="343">
        <v>2.93175863479052</v>
      </c>
      <c r="L59" s="407">
        <v>1495.3791028323899</v>
      </c>
      <c r="M59" s="407">
        <v>10617.9102137931</v>
      </c>
      <c r="N59" s="57"/>
    </row>
    <row r="60" spans="3:21" x14ac:dyDescent="0.25">
      <c r="C60" s="40" t="s">
        <v>165</v>
      </c>
      <c r="D60" s="205">
        <f t="shared" si="8"/>
        <v>42551</v>
      </c>
      <c r="E60" s="343" t="s">
        <v>644</v>
      </c>
      <c r="F60" s="407">
        <v>1460.11486409852</v>
      </c>
      <c r="G60" s="407">
        <v>7660.3694698054896</v>
      </c>
      <c r="H60" s="343">
        <v>4.8377863364787899E-4</v>
      </c>
      <c r="I60" s="343">
        <v>68.045499380494604</v>
      </c>
      <c r="J60" s="343">
        <v>286.47194325814201</v>
      </c>
      <c r="K60" s="343">
        <v>3.97160756952302</v>
      </c>
      <c r="L60" s="407">
        <v>1659.54826578798</v>
      </c>
      <c r="M60" s="407">
        <v>11138.5221336788</v>
      </c>
      <c r="N60" s="57"/>
    </row>
    <row r="61" spans="3:21" x14ac:dyDescent="0.25">
      <c r="C61" s="40" t="s">
        <v>166</v>
      </c>
      <c r="D61" s="205">
        <f t="shared" si="8"/>
        <v>42916</v>
      </c>
      <c r="E61" s="343" t="s">
        <v>645</v>
      </c>
      <c r="F61" s="407">
        <v>1269.6424131177901</v>
      </c>
      <c r="G61" s="407">
        <v>7622.5044354985002</v>
      </c>
      <c r="H61" s="343">
        <v>2.6151107898186898E-4</v>
      </c>
      <c r="I61" s="343">
        <v>69.662634038631893</v>
      </c>
      <c r="J61" s="343">
        <v>263.99262522373198</v>
      </c>
      <c r="K61" s="343">
        <v>4.2221777620502303</v>
      </c>
      <c r="L61" s="407">
        <v>1796.0502751254601</v>
      </c>
      <c r="M61" s="407">
        <v>11026.0748222772</v>
      </c>
      <c r="N61" s="57"/>
    </row>
    <row r="62" spans="3:21" x14ac:dyDescent="0.25">
      <c r="C62" s="40" t="s">
        <v>167</v>
      </c>
      <c r="D62" s="205">
        <f t="shared" si="8"/>
        <v>43281</v>
      </c>
      <c r="E62" s="343" t="s">
        <v>646</v>
      </c>
      <c r="F62" s="407">
        <v>1310.7979884368699</v>
      </c>
      <c r="G62" s="407">
        <v>7767.60394820692</v>
      </c>
      <c r="H62" s="343">
        <v>5.1945074213537901E-5</v>
      </c>
      <c r="I62" s="343">
        <v>68.907755411527404</v>
      </c>
      <c r="J62" s="343">
        <v>271.69957611105298</v>
      </c>
      <c r="K62" s="343">
        <v>4.1810590234476699</v>
      </c>
      <c r="L62" s="407">
        <v>2235.1449807087702</v>
      </c>
      <c r="M62" s="407">
        <v>11658.335359843701</v>
      </c>
      <c r="N62" s="57"/>
    </row>
    <row r="63" spans="3:21" x14ac:dyDescent="0.25">
      <c r="C63" s="40" t="s">
        <v>168</v>
      </c>
      <c r="D63" s="205">
        <f t="shared" si="8"/>
        <v>43646</v>
      </c>
      <c r="E63" s="343" t="s">
        <v>647</v>
      </c>
      <c r="F63" s="407">
        <v>1285.3559129652599</v>
      </c>
      <c r="G63" s="407">
        <v>7845.1409102286798</v>
      </c>
      <c r="H63" s="343">
        <v>4.39856281940827E-2</v>
      </c>
      <c r="I63" s="343">
        <v>68.590944309367003</v>
      </c>
      <c r="J63" s="343">
        <v>329.85777011613902</v>
      </c>
      <c r="K63" s="343">
        <v>3.7914487596423201</v>
      </c>
      <c r="L63" s="407">
        <v>2359.7649148621399</v>
      </c>
      <c r="M63" s="407">
        <v>11892.5458868694</v>
      </c>
      <c r="N63" s="57"/>
    </row>
    <row r="64" spans="3:21" x14ac:dyDescent="0.25">
      <c r="C64" s="40" t="s">
        <v>169</v>
      </c>
      <c r="D64" s="205">
        <f t="shared" si="8"/>
        <v>44012</v>
      </c>
      <c r="E64" s="343" t="s">
        <v>648</v>
      </c>
      <c r="F64" s="343">
        <v>972.11964271638897</v>
      </c>
      <c r="G64" s="407">
        <v>6264.7075407146203</v>
      </c>
      <c r="H64" s="343">
        <v>0.226212618628921</v>
      </c>
      <c r="I64" s="343">
        <v>58.512640663016299</v>
      </c>
      <c r="J64" s="343">
        <v>329.995085342685</v>
      </c>
      <c r="K64" s="343">
        <v>3.41698789344882</v>
      </c>
      <c r="L64" s="407">
        <v>1150.0159967751799</v>
      </c>
      <c r="M64" s="407">
        <v>8778.9941067239706</v>
      </c>
      <c r="N64" s="57"/>
      <c r="U64" t="s">
        <v>661</v>
      </c>
    </row>
    <row r="65" spans="3:25" x14ac:dyDescent="0.25">
      <c r="C65" s="40" t="s">
        <v>170</v>
      </c>
      <c r="D65" s="205">
        <f t="shared" si="8"/>
        <v>44377</v>
      </c>
      <c r="E65" s="343" t="s">
        <v>649</v>
      </c>
      <c r="F65" s="343">
        <v>744.64118430970495</v>
      </c>
      <c r="G65" s="407">
        <v>7385.9154678300902</v>
      </c>
      <c r="H65" s="343">
        <v>0.65578629665798704</v>
      </c>
      <c r="I65" s="343">
        <v>77.400577588287305</v>
      </c>
      <c r="J65" s="343">
        <v>354.12221947833598</v>
      </c>
      <c r="K65" s="343">
        <v>5.18082659233656</v>
      </c>
      <c r="L65" s="407">
        <v>1340.18040860261</v>
      </c>
      <c r="M65" s="407">
        <v>9908.0964706980303</v>
      </c>
      <c r="N65" s="57"/>
    </row>
    <row r="66" spans="3:25" x14ac:dyDescent="0.25">
      <c r="C66" s="40" t="s">
        <v>171</v>
      </c>
      <c r="D66" s="205">
        <f t="shared" si="8"/>
        <v>44742</v>
      </c>
      <c r="E66" s="343" t="s">
        <v>867</v>
      </c>
      <c r="F66" s="343">
        <v>810.28044021148798</v>
      </c>
      <c r="G66" s="343">
        <v>7839.4804370035799</v>
      </c>
      <c r="H66" s="343">
        <v>1.4141939809186399</v>
      </c>
      <c r="I66" s="343">
        <v>73.715126823133104</v>
      </c>
      <c r="J66" s="343">
        <v>388.75660801539601</v>
      </c>
      <c r="K66" s="343">
        <v>5.8658666050228199</v>
      </c>
      <c r="L66" s="343">
        <v>1140.4648462949899</v>
      </c>
      <c r="M66" s="343">
        <v>10259.9775189345</v>
      </c>
    </row>
    <row r="67" spans="3:25" x14ac:dyDescent="0.25">
      <c r="C67" s="40" t="s">
        <v>172</v>
      </c>
      <c r="D67" s="205">
        <f t="shared" si="8"/>
        <v>45107</v>
      </c>
      <c r="E67" s="343" t="s">
        <v>868</v>
      </c>
      <c r="F67" s="343">
        <v>972.77576931860199</v>
      </c>
      <c r="G67" s="343">
        <v>9276.7201267939108</v>
      </c>
      <c r="H67" s="343">
        <v>3.6593305298537602</v>
      </c>
      <c r="I67" s="343">
        <v>85.674170831107901</v>
      </c>
      <c r="J67" s="343">
        <v>376.44757563129502</v>
      </c>
      <c r="K67" s="343">
        <v>6.8837902603931704</v>
      </c>
      <c r="L67" s="343">
        <v>1147.3856386427501</v>
      </c>
      <c r="M67" s="343">
        <v>11869.5464020079</v>
      </c>
    </row>
    <row r="68" spans="3:25" x14ac:dyDescent="0.25">
      <c r="C68" s="40" t="s">
        <v>173</v>
      </c>
      <c r="D68" s="205">
        <f t="shared" si="8"/>
        <v>45473</v>
      </c>
      <c r="E68" s="343" t="s">
        <v>869</v>
      </c>
      <c r="F68" s="343">
        <v>901.68134004409501</v>
      </c>
      <c r="G68" s="343">
        <v>9566.8654561767798</v>
      </c>
      <c r="H68" s="343">
        <v>0</v>
      </c>
      <c r="I68" s="343">
        <v>83.994038575284506</v>
      </c>
      <c r="J68" s="343">
        <v>409.36962212401698</v>
      </c>
      <c r="K68" s="343">
        <v>5.6408128059835096</v>
      </c>
      <c r="L68" s="343">
        <v>1054.5868155896001</v>
      </c>
      <c r="M68" s="343">
        <v>12022.138085315801</v>
      </c>
    </row>
    <row r="75" spans="3:25" x14ac:dyDescent="0.25">
      <c r="E75" t="s">
        <v>656</v>
      </c>
      <c r="F75" t="s">
        <v>657</v>
      </c>
      <c r="G75" t="s">
        <v>658</v>
      </c>
      <c r="H75" t="s">
        <v>659</v>
      </c>
      <c r="O75" t="s">
        <v>660</v>
      </c>
      <c r="R75" t="s">
        <v>679</v>
      </c>
      <c r="T75" t="s">
        <v>316</v>
      </c>
      <c r="U75" t="s">
        <v>654</v>
      </c>
      <c r="V75" t="s">
        <v>651</v>
      </c>
      <c r="W75" t="s">
        <v>653</v>
      </c>
      <c r="X75" t="s">
        <v>182</v>
      </c>
      <c r="Y75" t="s">
        <v>679</v>
      </c>
    </row>
    <row r="76" spans="3:25" s="405" customFormat="1" x14ac:dyDescent="0.25">
      <c r="F76" s="405" t="s">
        <v>316</v>
      </c>
      <c r="G76" s="405" t="s">
        <v>666</v>
      </c>
      <c r="H76" s="405" t="s">
        <v>655</v>
      </c>
      <c r="I76" s="405" t="s">
        <v>652</v>
      </c>
      <c r="J76" s="405" t="s">
        <v>651</v>
      </c>
      <c r="K76" s="405" t="s">
        <v>650</v>
      </c>
      <c r="L76" s="405" t="s">
        <v>653</v>
      </c>
      <c r="M76" s="405" t="s">
        <v>182</v>
      </c>
      <c r="O76" s="405" t="s">
        <v>660</v>
      </c>
      <c r="P76" s="405" t="s">
        <v>297</v>
      </c>
    </row>
    <row r="77" spans="3:25" x14ac:dyDescent="0.25">
      <c r="C77" s="40" t="s">
        <v>662</v>
      </c>
      <c r="D77" s="205">
        <v>35246</v>
      </c>
      <c r="E77" s="343" t="s">
        <v>624</v>
      </c>
      <c r="F77" s="407">
        <v>134.72</v>
      </c>
      <c r="G77" s="407">
        <v>336.76</v>
      </c>
      <c r="H77" s="407">
        <v>0</v>
      </c>
      <c r="I77" s="407">
        <v>9.0399999999999991</v>
      </c>
      <c r="J77" s="407">
        <v>87.65</v>
      </c>
      <c r="K77" s="407">
        <v>15.05</v>
      </c>
      <c r="L77" s="407">
        <v>122.39</v>
      </c>
      <c r="M77" s="407">
        <v>705.62</v>
      </c>
      <c r="O77" s="57">
        <f t="shared" ref="O77:O100" si="9">SUM(F77:K77)</f>
        <v>583.22</v>
      </c>
      <c r="P77" s="57">
        <f t="shared" ref="P77:P102" si="10">H77+I77+K77</f>
        <v>24.09</v>
      </c>
      <c r="Q77" s="204">
        <f>L77/M77</f>
        <v>0.17345029902780534</v>
      </c>
      <c r="R77" s="343">
        <v>46.31</v>
      </c>
      <c r="T77" s="203">
        <f t="shared" ref="T77:T100" si="11">F77/F$77</f>
        <v>1</v>
      </c>
      <c r="U77" s="203">
        <f t="shared" ref="U77:U100" si="12">G77/G$77</f>
        <v>1</v>
      </c>
      <c r="V77" s="203">
        <f t="shared" ref="V77:V100" si="13">J77/J$77</f>
        <v>1</v>
      </c>
      <c r="W77" s="203">
        <f t="shared" ref="W77:W100" si="14">L77/L$77</f>
        <v>1</v>
      </c>
      <c r="X77" s="203">
        <f>O77/O$77</f>
        <v>1</v>
      </c>
      <c r="Y77" s="203">
        <f>R77/R$77</f>
        <v>1</v>
      </c>
    </row>
    <row r="78" spans="3:25" x14ac:dyDescent="0.25">
      <c r="C78" s="40" t="s">
        <v>663</v>
      </c>
      <c r="D78" s="205">
        <f>EOMONTH(D77,12)</f>
        <v>35611</v>
      </c>
      <c r="E78" s="343" t="s">
        <v>625</v>
      </c>
      <c r="F78" s="407">
        <v>144.57</v>
      </c>
      <c r="G78" s="407">
        <v>363.37</v>
      </c>
      <c r="H78" s="407">
        <v>0</v>
      </c>
      <c r="I78" s="407">
        <v>9.24</v>
      </c>
      <c r="J78" s="407">
        <v>84.43</v>
      </c>
      <c r="K78" s="407">
        <v>10.67</v>
      </c>
      <c r="L78" s="407">
        <v>122.72</v>
      </c>
      <c r="M78" s="407">
        <v>734.99</v>
      </c>
      <c r="O78" s="57">
        <f t="shared" si="9"/>
        <v>612.27999999999986</v>
      </c>
      <c r="P78" s="57">
        <f t="shared" si="10"/>
        <v>19.91</v>
      </c>
      <c r="Q78" s="204">
        <f t="shared" ref="Q78:Q102" si="15">L78/M78</f>
        <v>0.16696825807153839</v>
      </c>
      <c r="R78" s="343">
        <v>46.47</v>
      </c>
      <c r="T78" s="203">
        <f t="shared" si="11"/>
        <v>1.0731146080760094</v>
      </c>
      <c r="U78" s="203">
        <f t="shared" si="12"/>
        <v>1.079017698063903</v>
      </c>
      <c r="V78" s="203">
        <f t="shared" si="13"/>
        <v>0.96326297775242442</v>
      </c>
      <c r="W78" s="203">
        <f t="shared" si="14"/>
        <v>1.0026962987172154</v>
      </c>
      <c r="X78" s="203">
        <f t="shared" ref="X78:X102" si="16">O78/O$77</f>
        <v>1.0498268234971362</v>
      </c>
      <c r="Y78" s="203">
        <f t="shared" ref="Y78:Y100" si="17">R78/R$77</f>
        <v>1.0034549773267112</v>
      </c>
    </row>
    <row r="79" spans="3:25" x14ac:dyDescent="0.25">
      <c r="C79" s="40" t="s">
        <v>664</v>
      </c>
      <c r="D79" s="205">
        <f t="shared" ref="D79:D105" si="18">EOMONTH(D78,12)</f>
        <v>35976</v>
      </c>
      <c r="E79" s="343" t="s">
        <v>626</v>
      </c>
      <c r="F79" s="407">
        <v>161.37</v>
      </c>
      <c r="G79" s="407">
        <v>424.23</v>
      </c>
      <c r="H79" s="407">
        <v>0</v>
      </c>
      <c r="I79" s="407">
        <v>12.37</v>
      </c>
      <c r="J79" s="407">
        <v>87.69</v>
      </c>
      <c r="K79" s="407">
        <v>12</v>
      </c>
      <c r="L79" s="407">
        <v>120.51</v>
      </c>
      <c r="M79" s="407">
        <v>818.16</v>
      </c>
      <c r="O79" s="57">
        <f t="shared" si="9"/>
        <v>697.66000000000008</v>
      </c>
      <c r="P79" s="57">
        <f t="shared" si="10"/>
        <v>24.369999999999997</v>
      </c>
      <c r="Q79" s="204">
        <f t="shared" si="15"/>
        <v>0.14729392783807568</v>
      </c>
      <c r="R79" s="343">
        <v>46.78</v>
      </c>
      <c r="T79" s="203">
        <f t="shared" si="11"/>
        <v>1.1978176959619953</v>
      </c>
      <c r="U79" s="203">
        <f t="shared" si="12"/>
        <v>1.2597398740943107</v>
      </c>
      <c r="V79" s="203">
        <f t="shared" si="13"/>
        <v>1.0004563605248145</v>
      </c>
      <c r="W79" s="203">
        <f t="shared" si="14"/>
        <v>0.98463926791404532</v>
      </c>
      <c r="X79" s="203">
        <f t="shared" si="16"/>
        <v>1.1962209800761292</v>
      </c>
      <c r="Y79" s="203">
        <f>R79/R$77</f>
        <v>1.0101489958972143</v>
      </c>
    </row>
    <row r="80" spans="3:25" x14ac:dyDescent="0.25">
      <c r="C80" s="40" t="s">
        <v>665</v>
      </c>
      <c r="D80" s="205">
        <f t="shared" si="18"/>
        <v>36341</v>
      </c>
      <c r="E80" s="343" t="s">
        <v>627</v>
      </c>
      <c r="F80" s="407">
        <v>156.605005288428</v>
      </c>
      <c r="G80" s="407">
        <v>489.22461177113502</v>
      </c>
      <c r="H80" s="407">
        <v>9.7097599258288599E-3</v>
      </c>
      <c r="I80" s="407">
        <v>12.7311373545138</v>
      </c>
      <c r="J80" s="407">
        <v>92.600995157578495</v>
      </c>
      <c r="K80" s="407">
        <v>11.747452999675</v>
      </c>
      <c r="L80" s="407">
        <v>125.12582081830401</v>
      </c>
      <c r="M80" s="407">
        <v>888.04473314955999</v>
      </c>
      <c r="O80" s="57">
        <f t="shared" si="9"/>
        <v>762.91891233125614</v>
      </c>
      <c r="P80" s="57">
        <f t="shared" si="10"/>
        <v>24.488300114114629</v>
      </c>
      <c r="Q80" s="204">
        <f t="shared" si="15"/>
        <v>0.14090035799720343</v>
      </c>
      <c r="R80" s="343">
        <v>47.29</v>
      </c>
      <c r="T80" s="203">
        <f t="shared" si="11"/>
        <v>1.1624480796350061</v>
      </c>
      <c r="U80" s="203">
        <f t="shared" si="12"/>
        <v>1.452739671490483</v>
      </c>
      <c r="V80" s="203">
        <f t="shared" si="13"/>
        <v>1.056485968711677</v>
      </c>
      <c r="W80" s="203">
        <f t="shared" si="14"/>
        <v>1.0223533035240135</v>
      </c>
      <c r="X80" s="203">
        <f t="shared" si="16"/>
        <v>1.3081151406523372</v>
      </c>
      <c r="Y80" s="203">
        <f t="shared" si="17"/>
        <v>1.0211617361261065</v>
      </c>
    </row>
    <row r="81" spans="3:25" x14ac:dyDescent="0.25">
      <c r="C81" s="40" t="s">
        <v>149</v>
      </c>
      <c r="D81" s="205">
        <f t="shared" si="18"/>
        <v>36707</v>
      </c>
      <c r="E81" s="343" t="s">
        <v>628</v>
      </c>
      <c r="F81" s="407">
        <v>166.43599430098601</v>
      </c>
      <c r="G81" s="407">
        <v>539.22320217860999</v>
      </c>
      <c r="H81" s="407">
        <v>0.37950688198780202</v>
      </c>
      <c r="I81" s="407">
        <v>12.9047838579034</v>
      </c>
      <c r="J81" s="407">
        <v>92.047303370700206</v>
      </c>
      <c r="K81" s="407">
        <v>2.34796899357621</v>
      </c>
      <c r="L81" s="407">
        <v>124.582803089821</v>
      </c>
      <c r="M81" s="407">
        <v>937.92156267358496</v>
      </c>
      <c r="O81" s="57">
        <f t="shared" si="9"/>
        <v>813.33875958376359</v>
      </c>
      <c r="P81" s="57">
        <f t="shared" si="10"/>
        <v>15.632259733467411</v>
      </c>
      <c r="Q81" s="204">
        <f t="shared" si="15"/>
        <v>0.1328285946798072</v>
      </c>
      <c r="R81" s="343">
        <v>48.77</v>
      </c>
      <c r="T81" s="203">
        <f t="shared" si="11"/>
        <v>1.235421572899243</v>
      </c>
      <c r="U81" s="203">
        <f t="shared" si="12"/>
        <v>1.6012091762044482</v>
      </c>
      <c r="V81" s="203">
        <f t="shared" si="13"/>
        <v>1.0501688918505443</v>
      </c>
      <c r="W81" s="203">
        <f t="shared" si="14"/>
        <v>1.0179165216914863</v>
      </c>
      <c r="X81" s="203">
        <f t="shared" si="16"/>
        <v>1.3945659606730969</v>
      </c>
      <c r="Y81" s="203">
        <f t="shared" si="17"/>
        <v>1.0531202763981862</v>
      </c>
    </row>
    <row r="82" spans="3:25" x14ac:dyDescent="0.25">
      <c r="C82" s="40" t="s">
        <v>150</v>
      </c>
      <c r="D82" s="205">
        <f t="shared" si="18"/>
        <v>37072</v>
      </c>
      <c r="E82" s="343" t="s">
        <v>629</v>
      </c>
      <c r="F82" s="407">
        <v>176.60396706899701</v>
      </c>
      <c r="G82" s="407">
        <v>577.69860724705904</v>
      </c>
      <c r="H82" s="407">
        <v>1.0257434383181101</v>
      </c>
      <c r="I82" s="407">
        <v>12.260314408556701</v>
      </c>
      <c r="J82" s="407">
        <v>99.101864267173298</v>
      </c>
      <c r="K82" s="407">
        <v>2.0577224412693802</v>
      </c>
      <c r="L82" s="407">
        <v>127.631800601919</v>
      </c>
      <c r="M82" s="407">
        <v>996.38001947329303</v>
      </c>
      <c r="O82" s="57">
        <f t="shared" si="9"/>
        <v>868.74821887137352</v>
      </c>
      <c r="P82" s="57">
        <f t="shared" si="10"/>
        <v>15.343780288144192</v>
      </c>
      <c r="Q82" s="204">
        <f t="shared" si="15"/>
        <v>0.12809550383134718</v>
      </c>
      <c r="R82" s="343">
        <v>51.73</v>
      </c>
      <c r="T82" s="203">
        <f t="shared" si="11"/>
        <v>1.3108964301439803</v>
      </c>
      <c r="U82" s="203">
        <f t="shared" si="12"/>
        <v>1.7154608838551462</v>
      </c>
      <c r="V82" s="203">
        <f t="shared" si="13"/>
        <v>1.1306544696768202</v>
      </c>
      <c r="W82" s="203">
        <f t="shared" si="14"/>
        <v>1.042828667390465</v>
      </c>
      <c r="X82" s="203">
        <f t="shared" si="16"/>
        <v>1.4895720634946907</v>
      </c>
      <c r="Y82" s="203">
        <f t="shared" si="17"/>
        <v>1.1170373569423449</v>
      </c>
    </row>
    <row r="83" spans="3:25" x14ac:dyDescent="0.25">
      <c r="C83" s="40" t="s">
        <v>151</v>
      </c>
      <c r="D83" s="205">
        <f t="shared" si="18"/>
        <v>37437</v>
      </c>
      <c r="E83" s="343" t="s">
        <v>630</v>
      </c>
      <c r="F83" s="407">
        <v>174.01043504866601</v>
      </c>
      <c r="G83" s="407">
        <v>610.02755775396395</v>
      </c>
      <c r="H83" s="407">
        <v>1.03817510245514</v>
      </c>
      <c r="I83" s="407">
        <v>7.0151052972210701</v>
      </c>
      <c r="J83" s="407">
        <v>98.509691270301403</v>
      </c>
      <c r="K83" s="407">
        <v>1.93376704203189</v>
      </c>
      <c r="L83" s="407">
        <v>133.897294214233</v>
      </c>
      <c r="M83" s="407">
        <v>1026.43202572887</v>
      </c>
      <c r="N83" s="57"/>
      <c r="O83" s="57">
        <f t="shared" si="9"/>
        <v>892.5347315146397</v>
      </c>
      <c r="P83" s="57">
        <f t="shared" si="10"/>
        <v>9.9870474417080999</v>
      </c>
      <c r="Q83" s="204">
        <f t="shared" si="15"/>
        <v>0.13044925612015315</v>
      </c>
      <c r="R83" s="343">
        <v>53.2</v>
      </c>
      <c r="T83" s="203">
        <f t="shared" si="11"/>
        <v>1.291645153270977</v>
      </c>
      <c r="U83" s="203">
        <f t="shared" si="12"/>
        <v>1.8114608556656491</v>
      </c>
      <c r="V83" s="203">
        <f t="shared" si="13"/>
        <v>1.1238983601859829</v>
      </c>
      <c r="W83" s="203">
        <f t="shared" si="14"/>
        <v>1.0940215231165373</v>
      </c>
      <c r="X83" s="203">
        <f t="shared" si="16"/>
        <v>1.5303568662162472</v>
      </c>
      <c r="Y83" s="203">
        <f t="shared" si="17"/>
        <v>1.148779961131505</v>
      </c>
    </row>
    <row r="84" spans="3:25" x14ac:dyDescent="0.25">
      <c r="C84" s="40" t="s">
        <v>152</v>
      </c>
      <c r="D84" s="205">
        <f t="shared" si="18"/>
        <v>37802</v>
      </c>
      <c r="E84" s="343" t="s">
        <v>631</v>
      </c>
      <c r="F84" s="407">
        <v>172.32606168990199</v>
      </c>
      <c r="G84" s="407">
        <v>612.03189555384097</v>
      </c>
      <c r="H84" s="407">
        <v>1.25032610093327</v>
      </c>
      <c r="I84" s="407">
        <v>9.2004797400713407</v>
      </c>
      <c r="J84" s="407">
        <v>105.193873368391</v>
      </c>
      <c r="K84" s="407">
        <v>1.86547602375127</v>
      </c>
      <c r="L84" s="407">
        <v>139.386445434759</v>
      </c>
      <c r="M84" s="407">
        <v>1041.25455791165</v>
      </c>
      <c r="N84" s="57"/>
      <c r="O84" s="57">
        <f t="shared" si="9"/>
        <v>901.86811247688991</v>
      </c>
      <c r="P84" s="57">
        <f t="shared" si="10"/>
        <v>12.316281864755881</v>
      </c>
      <c r="Q84" s="204">
        <f t="shared" si="15"/>
        <v>0.13386394746190958</v>
      </c>
      <c r="R84" s="343">
        <v>54.62</v>
      </c>
      <c r="T84" s="203">
        <f t="shared" si="11"/>
        <v>1.2791423819024792</v>
      </c>
      <c r="U84" s="203">
        <f t="shared" si="12"/>
        <v>1.8174126842672556</v>
      </c>
      <c r="V84" s="203">
        <f t="shared" si="13"/>
        <v>1.2001582814419964</v>
      </c>
      <c r="W84" s="203">
        <f t="shared" si="14"/>
        <v>1.1388711940089795</v>
      </c>
      <c r="X84" s="203">
        <f t="shared" si="16"/>
        <v>1.5463600570571823</v>
      </c>
      <c r="Y84" s="203">
        <f t="shared" si="17"/>
        <v>1.1794428849060676</v>
      </c>
    </row>
    <row r="85" spans="3:25" x14ac:dyDescent="0.25">
      <c r="C85" s="40" t="s">
        <v>153</v>
      </c>
      <c r="D85" s="205">
        <f t="shared" si="18"/>
        <v>38168</v>
      </c>
      <c r="E85" s="343" t="s">
        <v>632</v>
      </c>
      <c r="F85" s="407">
        <v>179.26038758531999</v>
      </c>
      <c r="G85" s="407">
        <v>634.67210815869498</v>
      </c>
      <c r="H85" s="407">
        <v>0.97640533265687002</v>
      </c>
      <c r="I85" s="407">
        <v>12.494238989165201</v>
      </c>
      <c r="J85" s="407">
        <v>106.424591534111</v>
      </c>
      <c r="K85" s="407">
        <v>1.47238573754201</v>
      </c>
      <c r="L85" s="407">
        <v>144.729887449475</v>
      </c>
      <c r="M85" s="407">
        <v>1080.03000478697</v>
      </c>
      <c r="N85" s="57"/>
      <c r="O85" s="57">
        <f t="shared" si="9"/>
        <v>935.30011733749006</v>
      </c>
      <c r="P85" s="57">
        <f t="shared" si="10"/>
        <v>14.943030059364082</v>
      </c>
      <c r="Q85" s="204">
        <f t="shared" si="15"/>
        <v>0.13400543207873394</v>
      </c>
      <c r="R85" s="343">
        <v>55.97</v>
      </c>
      <c r="T85" s="203">
        <f t="shared" si="11"/>
        <v>1.3306145159242873</v>
      </c>
      <c r="U85" s="203">
        <f t="shared" si="12"/>
        <v>1.8846422026330176</v>
      </c>
      <c r="V85" s="203">
        <f t="shared" si="13"/>
        <v>1.2141995611421676</v>
      </c>
      <c r="W85" s="203">
        <f t="shared" si="14"/>
        <v>1.182530332947749</v>
      </c>
      <c r="X85" s="203">
        <f t="shared" si="16"/>
        <v>1.6036832024578891</v>
      </c>
      <c r="Y85" s="203">
        <f t="shared" si="17"/>
        <v>1.2085942561001943</v>
      </c>
    </row>
    <row r="86" spans="3:25" x14ac:dyDescent="0.25">
      <c r="C86" s="40" t="s">
        <v>154</v>
      </c>
      <c r="D86" s="205">
        <f t="shared" si="18"/>
        <v>38533</v>
      </c>
      <c r="E86" s="343" t="s">
        <v>633</v>
      </c>
      <c r="F86" s="407">
        <v>172.94239606591799</v>
      </c>
      <c r="G86" s="407">
        <v>661.68863346463797</v>
      </c>
      <c r="H86" s="407">
        <v>0.92415199468868203</v>
      </c>
      <c r="I86" s="407">
        <v>13.668732343002899</v>
      </c>
      <c r="J86" s="407">
        <v>106.631213312272</v>
      </c>
      <c r="K86" s="407">
        <v>1.45314708327963</v>
      </c>
      <c r="L86" s="407">
        <v>151.29541367288101</v>
      </c>
      <c r="M86" s="407">
        <v>1108.60368793668</v>
      </c>
      <c r="N86" s="57"/>
      <c r="O86" s="57">
        <f t="shared" si="9"/>
        <v>957.30827426379915</v>
      </c>
      <c r="P86" s="57">
        <f t="shared" si="10"/>
        <v>16.046031420971211</v>
      </c>
      <c r="Q86" s="204">
        <f t="shared" si="15"/>
        <v>0.1364738502308884</v>
      </c>
      <c r="R86" s="343">
        <v>57.35</v>
      </c>
      <c r="T86" s="203">
        <f t="shared" si="11"/>
        <v>1.2837173104655433</v>
      </c>
      <c r="U86" s="203">
        <f t="shared" si="12"/>
        <v>1.964867066945712</v>
      </c>
      <c r="V86" s="203">
        <f t="shared" si="13"/>
        <v>1.2165569117201596</v>
      </c>
      <c r="W86" s="203">
        <f t="shared" si="14"/>
        <v>1.2361746357780947</v>
      </c>
      <c r="X86" s="203">
        <f t="shared" si="16"/>
        <v>1.641418802962517</v>
      </c>
      <c r="Y86" s="203">
        <f t="shared" si="17"/>
        <v>1.2383934355430792</v>
      </c>
    </row>
    <row r="87" spans="3:25" x14ac:dyDescent="0.25">
      <c r="C87" s="40" t="s">
        <v>155</v>
      </c>
      <c r="D87" s="205">
        <f t="shared" si="18"/>
        <v>38898</v>
      </c>
      <c r="E87" s="343" t="s">
        <v>634</v>
      </c>
      <c r="F87" s="407">
        <v>189.254114307425</v>
      </c>
      <c r="G87" s="407">
        <v>670.178667610959</v>
      </c>
      <c r="H87" s="407">
        <v>0.95244889375381903</v>
      </c>
      <c r="I87" s="407">
        <v>13.6121493562271</v>
      </c>
      <c r="J87" s="407">
        <v>108.639266679557</v>
      </c>
      <c r="K87" s="407">
        <v>1.3683423238061501</v>
      </c>
      <c r="L87" s="407">
        <v>153.34711932661699</v>
      </c>
      <c r="M87" s="407">
        <v>1137.3521084983499</v>
      </c>
      <c r="N87" s="57"/>
      <c r="O87" s="57">
        <f t="shared" si="9"/>
        <v>984.00498917172797</v>
      </c>
      <c r="P87" s="57">
        <f t="shared" si="10"/>
        <v>15.93294057378707</v>
      </c>
      <c r="Q87" s="204">
        <f t="shared" si="15"/>
        <v>0.13482818397293142</v>
      </c>
      <c r="R87" s="343">
        <v>59.65</v>
      </c>
      <c r="T87" s="203">
        <f t="shared" si="11"/>
        <v>1.4047959791228102</v>
      </c>
      <c r="U87" s="203">
        <f t="shared" si="12"/>
        <v>1.9900780009827741</v>
      </c>
      <c r="V87" s="203">
        <f t="shared" si="13"/>
        <v>1.2394668189339075</v>
      </c>
      <c r="W87" s="203">
        <f t="shared" si="14"/>
        <v>1.2529383064516464</v>
      </c>
      <c r="X87" s="203">
        <f t="shared" si="16"/>
        <v>1.6871934933159491</v>
      </c>
      <c r="Y87" s="203">
        <f t="shared" si="17"/>
        <v>1.288058734614554</v>
      </c>
    </row>
    <row r="88" spans="3:25" x14ac:dyDescent="0.25">
      <c r="C88" s="40" t="s">
        <v>156</v>
      </c>
      <c r="D88" s="205">
        <f t="shared" si="18"/>
        <v>39263</v>
      </c>
      <c r="E88" s="343" t="s">
        <v>635</v>
      </c>
      <c r="F88" s="407">
        <v>195.64775015407801</v>
      </c>
      <c r="G88" s="407">
        <v>670.85601649402304</v>
      </c>
      <c r="H88" s="407">
        <v>0.43197061991017999</v>
      </c>
      <c r="I88" s="407">
        <v>12.7922785061452</v>
      </c>
      <c r="J88" s="407">
        <v>110.94774366690901</v>
      </c>
      <c r="K88" s="407">
        <v>1.34283761703141</v>
      </c>
      <c r="L88" s="407">
        <v>162.915451182596</v>
      </c>
      <c r="M88" s="407">
        <v>1154.9340482406899</v>
      </c>
      <c r="N88" s="57"/>
      <c r="O88" s="57">
        <f t="shared" si="9"/>
        <v>992.01859705809682</v>
      </c>
      <c r="P88" s="57">
        <f t="shared" si="10"/>
        <v>14.56708674308679</v>
      </c>
      <c r="Q88" s="204">
        <f t="shared" si="15"/>
        <v>0.14106039338849261</v>
      </c>
      <c r="R88" s="343">
        <v>60.9</v>
      </c>
      <c r="T88" s="203">
        <f t="shared" si="11"/>
        <v>1.4522546775094864</v>
      </c>
      <c r="U88" s="203">
        <f t="shared" si="12"/>
        <v>1.9920893707507514</v>
      </c>
      <c r="V88" s="203">
        <f t="shared" si="13"/>
        <v>1.2658042631706674</v>
      </c>
      <c r="W88" s="203">
        <f t="shared" si="14"/>
        <v>1.3311173395097311</v>
      </c>
      <c r="X88" s="203">
        <f t="shared" si="16"/>
        <v>1.7009337763761476</v>
      </c>
      <c r="Y88" s="203">
        <f t="shared" si="17"/>
        <v>1.3150507449794859</v>
      </c>
    </row>
    <row r="89" spans="3:25" x14ac:dyDescent="0.25">
      <c r="C89" s="40" t="s">
        <v>157</v>
      </c>
      <c r="D89" s="205">
        <f t="shared" si="18"/>
        <v>39629</v>
      </c>
      <c r="E89" s="343" t="s">
        <v>636</v>
      </c>
      <c r="F89" s="407">
        <v>199.30321075600401</v>
      </c>
      <c r="G89" s="407">
        <v>632.13477708210996</v>
      </c>
      <c r="H89" s="407">
        <v>0.234067438795415</v>
      </c>
      <c r="I89" s="407">
        <v>14.179583618792501</v>
      </c>
      <c r="J89" s="407">
        <v>115.200617232298</v>
      </c>
      <c r="K89" s="407">
        <v>1.3847903896912499</v>
      </c>
      <c r="L89" s="407">
        <v>161.04044794834601</v>
      </c>
      <c r="M89" s="407">
        <v>1123.4774944660401</v>
      </c>
      <c r="N89" s="57"/>
      <c r="O89" s="57">
        <f t="shared" si="9"/>
        <v>962.4370465176911</v>
      </c>
      <c r="P89" s="57">
        <f t="shared" si="10"/>
        <v>15.798441447279167</v>
      </c>
      <c r="Q89" s="204">
        <f t="shared" si="15"/>
        <v>0.14334105377418743</v>
      </c>
      <c r="R89" s="343">
        <v>63.63</v>
      </c>
      <c r="T89" s="203">
        <f t="shared" si="11"/>
        <v>1.4793884408848279</v>
      </c>
      <c r="U89" s="203">
        <f t="shared" si="12"/>
        <v>1.8771076644557252</v>
      </c>
      <c r="V89" s="203">
        <f t="shared" si="13"/>
        <v>1.3143253534774444</v>
      </c>
      <c r="W89" s="203">
        <f t="shared" si="14"/>
        <v>1.3157974340088734</v>
      </c>
      <c r="X89" s="203">
        <f t="shared" si="16"/>
        <v>1.6502126924962983</v>
      </c>
      <c r="Y89" s="203">
        <f t="shared" si="17"/>
        <v>1.3740012956164975</v>
      </c>
    </row>
    <row r="90" spans="3:25" x14ac:dyDescent="0.25">
      <c r="C90" s="40" t="s">
        <v>158</v>
      </c>
      <c r="D90" s="205">
        <f t="shared" si="18"/>
        <v>39994</v>
      </c>
      <c r="E90" s="343" t="s">
        <v>637</v>
      </c>
      <c r="F90" s="407">
        <v>210.067479426159</v>
      </c>
      <c r="G90" s="407">
        <v>635.024787740188</v>
      </c>
      <c r="H90" s="407">
        <v>4.6163317263221398E-2</v>
      </c>
      <c r="I90" s="407">
        <v>15.7754825712094</v>
      </c>
      <c r="J90" s="407">
        <v>121.079604794688</v>
      </c>
      <c r="K90" s="407">
        <v>1.4088001052839101</v>
      </c>
      <c r="L90" s="407">
        <v>171.53978506031899</v>
      </c>
      <c r="M90" s="407">
        <v>1154.94210301511</v>
      </c>
      <c r="N90" s="57"/>
      <c r="O90" s="57">
        <f t="shared" si="9"/>
        <v>983.40231795479156</v>
      </c>
      <c r="P90" s="57">
        <f t="shared" si="10"/>
        <v>17.230445993756533</v>
      </c>
      <c r="Q90" s="204">
        <f t="shared" si="15"/>
        <v>0.14852673966296193</v>
      </c>
      <c r="R90" s="343">
        <v>64.55</v>
      </c>
      <c r="T90" s="203">
        <f t="shared" si="11"/>
        <v>1.5592894850516552</v>
      </c>
      <c r="U90" s="203">
        <f t="shared" si="12"/>
        <v>1.8856894754133151</v>
      </c>
      <c r="V90" s="203">
        <f t="shared" si="13"/>
        <v>1.3813987997112149</v>
      </c>
      <c r="W90" s="203">
        <f t="shared" si="14"/>
        <v>1.4015833406350109</v>
      </c>
      <c r="X90" s="203">
        <f t="shared" si="16"/>
        <v>1.6861601418929246</v>
      </c>
      <c r="Y90" s="203">
        <f t="shared" si="17"/>
        <v>1.3938674152450874</v>
      </c>
    </row>
    <row r="91" spans="3:25" x14ac:dyDescent="0.25">
      <c r="C91" s="40" t="s">
        <v>159</v>
      </c>
      <c r="D91" s="205">
        <f t="shared" si="18"/>
        <v>40359</v>
      </c>
      <c r="E91" s="343" t="s">
        <v>638</v>
      </c>
      <c r="F91" s="407">
        <v>209.214381529641</v>
      </c>
      <c r="G91" s="407">
        <v>607.63279414170097</v>
      </c>
      <c r="H91" s="407">
        <v>0</v>
      </c>
      <c r="I91" s="407">
        <v>15.5633266212243</v>
      </c>
      <c r="J91" s="407">
        <v>88.540446388477605</v>
      </c>
      <c r="K91" s="407">
        <v>1.1842625797512401</v>
      </c>
      <c r="L91" s="407">
        <v>174.82103465500001</v>
      </c>
      <c r="M91" s="407">
        <v>1096.9562459157901</v>
      </c>
      <c r="N91" s="57"/>
      <c r="O91" s="57">
        <f t="shared" si="9"/>
        <v>922.13521126079513</v>
      </c>
      <c r="P91" s="57">
        <f t="shared" si="10"/>
        <v>16.74758920097554</v>
      </c>
      <c r="Q91" s="204">
        <f t="shared" si="15"/>
        <v>0.15936919572307215</v>
      </c>
      <c r="R91" s="343">
        <v>66.52</v>
      </c>
      <c r="T91" s="203">
        <f t="shared" si="11"/>
        <v>1.5529571075537485</v>
      </c>
      <c r="U91" s="203">
        <f t="shared" si="12"/>
        <v>1.8043496678397106</v>
      </c>
      <c r="V91" s="203">
        <f t="shared" si="13"/>
        <v>1.0101591145291227</v>
      </c>
      <c r="W91" s="203">
        <f t="shared" si="14"/>
        <v>1.4283931257047144</v>
      </c>
      <c r="X91" s="203">
        <f t="shared" si="16"/>
        <v>1.5811104064689054</v>
      </c>
      <c r="Y91" s="203">
        <f t="shared" si="17"/>
        <v>1.4364068235802201</v>
      </c>
    </row>
    <row r="92" spans="3:25" x14ac:dyDescent="0.25">
      <c r="C92" s="40" t="s">
        <v>160</v>
      </c>
      <c r="D92" s="205">
        <f t="shared" si="18"/>
        <v>40724</v>
      </c>
      <c r="E92" s="343" t="s">
        <v>639</v>
      </c>
      <c r="F92" s="407">
        <v>215.90682773039899</v>
      </c>
      <c r="G92" s="407">
        <v>620.93381669130395</v>
      </c>
      <c r="H92" s="407">
        <v>0</v>
      </c>
      <c r="I92" s="407">
        <v>16.6692163696355</v>
      </c>
      <c r="J92" s="407">
        <v>103.757039967629</v>
      </c>
      <c r="K92" s="407">
        <v>1.44988687480642</v>
      </c>
      <c r="L92" s="407">
        <v>176.44571279509699</v>
      </c>
      <c r="M92" s="407">
        <v>1135.1625004288701</v>
      </c>
      <c r="N92" s="57"/>
      <c r="O92" s="57">
        <f t="shared" si="9"/>
        <v>958.71678763377383</v>
      </c>
      <c r="P92" s="57">
        <f t="shared" si="10"/>
        <v>18.11910324444192</v>
      </c>
      <c r="Q92" s="204">
        <f t="shared" si="15"/>
        <v>0.15543652360647478</v>
      </c>
      <c r="R92" s="343">
        <v>68.930000000000007</v>
      </c>
      <c r="T92" s="203">
        <f t="shared" si="11"/>
        <v>1.6026338162885911</v>
      </c>
      <c r="U92" s="203">
        <f t="shared" si="12"/>
        <v>1.8438467059368808</v>
      </c>
      <c r="V92" s="203">
        <f t="shared" si="13"/>
        <v>1.183765430320924</v>
      </c>
      <c r="W92" s="203">
        <f t="shared" si="14"/>
        <v>1.4416677244472342</v>
      </c>
      <c r="X92" s="203">
        <f t="shared" si="16"/>
        <v>1.6438338665233938</v>
      </c>
      <c r="Y92" s="203">
        <f t="shared" si="17"/>
        <v>1.4884474195638091</v>
      </c>
    </row>
    <row r="93" spans="3:25" x14ac:dyDescent="0.25">
      <c r="C93" s="40" t="s">
        <v>161</v>
      </c>
      <c r="D93" s="205">
        <f t="shared" si="18"/>
        <v>41090</v>
      </c>
      <c r="E93" s="343" t="s">
        <v>640</v>
      </c>
      <c r="F93" s="407">
        <v>234.46698552349699</v>
      </c>
      <c r="G93" s="407">
        <v>626.86972043528101</v>
      </c>
      <c r="H93" s="407">
        <v>0</v>
      </c>
      <c r="I93" s="407">
        <v>17.646499980911599</v>
      </c>
      <c r="J93" s="407">
        <v>113.081048348954</v>
      </c>
      <c r="K93" s="407">
        <v>1.39677366081984</v>
      </c>
      <c r="L93" s="407">
        <v>187.10705969636101</v>
      </c>
      <c r="M93" s="407">
        <v>1180.56808764582</v>
      </c>
      <c r="N93" s="57"/>
      <c r="O93" s="57">
        <f t="shared" si="9"/>
        <v>993.46102794946341</v>
      </c>
      <c r="P93" s="57">
        <f t="shared" si="10"/>
        <v>19.043273641731439</v>
      </c>
      <c r="Q93" s="204">
        <f t="shared" si="15"/>
        <v>0.15848900343348485</v>
      </c>
      <c r="R93" s="343">
        <v>69.739999999999995</v>
      </c>
      <c r="T93" s="203">
        <f t="shared" si="11"/>
        <v>1.7404022084582615</v>
      </c>
      <c r="U93" s="203">
        <f t="shared" si="12"/>
        <v>1.8614732166387962</v>
      </c>
      <c r="V93" s="203">
        <f t="shared" si="13"/>
        <v>1.2901431642778549</v>
      </c>
      <c r="W93" s="203">
        <f t="shared" si="14"/>
        <v>1.5287773486098619</v>
      </c>
      <c r="X93" s="203">
        <f t="shared" si="16"/>
        <v>1.7034069955582172</v>
      </c>
      <c r="Y93" s="203">
        <f t="shared" si="17"/>
        <v>1.5059382422802849</v>
      </c>
    </row>
    <row r="94" spans="3:25" x14ac:dyDescent="0.25">
      <c r="C94" s="40" t="s">
        <v>162</v>
      </c>
      <c r="D94" s="205">
        <f t="shared" si="18"/>
        <v>41455</v>
      </c>
      <c r="E94" s="343" t="s">
        <v>641</v>
      </c>
      <c r="F94" s="407">
        <v>232.35340828505699</v>
      </c>
      <c r="G94" s="407">
        <v>610.74788619246999</v>
      </c>
      <c r="H94" s="407">
        <v>0</v>
      </c>
      <c r="I94" s="407">
        <v>18.11863984747</v>
      </c>
      <c r="J94" s="407">
        <v>121.47694963059701</v>
      </c>
      <c r="K94" s="407">
        <v>1.4193719967053899</v>
      </c>
      <c r="L94" s="407">
        <v>188.853707244937</v>
      </c>
      <c r="M94" s="407">
        <v>1172.9699631972401</v>
      </c>
      <c r="N94" s="57"/>
      <c r="O94" s="57">
        <f t="shared" si="9"/>
        <v>984.11625595229941</v>
      </c>
      <c r="P94" s="57">
        <f t="shared" si="10"/>
        <v>19.53801184417539</v>
      </c>
      <c r="Q94" s="204">
        <f t="shared" si="15"/>
        <v>0.16100472575628982</v>
      </c>
      <c r="R94" s="343">
        <v>71.38</v>
      </c>
      <c r="T94" s="203">
        <f t="shared" si="11"/>
        <v>1.7247135413083208</v>
      </c>
      <c r="U94" s="203">
        <f t="shared" si="12"/>
        <v>1.8135998520978442</v>
      </c>
      <c r="V94" s="203">
        <f t="shared" si="13"/>
        <v>1.3859321121574102</v>
      </c>
      <c r="W94" s="203">
        <f t="shared" si="14"/>
        <v>1.5430485108663861</v>
      </c>
      <c r="X94" s="203">
        <f t="shared" si="16"/>
        <v>1.687384273434209</v>
      </c>
      <c r="Y94" s="203">
        <f t="shared" si="17"/>
        <v>1.5413517598790756</v>
      </c>
    </row>
    <row r="95" spans="3:25" x14ac:dyDescent="0.25">
      <c r="C95" s="40" t="s">
        <v>163</v>
      </c>
      <c r="D95" s="205">
        <f t="shared" si="18"/>
        <v>41820</v>
      </c>
      <c r="E95" s="343" t="s">
        <v>642</v>
      </c>
      <c r="F95" s="407">
        <v>243.351605394541</v>
      </c>
      <c r="G95" s="407">
        <v>612.84386115057396</v>
      </c>
      <c r="H95" s="407">
        <v>0</v>
      </c>
      <c r="I95" s="407">
        <v>18.1406793263682</v>
      </c>
      <c r="J95" s="407">
        <v>108.29685899499501</v>
      </c>
      <c r="K95" s="407">
        <v>1.48625411784824</v>
      </c>
      <c r="L95" s="407">
        <v>195.926122484318</v>
      </c>
      <c r="M95" s="407">
        <v>1180.04538146864</v>
      </c>
      <c r="N95" s="57"/>
      <c r="O95" s="57">
        <f t="shared" si="9"/>
        <v>984.11925898432639</v>
      </c>
      <c r="P95" s="57">
        <f t="shared" si="10"/>
        <v>19.626933444216441</v>
      </c>
      <c r="Q95" s="204">
        <f t="shared" si="15"/>
        <v>0.16603270142075022</v>
      </c>
      <c r="R95" s="343">
        <v>73.569999999999993</v>
      </c>
      <c r="T95" s="203">
        <f t="shared" si="11"/>
        <v>1.8063509901613792</v>
      </c>
      <c r="U95" s="203">
        <f t="shared" si="12"/>
        <v>1.819823794840759</v>
      </c>
      <c r="V95" s="203">
        <f t="shared" si="13"/>
        <v>1.2355602851682259</v>
      </c>
      <c r="W95" s="203">
        <f t="shared" si="14"/>
        <v>1.6008344021923195</v>
      </c>
      <c r="X95" s="203">
        <f t="shared" si="16"/>
        <v>1.6873894224895003</v>
      </c>
      <c r="Y95" s="203">
        <f t="shared" si="17"/>
        <v>1.5886417620384363</v>
      </c>
    </row>
    <row r="96" spans="3:25" x14ac:dyDescent="0.25">
      <c r="C96" s="40" t="s">
        <v>164</v>
      </c>
      <c r="D96" s="205">
        <f t="shared" si="18"/>
        <v>42185</v>
      </c>
      <c r="E96" s="343" t="s">
        <v>643</v>
      </c>
      <c r="F96" s="407">
        <v>282.49492217591899</v>
      </c>
      <c r="G96" s="407">
        <v>632.70971391071703</v>
      </c>
      <c r="H96" s="407">
        <v>0</v>
      </c>
      <c r="I96" s="407">
        <v>17.841703088121999</v>
      </c>
      <c r="J96" s="407">
        <v>108.82313352853301</v>
      </c>
      <c r="K96" s="407">
        <v>1.2606250931546801</v>
      </c>
      <c r="L96" s="407">
        <v>207.573257331853</v>
      </c>
      <c r="M96" s="407">
        <v>1250.7033551283</v>
      </c>
      <c r="N96" s="57"/>
      <c r="O96" s="57">
        <f t="shared" si="9"/>
        <v>1043.1300977964456</v>
      </c>
      <c r="P96" s="57">
        <f t="shared" si="10"/>
        <v>19.102328181276679</v>
      </c>
      <c r="Q96" s="204">
        <f t="shared" si="15"/>
        <v>0.16596521987466778</v>
      </c>
      <c r="R96" s="343">
        <v>74.69</v>
      </c>
      <c r="T96" s="203">
        <f t="shared" si="11"/>
        <v>2.0969041135385909</v>
      </c>
      <c r="U96" s="203">
        <f t="shared" si="12"/>
        <v>1.8788149243102419</v>
      </c>
      <c r="V96" s="203">
        <f t="shared" si="13"/>
        <v>1.2415645582262749</v>
      </c>
      <c r="W96" s="203">
        <f t="shared" si="14"/>
        <v>1.6959985074912411</v>
      </c>
      <c r="X96" s="203">
        <f t="shared" si="16"/>
        <v>1.7885705184946428</v>
      </c>
      <c r="Y96" s="203">
        <f t="shared" si="17"/>
        <v>1.6128266033254155</v>
      </c>
    </row>
    <row r="97" spans="3:25" x14ac:dyDescent="0.25">
      <c r="C97" s="40" t="s">
        <v>165</v>
      </c>
      <c r="D97" s="205">
        <f t="shared" si="18"/>
        <v>42551</v>
      </c>
      <c r="E97" s="343" t="s">
        <v>644</v>
      </c>
      <c r="F97" s="407">
        <v>279.24052890012899</v>
      </c>
      <c r="G97" s="407">
        <v>649.02978195021899</v>
      </c>
      <c r="H97" s="407">
        <v>4.3002545213144801E-4</v>
      </c>
      <c r="I97" s="407">
        <v>18.590224574341999</v>
      </c>
      <c r="J97" s="407">
        <v>114.940604064816</v>
      </c>
      <c r="K97" s="407">
        <v>1.7077385767770099</v>
      </c>
      <c r="L97" s="407">
        <v>216.06640399278601</v>
      </c>
      <c r="M97" s="407">
        <v>1279.5757120845201</v>
      </c>
      <c r="N97" s="57"/>
      <c r="O97" s="57">
        <f t="shared" si="9"/>
        <v>1063.5093080917352</v>
      </c>
      <c r="P97" s="57">
        <f t="shared" si="10"/>
        <v>20.298393176571143</v>
      </c>
      <c r="Q97" s="204">
        <f t="shared" si="15"/>
        <v>0.16885785026413047</v>
      </c>
      <c r="R97" s="343">
        <v>75.45</v>
      </c>
      <c r="T97" s="203">
        <f t="shared" si="11"/>
        <v>2.0727473938548768</v>
      </c>
      <c r="U97" s="203">
        <f t="shared" si="12"/>
        <v>1.927276938918574</v>
      </c>
      <c r="V97" s="203">
        <f t="shared" si="13"/>
        <v>1.3113588598381745</v>
      </c>
      <c r="W97" s="203">
        <f t="shared" si="14"/>
        <v>1.765392630057897</v>
      </c>
      <c r="X97" s="203">
        <f t="shared" si="16"/>
        <v>1.8235130964159925</v>
      </c>
      <c r="Y97" s="203">
        <f t="shared" si="17"/>
        <v>1.6292377456272944</v>
      </c>
    </row>
    <row r="98" spans="3:25" x14ac:dyDescent="0.25">
      <c r="C98" s="40" t="s">
        <v>166</v>
      </c>
      <c r="D98" s="205">
        <f t="shared" si="18"/>
        <v>42916</v>
      </c>
      <c r="E98" s="343" t="s">
        <v>645</v>
      </c>
      <c r="F98" s="407">
        <v>253.162624519481</v>
      </c>
      <c r="G98" s="407">
        <v>641.422646625835</v>
      </c>
      <c r="H98" s="407">
        <v>2.4126881074216499E-4</v>
      </c>
      <c r="I98" s="407">
        <v>18.856996446160601</v>
      </c>
      <c r="J98" s="407">
        <v>105.874396846075</v>
      </c>
      <c r="K98" s="407">
        <v>1.8154619165374299</v>
      </c>
      <c r="L98" s="407">
        <v>231.33082934712999</v>
      </c>
      <c r="M98" s="407">
        <v>1252.4631969700299</v>
      </c>
      <c r="N98" s="57"/>
      <c r="O98" s="57">
        <f t="shared" si="9"/>
        <v>1021.1323676228998</v>
      </c>
      <c r="P98" s="57">
        <f t="shared" si="10"/>
        <v>20.672699631508774</v>
      </c>
      <c r="Q98" s="204">
        <f t="shared" si="15"/>
        <v>0.18470070011379783</v>
      </c>
      <c r="R98" s="343">
        <v>76.88</v>
      </c>
      <c r="T98" s="203">
        <f t="shared" si="11"/>
        <v>1.8791762508868839</v>
      </c>
      <c r="U98" s="203">
        <f t="shared" si="12"/>
        <v>1.9046877498094639</v>
      </c>
      <c r="V98" s="203">
        <f t="shared" si="13"/>
        <v>1.2079223827276098</v>
      </c>
      <c r="W98" s="203">
        <f t="shared" si="14"/>
        <v>1.8901121770334994</v>
      </c>
      <c r="X98" s="203">
        <f t="shared" si="16"/>
        <v>1.7508527958967453</v>
      </c>
      <c r="Y98" s="203">
        <f t="shared" si="17"/>
        <v>1.6601166054847762</v>
      </c>
    </row>
    <row r="99" spans="3:25" x14ac:dyDescent="0.25">
      <c r="C99" s="40" t="s">
        <v>167</v>
      </c>
      <c r="D99" s="205">
        <f t="shared" si="18"/>
        <v>43281</v>
      </c>
      <c r="E99" s="343" t="s">
        <v>646</v>
      </c>
      <c r="F99" s="407">
        <v>264.95015225594699</v>
      </c>
      <c r="G99" s="407">
        <v>650.37425453559104</v>
      </c>
      <c r="H99" s="407">
        <v>5.1945074213537901E-5</v>
      </c>
      <c r="I99" s="407">
        <v>18.4233695829436</v>
      </c>
      <c r="J99" s="407">
        <v>108.842594581545</v>
      </c>
      <c r="K99" s="407">
        <v>1.79781901853055</v>
      </c>
      <c r="L99" s="407">
        <v>256.95870079800102</v>
      </c>
      <c r="M99" s="407">
        <v>1301.3469427176301</v>
      </c>
      <c r="N99" s="57"/>
      <c r="O99" s="57">
        <f t="shared" si="9"/>
        <v>1044.3882419196314</v>
      </c>
      <c r="P99" s="57">
        <f t="shared" si="10"/>
        <v>20.221240546548362</v>
      </c>
      <c r="Q99" s="204">
        <f t="shared" si="15"/>
        <v>0.19745595303077962</v>
      </c>
      <c r="R99" s="343">
        <v>78.489999999999995</v>
      </c>
      <c r="T99" s="203">
        <f t="shared" si="11"/>
        <v>1.9666727453677775</v>
      </c>
      <c r="U99" s="203">
        <f t="shared" si="12"/>
        <v>1.9312693150480789</v>
      </c>
      <c r="V99" s="203">
        <f t="shared" si="13"/>
        <v>1.241786589635425</v>
      </c>
      <c r="W99" s="203">
        <f t="shared" si="14"/>
        <v>2.0995073192090938</v>
      </c>
      <c r="X99" s="203">
        <f t="shared" si="16"/>
        <v>1.7907277561119841</v>
      </c>
      <c r="Y99" s="203">
        <f t="shared" si="17"/>
        <v>1.6948823148348087</v>
      </c>
    </row>
    <row r="100" spans="3:25" x14ac:dyDescent="0.25">
      <c r="C100" s="40" t="s">
        <v>168</v>
      </c>
      <c r="D100" s="205">
        <f t="shared" si="18"/>
        <v>43646</v>
      </c>
      <c r="E100" s="343" t="s">
        <v>647</v>
      </c>
      <c r="F100" s="407">
        <v>248.273966106698</v>
      </c>
      <c r="G100" s="407">
        <v>649.681939336563</v>
      </c>
      <c r="H100" s="407">
        <v>4.1788901118187699E-2</v>
      </c>
      <c r="I100" s="407">
        <v>18.315192655237901</v>
      </c>
      <c r="J100" s="407">
        <v>131.99550819577601</v>
      </c>
      <c r="K100" s="407">
        <v>1.6303290970473401</v>
      </c>
      <c r="L100" s="407">
        <v>256.97231438183002</v>
      </c>
      <c r="M100" s="407">
        <v>1306.91103867427</v>
      </c>
      <c r="N100" s="57"/>
      <c r="O100" s="57">
        <f t="shared" si="9"/>
        <v>1049.9387242924404</v>
      </c>
      <c r="P100" s="57">
        <f t="shared" si="10"/>
        <v>19.98731065340343</v>
      </c>
      <c r="Q100" s="204">
        <f t="shared" si="15"/>
        <v>0.19662571267475301</v>
      </c>
      <c r="R100" s="343">
        <v>79.7</v>
      </c>
      <c r="T100" s="203">
        <f t="shared" si="11"/>
        <v>1.8428887032860599</v>
      </c>
      <c r="U100" s="203">
        <f t="shared" si="12"/>
        <v>1.9292135031968256</v>
      </c>
      <c r="V100" s="203">
        <f t="shared" si="13"/>
        <v>1.505938484834866</v>
      </c>
      <c r="W100" s="203">
        <f t="shared" si="14"/>
        <v>2.0996185503867149</v>
      </c>
      <c r="X100" s="203">
        <f t="shared" si="16"/>
        <v>1.800244717760777</v>
      </c>
      <c r="Y100" s="203">
        <f t="shared" si="17"/>
        <v>1.7210105808680631</v>
      </c>
    </row>
    <row r="101" spans="3:25" x14ac:dyDescent="0.25">
      <c r="C101" s="40" t="s">
        <v>169</v>
      </c>
      <c r="D101" s="205">
        <f>EOMONTH(D100,12)</f>
        <v>44012</v>
      </c>
      <c r="E101" s="343" t="s">
        <v>648</v>
      </c>
      <c r="F101" s="407">
        <v>176.819075221079</v>
      </c>
      <c r="G101" s="407">
        <v>513.11442427102395</v>
      </c>
      <c r="H101" s="407">
        <v>0.19069079728728</v>
      </c>
      <c r="I101" s="407">
        <v>15.423248848169701</v>
      </c>
      <c r="J101" s="407">
        <v>132.030312829156</v>
      </c>
      <c r="K101" s="407">
        <v>1.46917448041915</v>
      </c>
      <c r="L101" s="407">
        <v>230.60314224624599</v>
      </c>
      <c r="M101" s="407">
        <v>1069.65006869338</v>
      </c>
      <c r="N101" s="57"/>
      <c r="O101" s="57">
        <f>SUM(F101:K101)</f>
        <v>839.04692644713521</v>
      </c>
      <c r="P101" s="57">
        <f t="shared" si="10"/>
        <v>17.083114125876129</v>
      </c>
      <c r="Q101" s="204">
        <f t="shared" si="15"/>
        <v>0.21558746079260938</v>
      </c>
      <c r="R101" s="343">
        <v>79.44</v>
      </c>
      <c r="T101" s="203">
        <f t="shared" ref="T101:U105" si="19">F101/F$77</f>
        <v>1.3124931355483893</v>
      </c>
      <c r="U101" s="203">
        <f t="shared" si="19"/>
        <v>1.5236798440165815</v>
      </c>
      <c r="V101" s="203">
        <f>J101/J$77</f>
        <v>1.5063355713537478</v>
      </c>
      <c r="W101" s="203">
        <f>L101/L$77</f>
        <v>1.8841665352254759</v>
      </c>
      <c r="X101" s="203">
        <f t="shared" si="16"/>
        <v>1.4386456679248572</v>
      </c>
      <c r="Y101" s="203">
        <f>R101/R$77</f>
        <v>1.715396242712157</v>
      </c>
    </row>
    <row r="102" spans="3:25" x14ac:dyDescent="0.25">
      <c r="C102" s="40" t="s">
        <v>170</v>
      </c>
      <c r="D102" s="205">
        <f t="shared" si="18"/>
        <v>44377</v>
      </c>
      <c r="E102" s="343" t="s">
        <v>649</v>
      </c>
      <c r="F102" s="407">
        <v>136.25261056625399</v>
      </c>
      <c r="G102" s="407">
        <v>608.30480820934804</v>
      </c>
      <c r="H102" s="407">
        <v>0.55561822301937203</v>
      </c>
      <c r="I102" s="407">
        <v>20.945685361594499</v>
      </c>
      <c r="J102" s="407">
        <v>141.71874670618701</v>
      </c>
      <c r="K102" s="407">
        <v>2.2277159866597702</v>
      </c>
      <c r="L102" s="407">
        <v>289.04353722765097</v>
      </c>
      <c r="M102" s="407">
        <v>1199.0487222807101</v>
      </c>
      <c r="N102" s="57"/>
      <c r="O102" s="57">
        <f>SUM(F102:K102)</f>
        <v>910.00518505306275</v>
      </c>
      <c r="P102" s="57">
        <f t="shared" si="10"/>
        <v>23.729019571273643</v>
      </c>
      <c r="Q102" s="204">
        <f t="shared" si="15"/>
        <v>0.24106071075899349</v>
      </c>
      <c r="R102" s="343">
        <v>82.47</v>
      </c>
      <c r="T102" s="203">
        <f t="shared" si="19"/>
        <v>1.0113762660796763</v>
      </c>
      <c r="U102" s="203">
        <f t="shared" si="19"/>
        <v>1.8063451960130301</v>
      </c>
      <c r="V102" s="203">
        <f>J102/J$77</f>
        <v>1.6168710405725841</v>
      </c>
      <c r="W102" s="203">
        <f>L102/L$77</f>
        <v>2.3616597534737394</v>
      </c>
      <c r="X102" s="203">
        <f t="shared" si="16"/>
        <v>1.5603120350006219</v>
      </c>
      <c r="Y102" s="203">
        <f>R102/R$77</f>
        <v>1.7808248758367522</v>
      </c>
    </row>
    <row r="103" spans="3:25" x14ac:dyDescent="0.25">
      <c r="C103" s="40" t="s">
        <v>171</v>
      </c>
      <c r="D103" s="205">
        <f t="shared" si="18"/>
        <v>44742</v>
      </c>
      <c r="E103" s="343" t="s">
        <v>867</v>
      </c>
      <c r="F103" s="407">
        <v>140.28310297630199</v>
      </c>
      <c r="G103" s="407">
        <v>635.99504178317295</v>
      </c>
      <c r="H103" s="407">
        <v>0.89878826878120399</v>
      </c>
      <c r="I103" s="407">
        <v>20.4374697886145</v>
      </c>
      <c r="J103" s="407">
        <v>155.74576081568199</v>
      </c>
      <c r="K103" s="407">
        <v>2.52232264015981</v>
      </c>
      <c r="L103" s="407">
        <v>409.64215476310301</v>
      </c>
      <c r="M103" s="407">
        <v>1365.52464103582</v>
      </c>
      <c r="O103" s="57">
        <f>SUM(F103:K103)</f>
        <v>955.88248627271253</v>
      </c>
      <c r="P103" s="57">
        <f>H103+I103+K103</f>
        <v>23.858580697555514</v>
      </c>
      <c r="Q103" s="204">
        <f>L103/M103</f>
        <v>0.29998884125032599</v>
      </c>
      <c r="R103" s="343">
        <v>87.59</v>
      </c>
      <c r="T103" s="203">
        <f t="shared" si="19"/>
        <v>1.04129381662932</v>
      </c>
      <c r="U103" s="203">
        <f t="shared" si="19"/>
        <v>1.8885706193822691</v>
      </c>
      <c r="V103" s="203">
        <f>J103/J$77</f>
        <v>1.7769054285873587</v>
      </c>
      <c r="W103" s="203">
        <f>L103/L$77</f>
        <v>3.3470230800155485</v>
      </c>
      <c r="X103" s="203">
        <f>O103/O$77</f>
        <v>1.6389741200108234</v>
      </c>
      <c r="Y103" s="203">
        <f>R103/R$77</f>
        <v>1.8913841502915136</v>
      </c>
    </row>
    <row r="104" spans="3:25" x14ac:dyDescent="0.25">
      <c r="C104" s="40" t="s">
        <v>172</v>
      </c>
      <c r="D104" s="205">
        <f t="shared" si="18"/>
        <v>45107</v>
      </c>
      <c r="E104" s="343" t="s">
        <v>868</v>
      </c>
      <c r="F104" s="407">
        <v>175.244589522664</v>
      </c>
      <c r="G104" s="407">
        <v>764.92369414116297</v>
      </c>
      <c r="H104" s="407">
        <v>2.1544910765092302</v>
      </c>
      <c r="I104" s="407">
        <v>22.959468868433699</v>
      </c>
      <c r="J104" s="407">
        <v>150.83098268597701</v>
      </c>
      <c r="K104" s="407">
        <v>2.96002981196906</v>
      </c>
      <c r="L104" s="407">
        <v>407.70676734269398</v>
      </c>
      <c r="M104" s="407">
        <v>1526.78002344941</v>
      </c>
      <c r="O104" s="57">
        <f>SUM(F104:K104)</f>
        <v>1119.0732561067157</v>
      </c>
      <c r="P104" s="57">
        <f>H104+I104+K104</f>
        <v>28.073989756911992</v>
      </c>
      <c r="Q104" s="204">
        <f>L104/M104</f>
        <v>0.2670370066943723</v>
      </c>
      <c r="R104" s="343">
        <v>92.87</v>
      </c>
      <c r="T104" s="203">
        <f t="shared" si="19"/>
        <v>1.3008060386183491</v>
      </c>
      <c r="U104" s="203">
        <f t="shared" si="19"/>
        <v>2.2714208758200587</v>
      </c>
      <c r="V104" s="203">
        <f>J104/J$77</f>
        <v>1.7208326604218711</v>
      </c>
      <c r="W104" s="203">
        <f>L104/L$77</f>
        <v>3.3312097993520222</v>
      </c>
      <c r="X104" s="203">
        <f>O104/O$77</f>
        <v>1.9187840885201393</v>
      </c>
      <c r="Y104" s="203">
        <f>R104/R$77</f>
        <v>2.0053984020729865</v>
      </c>
    </row>
    <row r="105" spans="3:25" x14ac:dyDescent="0.25">
      <c r="C105" s="40" t="s">
        <v>173</v>
      </c>
      <c r="D105" s="205">
        <f t="shared" si="18"/>
        <v>45473</v>
      </c>
      <c r="E105" s="343" t="s">
        <v>869</v>
      </c>
      <c r="F105" s="407">
        <v>163.788745146503</v>
      </c>
      <c r="G105" s="407">
        <v>770.12964989734803</v>
      </c>
      <c r="H105" s="407">
        <v>0</v>
      </c>
      <c r="I105" s="407">
        <v>22.174009901038101</v>
      </c>
      <c r="J105" s="407">
        <v>164.342680173009</v>
      </c>
      <c r="K105" s="407">
        <v>2.4255495174443902</v>
      </c>
      <c r="L105" s="407">
        <v>398.41507060047701</v>
      </c>
      <c r="M105" s="407">
        <v>1521.2757052358199</v>
      </c>
      <c r="O105" s="57">
        <f>SUM(F105:K105)</f>
        <v>1122.8606346353424</v>
      </c>
      <c r="P105" s="57">
        <f>H105+I105+K105</f>
        <v>24.599559418482492</v>
      </c>
      <c r="Q105" s="204">
        <f>L105/M105</f>
        <v>0.26189537453943423</v>
      </c>
      <c r="R105" s="343">
        <v>96.41</v>
      </c>
      <c r="T105" s="203">
        <f t="shared" si="19"/>
        <v>1.2157715643297433</v>
      </c>
      <c r="U105" s="203">
        <f t="shared" si="19"/>
        <v>2.2868798250901179</v>
      </c>
      <c r="V105" s="203">
        <f>J105/J$77</f>
        <v>1.874987794329823</v>
      </c>
      <c r="W105" s="203">
        <f>L105/L$77</f>
        <v>3.2552910417556746</v>
      </c>
      <c r="X105" s="203">
        <f>O105/O$77</f>
        <v>1.9252779991004121</v>
      </c>
      <c r="Y105" s="203">
        <f>R105/R$77</f>
        <v>2.0818397754264737</v>
      </c>
    </row>
    <row r="106" spans="3:25" x14ac:dyDescent="0.25">
      <c r="R106" s="343">
        <v>98.43</v>
      </c>
    </row>
    <row r="112" spans="3:25" x14ac:dyDescent="0.25">
      <c r="L112">
        <f>5815000000/L102</f>
        <v>20118076.521531425</v>
      </c>
    </row>
    <row r="114" spans="3:18" x14ac:dyDescent="0.25">
      <c r="F114" s="57">
        <f t="shared" ref="F114:L114" si="20">F100-F91</f>
        <v>39.059584577056995</v>
      </c>
      <c r="G114" s="57">
        <f t="shared" si="20"/>
        <v>42.049145194862035</v>
      </c>
      <c r="H114" s="57">
        <f t="shared" si="20"/>
        <v>4.1788901118187699E-2</v>
      </c>
      <c r="I114" s="57">
        <f t="shared" si="20"/>
        <v>2.7518660340136005</v>
      </c>
      <c r="J114" s="57">
        <f t="shared" si="20"/>
        <v>43.455061807298407</v>
      </c>
      <c r="K114" s="57">
        <f t="shared" si="20"/>
        <v>0.44606651729610003</v>
      </c>
      <c r="L114" s="57">
        <f t="shared" si="20"/>
        <v>82.151279726830012</v>
      </c>
      <c r="M114" s="57">
        <f>M100-M91</f>
        <v>209.95479275847993</v>
      </c>
    </row>
    <row r="115" spans="3:18" x14ac:dyDescent="0.25">
      <c r="F115" s="57">
        <f>F100-F92</f>
        <v>32.36713837629901</v>
      </c>
      <c r="G115" s="57">
        <f t="shared" ref="G115:M115" si="21">G100-G92</f>
        <v>28.748122645259059</v>
      </c>
      <c r="H115" s="57">
        <f t="shared" si="21"/>
        <v>4.1788901118187699E-2</v>
      </c>
      <c r="I115" s="57">
        <f t="shared" si="21"/>
        <v>1.6459762856024014</v>
      </c>
      <c r="J115" s="57">
        <f t="shared" si="21"/>
        <v>28.238468228147013</v>
      </c>
      <c r="K115" s="57">
        <f t="shared" si="21"/>
        <v>0.1804422222409201</v>
      </c>
      <c r="L115" s="57">
        <f t="shared" si="21"/>
        <v>80.526601586733022</v>
      </c>
      <c r="M115" s="57">
        <f t="shared" si="21"/>
        <v>171.74853824539991</v>
      </c>
    </row>
    <row r="118" spans="3:18" x14ac:dyDescent="0.25">
      <c r="F118" t="s">
        <v>871</v>
      </c>
    </row>
    <row r="119" spans="3:18" s="405" customFormat="1" x14ac:dyDescent="0.25">
      <c r="F119" s="405" t="s">
        <v>316</v>
      </c>
      <c r="G119" s="405" t="s">
        <v>666</v>
      </c>
      <c r="H119" s="405" t="s">
        <v>655</v>
      </c>
      <c r="I119" s="405" t="s">
        <v>652</v>
      </c>
      <c r="J119" s="405" t="s">
        <v>651</v>
      </c>
      <c r="K119" s="405" t="s">
        <v>650</v>
      </c>
      <c r="L119" s="405" t="s">
        <v>653</v>
      </c>
      <c r="M119" s="405" t="s">
        <v>182</v>
      </c>
    </row>
    <row r="120" spans="3:18" x14ac:dyDescent="0.25">
      <c r="C120" s="40" t="s">
        <v>665</v>
      </c>
      <c r="D120" s="205">
        <v>36341</v>
      </c>
      <c r="E120" s="343" t="s">
        <v>627</v>
      </c>
      <c r="F120" s="407">
        <v>2193.4920000000002</v>
      </c>
      <c r="G120" s="407">
        <v>6852.3370000000004</v>
      </c>
      <c r="H120" s="407">
        <v>0.13600000000000001</v>
      </c>
      <c r="I120" s="407">
        <v>178.31899999999999</v>
      </c>
      <c r="J120" s="407">
        <v>1297.0182</v>
      </c>
      <c r="K120" s="407">
        <v>164.541</v>
      </c>
      <c r="L120" s="407">
        <v>1752.578</v>
      </c>
      <c r="M120" s="407">
        <v>12438.421200000001</v>
      </c>
      <c r="P120" s="57">
        <f>F120+G120</f>
        <v>9045.8290000000015</v>
      </c>
      <c r="Q120" s="57">
        <f>P120</f>
        <v>9045.8290000000015</v>
      </c>
      <c r="R120" s="57"/>
    </row>
    <row r="121" spans="3:18" x14ac:dyDescent="0.25">
      <c r="C121" s="40" t="s">
        <v>149</v>
      </c>
      <c r="D121" s="205">
        <f t="shared" ref="D121:D145" si="22">EOMONTH(D120,12)</f>
        <v>36707</v>
      </c>
      <c r="E121" s="343" t="s">
        <v>628</v>
      </c>
      <c r="F121" s="407">
        <v>2362.5149999999999</v>
      </c>
      <c r="G121" s="407">
        <v>7654.1310000000003</v>
      </c>
      <c r="H121" s="407">
        <v>5.3869999999999996</v>
      </c>
      <c r="I121" s="407">
        <v>183.18</v>
      </c>
      <c r="J121" s="407">
        <v>1306.587170859</v>
      </c>
      <c r="K121" s="407">
        <v>33.328800000000001</v>
      </c>
      <c r="L121" s="407">
        <v>1768.42</v>
      </c>
      <c r="M121" s="407">
        <v>13313.548970858999</v>
      </c>
      <c r="P121" s="57">
        <f t="shared" ref="P121:P145" si="23">F121+G121</f>
        <v>10016.646000000001</v>
      </c>
      <c r="Q121" s="57">
        <f t="shared" ref="Q121:Q140" si="24">P121</f>
        <v>10016.646000000001</v>
      </c>
      <c r="R121" s="57"/>
    </row>
    <row r="122" spans="3:18" x14ac:dyDescent="0.25">
      <c r="C122" s="40" t="s">
        <v>150</v>
      </c>
      <c r="D122" s="205">
        <f t="shared" si="22"/>
        <v>37072</v>
      </c>
      <c r="E122" s="343" t="s">
        <v>629</v>
      </c>
      <c r="F122" s="407">
        <v>2543.3200000000002</v>
      </c>
      <c r="G122" s="407">
        <v>8319.5889999999999</v>
      </c>
      <c r="H122" s="407">
        <v>14.772</v>
      </c>
      <c r="I122" s="407">
        <v>176.56399999999999</v>
      </c>
      <c r="J122" s="407">
        <v>1427.191912</v>
      </c>
      <c r="K122" s="407">
        <v>29.633800000000001</v>
      </c>
      <c r="L122" s="407">
        <v>1838.059</v>
      </c>
      <c r="M122" s="407">
        <v>14349.129712</v>
      </c>
      <c r="P122" s="57">
        <f t="shared" si="23"/>
        <v>10862.909</v>
      </c>
      <c r="Q122" s="57">
        <f t="shared" si="24"/>
        <v>10862.909</v>
      </c>
      <c r="R122" s="57"/>
    </row>
    <row r="123" spans="3:18" x14ac:dyDescent="0.25">
      <c r="C123" s="40" t="s">
        <v>151</v>
      </c>
      <c r="D123" s="205">
        <f t="shared" si="22"/>
        <v>37437</v>
      </c>
      <c r="E123" s="343" t="s">
        <v>630</v>
      </c>
      <c r="F123" s="407">
        <v>2543.3420000000001</v>
      </c>
      <c r="G123" s="407">
        <v>8916.1820000000007</v>
      </c>
      <c r="H123" s="407">
        <v>15.173999999999999</v>
      </c>
      <c r="I123" s="407">
        <v>102.533</v>
      </c>
      <c r="J123" s="407">
        <v>1439.8207506619999</v>
      </c>
      <c r="K123" s="407">
        <v>28.263999999999999</v>
      </c>
      <c r="L123" s="407">
        <v>1957.0470700000001</v>
      </c>
      <c r="M123" s="407">
        <v>15002.362820662</v>
      </c>
      <c r="P123" s="57">
        <f t="shared" si="23"/>
        <v>11459.524000000001</v>
      </c>
      <c r="Q123" s="57">
        <f t="shared" si="24"/>
        <v>11459.524000000001</v>
      </c>
      <c r="R123" s="57"/>
    </row>
    <row r="124" spans="3:18" x14ac:dyDescent="0.25">
      <c r="C124" s="40" t="s">
        <v>152</v>
      </c>
      <c r="D124" s="205">
        <f t="shared" si="22"/>
        <v>37802</v>
      </c>
      <c r="E124" s="343" t="s">
        <v>631</v>
      </c>
      <c r="F124" s="407">
        <v>2555.6869999999999</v>
      </c>
      <c r="G124" s="407">
        <v>9076.7579999999998</v>
      </c>
      <c r="H124" s="407">
        <v>18.542999999999999</v>
      </c>
      <c r="I124" s="407">
        <v>136.44800000000001</v>
      </c>
      <c r="J124" s="407">
        <v>1560.0809999999999</v>
      </c>
      <c r="K124" s="407">
        <v>27.666</v>
      </c>
      <c r="L124" s="407">
        <v>2067.1750000000002</v>
      </c>
      <c r="M124" s="407">
        <v>15442.358</v>
      </c>
      <c r="P124" s="57">
        <f t="shared" si="23"/>
        <v>11632.445</v>
      </c>
      <c r="Q124" s="57">
        <f t="shared" si="24"/>
        <v>11632.445</v>
      </c>
      <c r="R124" s="57"/>
    </row>
    <row r="125" spans="3:18" x14ac:dyDescent="0.25">
      <c r="C125" s="40" t="s">
        <v>153</v>
      </c>
      <c r="D125" s="205">
        <f t="shared" si="22"/>
        <v>38168</v>
      </c>
      <c r="E125" s="343" t="s">
        <v>632</v>
      </c>
      <c r="F125" s="407">
        <v>2696.6019999999999</v>
      </c>
      <c r="G125" s="407">
        <v>9547.33</v>
      </c>
      <c r="H125" s="407">
        <v>14.688000000000001</v>
      </c>
      <c r="I125" s="407">
        <v>187.95</v>
      </c>
      <c r="J125" s="407">
        <v>1600.9380000000001</v>
      </c>
      <c r="K125" s="407">
        <v>22.149000000000001</v>
      </c>
      <c r="L125" s="407">
        <v>2177.1619999999998</v>
      </c>
      <c r="M125" s="407">
        <v>16246.819</v>
      </c>
      <c r="P125" s="57">
        <f t="shared" si="23"/>
        <v>12243.932000000001</v>
      </c>
      <c r="Q125" s="57">
        <f t="shared" si="24"/>
        <v>12243.932000000001</v>
      </c>
      <c r="R125" s="57"/>
    </row>
    <row r="126" spans="3:18" x14ac:dyDescent="0.25">
      <c r="C126" s="40" t="s">
        <v>154</v>
      </c>
      <c r="D126" s="205">
        <f t="shared" si="22"/>
        <v>38533</v>
      </c>
      <c r="E126" s="343" t="s">
        <v>633</v>
      </c>
      <c r="F126" s="407">
        <v>2638.6219999999998</v>
      </c>
      <c r="G126" s="407">
        <v>10095.536</v>
      </c>
      <c r="H126" s="407">
        <v>14.1</v>
      </c>
      <c r="I126" s="407">
        <v>208.547</v>
      </c>
      <c r="J126" s="407">
        <v>1626.8969999999999</v>
      </c>
      <c r="K126" s="407">
        <v>22.170999999999999</v>
      </c>
      <c r="L126" s="407">
        <v>2308.3490000000002</v>
      </c>
      <c r="M126" s="407">
        <v>16914.222000000002</v>
      </c>
      <c r="P126" s="57">
        <f t="shared" si="23"/>
        <v>12734.157999999999</v>
      </c>
      <c r="Q126" s="57">
        <f t="shared" si="24"/>
        <v>12734.157999999999</v>
      </c>
      <c r="R126" s="57"/>
    </row>
    <row r="127" spans="3:18" x14ac:dyDescent="0.25">
      <c r="C127" s="40" t="s">
        <v>155</v>
      </c>
      <c r="D127" s="205">
        <f t="shared" si="22"/>
        <v>38898</v>
      </c>
      <c r="E127" s="343" t="s">
        <v>634</v>
      </c>
      <c r="F127" s="407">
        <v>2931.4601200000002</v>
      </c>
      <c r="G127" s="407">
        <v>10380.762629999999</v>
      </c>
      <c r="H127" s="407">
        <v>14.753</v>
      </c>
      <c r="I127" s="407">
        <v>210.846</v>
      </c>
      <c r="J127" s="407">
        <v>1682.7728099999999</v>
      </c>
      <c r="K127" s="407">
        <v>21.195</v>
      </c>
      <c r="L127" s="407">
        <v>2375.2771054300001</v>
      </c>
      <c r="M127" s="407">
        <v>17617.06666543</v>
      </c>
      <c r="P127" s="57">
        <f t="shared" si="23"/>
        <v>13312.222749999999</v>
      </c>
      <c r="Q127" s="57">
        <f t="shared" si="24"/>
        <v>13312.222749999999</v>
      </c>
      <c r="R127" s="57"/>
    </row>
    <row r="128" spans="3:18" x14ac:dyDescent="0.25">
      <c r="C128" s="40" t="s">
        <v>156</v>
      </c>
      <c r="D128" s="205">
        <f t="shared" si="22"/>
        <v>39263</v>
      </c>
      <c r="E128" s="343" t="s">
        <v>635</v>
      </c>
      <c r="F128" s="407">
        <v>3085.2849999999999</v>
      </c>
      <c r="G128" s="407">
        <v>10579.125</v>
      </c>
      <c r="H128" s="407">
        <v>6.8120000000000003</v>
      </c>
      <c r="I128" s="407">
        <v>201.72900000000001</v>
      </c>
      <c r="J128" s="407">
        <v>1749.6005399999999</v>
      </c>
      <c r="K128" s="407">
        <v>21.175999999999998</v>
      </c>
      <c r="L128" s="407">
        <v>2569.1100327300001</v>
      </c>
      <c r="M128" s="407">
        <v>18212.837572730001</v>
      </c>
      <c r="P128" s="57">
        <f t="shared" si="23"/>
        <v>13664.41</v>
      </c>
      <c r="Q128" s="57">
        <f t="shared" si="24"/>
        <v>13664.41</v>
      </c>
      <c r="R128" s="57"/>
    </row>
    <row r="129" spans="3:18" x14ac:dyDescent="0.25">
      <c r="C129" s="40" t="s">
        <v>157</v>
      </c>
      <c r="D129" s="205">
        <f t="shared" si="22"/>
        <v>39629</v>
      </c>
      <c r="E129" s="343" t="s">
        <v>636</v>
      </c>
      <c r="F129" s="407">
        <v>3210.92250861</v>
      </c>
      <c r="G129" s="407">
        <v>10184.159986729999</v>
      </c>
      <c r="H129" s="407">
        <v>3.7709999999999999</v>
      </c>
      <c r="I129" s="407">
        <v>228.44360626</v>
      </c>
      <c r="J129" s="407">
        <v>1855.96736487</v>
      </c>
      <c r="K129" s="407">
        <v>22.31</v>
      </c>
      <c r="L129" s="407">
        <v>2594.4810279399999</v>
      </c>
      <c r="M129" s="407">
        <v>18100.05549441</v>
      </c>
      <c r="P129" s="57">
        <f t="shared" si="23"/>
        <v>13395.082495339999</v>
      </c>
      <c r="Q129" s="57">
        <f t="shared" si="24"/>
        <v>13395.082495339999</v>
      </c>
      <c r="R129" s="57"/>
    </row>
    <row r="130" spans="3:18" x14ac:dyDescent="0.25">
      <c r="C130" s="40" t="s">
        <v>158</v>
      </c>
      <c r="D130" s="205">
        <f t="shared" si="22"/>
        <v>39994</v>
      </c>
      <c r="E130" s="343" t="s">
        <v>637</v>
      </c>
      <c r="F130" s="407">
        <v>3462.9520000000002</v>
      </c>
      <c r="G130" s="407">
        <v>10468.352192169999</v>
      </c>
      <c r="H130" s="407">
        <v>0.76100000000000001</v>
      </c>
      <c r="I130" s="407">
        <v>260.05804929999999</v>
      </c>
      <c r="J130" s="407">
        <v>1995.9912916000001</v>
      </c>
      <c r="K130" s="407">
        <v>23.224</v>
      </c>
      <c r="L130" s="407">
        <v>2827.8248655000002</v>
      </c>
      <c r="M130" s="407">
        <v>19039.163398569999</v>
      </c>
      <c r="P130" s="57">
        <f t="shared" si="23"/>
        <v>13931.304192169999</v>
      </c>
      <c r="Q130" s="57">
        <f t="shared" si="24"/>
        <v>13931.304192169999</v>
      </c>
      <c r="R130" s="57"/>
    </row>
    <row r="131" spans="3:18" x14ac:dyDescent="0.25">
      <c r="C131" s="40" t="s">
        <v>159</v>
      </c>
      <c r="D131" s="205">
        <f t="shared" si="22"/>
        <v>40359</v>
      </c>
      <c r="E131" s="343" t="s">
        <v>638</v>
      </c>
      <c r="F131" s="407">
        <v>3519.9934737899998</v>
      </c>
      <c r="G131" s="407">
        <v>10223.309956999999</v>
      </c>
      <c r="H131" s="407">
        <v>0</v>
      </c>
      <c r="I131" s="407">
        <v>261.85010675000001</v>
      </c>
      <c r="J131" s="407">
        <v>1489.676719044</v>
      </c>
      <c r="K131" s="407">
        <v>19.925000000000001</v>
      </c>
      <c r="L131" s="407">
        <v>2941.331741</v>
      </c>
      <c r="M131" s="407">
        <v>18456.086997584</v>
      </c>
      <c r="P131" s="57">
        <f t="shared" si="23"/>
        <v>13743.30343079</v>
      </c>
      <c r="Q131" s="57">
        <f t="shared" si="24"/>
        <v>13743.30343079</v>
      </c>
      <c r="R131" s="57"/>
    </row>
    <row r="132" spans="3:18" x14ac:dyDescent="0.25">
      <c r="C132" s="40" t="s">
        <v>160</v>
      </c>
      <c r="D132" s="205">
        <f t="shared" si="22"/>
        <v>40724</v>
      </c>
      <c r="E132" s="343" t="s">
        <v>639</v>
      </c>
      <c r="F132" s="407">
        <v>3693.932859</v>
      </c>
      <c r="G132" s="407">
        <v>10623.507616000001</v>
      </c>
      <c r="H132" s="407">
        <v>0</v>
      </c>
      <c r="I132" s="407">
        <v>285.19230599999997</v>
      </c>
      <c r="J132" s="407">
        <v>1775.171</v>
      </c>
      <c r="K132" s="407">
        <v>24.806000000000001</v>
      </c>
      <c r="L132" s="407">
        <v>3018.7957609999999</v>
      </c>
      <c r="M132" s="407">
        <v>19421.405542</v>
      </c>
      <c r="P132" s="57">
        <f t="shared" si="23"/>
        <v>14317.440475000001</v>
      </c>
      <c r="Q132" s="57">
        <f t="shared" si="24"/>
        <v>14317.440475000001</v>
      </c>
      <c r="R132" s="57"/>
    </row>
    <row r="133" spans="3:18" x14ac:dyDescent="0.25">
      <c r="C133" s="40" t="s">
        <v>161</v>
      </c>
      <c r="D133" s="205">
        <f t="shared" si="22"/>
        <v>41090</v>
      </c>
      <c r="E133" s="343" t="s">
        <v>640</v>
      </c>
      <c r="F133" s="407">
        <v>4081.0916699999998</v>
      </c>
      <c r="G133" s="407">
        <v>10911.185592</v>
      </c>
      <c r="H133" s="407">
        <v>0</v>
      </c>
      <c r="I133" s="407">
        <v>307.15191700000003</v>
      </c>
      <c r="J133" s="407">
        <v>1968.269108</v>
      </c>
      <c r="K133" s="407">
        <v>24.312000000000001</v>
      </c>
      <c r="L133" s="407">
        <v>3256.7530179999999</v>
      </c>
      <c r="M133" s="407">
        <v>20548.763305</v>
      </c>
      <c r="P133" s="57">
        <f t="shared" si="23"/>
        <v>14992.277262</v>
      </c>
      <c r="Q133" s="57">
        <f t="shared" si="24"/>
        <v>14992.277262</v>
      </c>
      <c r="R133" s="57"/>
    </row>
    <row r="134" spans="3:18" x14ac:dyDescent="0.25">
      <c r="C134" s="40" t="s">
        <v>162</v>
      </c>
      <c r="D134" s="205">
        <f t="shared" si="22"/>
        <v>41455</v>
      </c>
      <c r="E134" s="343" t="s">
        <v>641</v>
      </c>
      <c r="F134" s="407">
        <v>4119.3860240000004</v>
      </c>
      <c r="G134" s="407">
        <v>10827.929425</v>
      </c>
      <c r="H134" s="407">
        <v>0</v>
      </c>
      <c r="I134" s="407">
        <v>321.22477700000002</v>
      </c>
      <c r="J134" s="407">
        <v>2153.6608919999999</v>
      </c>
      <c r="K134" s="407">
        <v>25.164000000000001</v>
      </c>
      <c r="L134" s="407">
        <v>3348.1812380000001</v>
      </c>
      <c r="M134" s="407">
        <v>20795.546355999999</v>
      </c>
      <c r="P134" s="57">
        <f t="shared" si="23"/>
        <v>14947.315449000002</v>
      </c>
      <c r="Q134" s="57">
        <f t="shared" si="24"/>
        <v>14947.315449000002</v>
      </c>
      <c r="R134" s="57"/>
    </row>
    <row r="135" spans="3:18" x14ac:dyDescent="0.25">
      <c r="C135" s="40" t="s">
        <v>163</v>
      </c>
      <c r="D135" s="205">
        <f t="shared" si="22"/>
        <v>41820</v>
      </c>
      <c r="E135" s="343" t="s">
        <v>642</v>
      </c>
      <c r="F135" s="407">
        <v>4388.7491060000002</v>
      </c>
      <c r="G135" s="407">
        <v>11052.39451115</v>
      </c>
      <c r="H135" s="407">
        <v>0</v>
      </c>
      <c r="I135" s="407">
        <v>327.15991351999998</v>
      </c>
      <c r="J135" s="407">
        <v>1953.0906415280001</v>
      </c>
      <c r="K135" s="407">
        <v>26.803999999999998</v>
      </c>
      <c r="L135" s="407">
        <v>3533.4494444818001</v>
      </c>
      <c r="M135" s="407">
        <v>21281.647616679798</v>
      </c>
      <c r="P135" s="57">
        <f t="shared" si="23"/>
        <v>15441.143617149999</v>
      </c>
      <c r="Q135" s="57">
        <f t="shared" si="24"/>
        <v>15441.143617149999</v>
      </c>
      <c r="R135" s="57"/>
    </row>
    <row r="136" spans="3:18" x14ac:dyDescent="0.25">
      <c r="C136" s="40" t="s">
        <v>164</v>
      </c>
      <c r="D136" s="205">
        <f t="shared" si="22"/>
        <v>42185</v>
      </c>
      <c r="E136" s="343" t="s">
        <v>643</v>
      </c>
      <c r="F136" s="407">
        <v>5174.2645679999996</v>
      </c>
      <c r="G136" s="407">
        <v>11588.90726</v>
      </c>
      <c r="H136" s="407">
        <v>0</v>
      </c>
      <c r="I136" s="407">
        <v>326.79416469</v>
      </c>
      <c r="J136" s="407">
        <v>1993.2382488799999</v>
      </c>
      <c r="K136" s="407">
        <v>23.09</v>
      </c>
      <c r="L136" s="407">
        <v>3801.9761290000001</v>
      </c>
      <c r="M136" s="407">
        <v>22908.270370570001</v>
      </c>
      <c r="P136" s="57">
        <f t="shared" si="23"/>
        <v>16763.171827999999</v>
      </c>
      <c r="Q136" s="57">
        <f t="shared" si="24"/>
        <v>16763.171827999999</v>
      </c>
      <c r="R136" s="57"/>
    </row>
    <row r="137" spans="3:18" x14ac:dyDescent="0.25">
      <c r="C137" s="40" t="s">
        <v>165</v>
      </c>
      <c r="D137" s="205">
        <f t="shared" si="22"/>
        <v>42551</v>
      </c>
      <c r="E137" s="343" t="s">
        <v>644</v>
      </c>
      <c r="F137" s="407">
        <v>5194.8651414200003</v>
      </c>
      <c r="G137" s="407">
        <v>12074.258</v>
      </c>
      <c r="H137" s="407">
        <v>8.0000000000000002E-3</v>
      </c>
      <c r="I137" s="407">
        <v>345.84417237999997</v>
      </c>
      <c r="J137" s="407">
        <v>2138.3032747500001</v>
      </c>
      <c r="K137" s="407">
        <v>31.77</v>
      </c>
      <c r="L137" s="407">
        <v>4019.6021500000002</v>
      </c>
      <c r="M137" s="407">
        <v>23804.650738550001</v>
      </c>
      <c r="P137" s="57">
        <f t="shared" si="23"/>
        <v>17269.123141420001</v>
      </c>
      <c r="Q137" s="57">
        <f t="shared" si="24"/>
        <v>17269.123141420001</v>
      </c>
      <c r="R137" s="57"/>
    </row>
    <row r="138" spans="3:18" x14ac:dyDescent="0.25">
      <c r="C138" s="40" t="s">
        <v>166</v>
      </c>
      <c r="D138" s="205">
        <f t="shared" si="22"/>
        <v>42916</v>
      </c>
      <c r="E138" s="343" t="s">
        <v>645</v>
      </c>
      <c r="F138" s="407">
        <v>4790.0405252399996</v>
      </c>
      <c r="G138" s="407">
        <v>12136.232498679999</v>
      </c>
      <c r="H138" s="407">
        <v>4.5649999999999996E-3</v>
      </c>
      <c r="I138" s="407">
        <v>356.78954321499998</v>
      </c>
      <c r="J138" s="407">
        <v>2003.22876428</v>
      </c>
      <c r="K138" s="407">
        <v>34.35</v>
      </c>
      <c r="L138" s="407">
        <v>4376.9653968999</v>
      </c>
      <c r="M138" s="407">
        <v>23697.611293314902</v>
      </c>
      <c r="P138" s="57">
        <f t="shared" si="23"/>
        <v>16926.273023919999</v>
      </c>
      <c r="Q138" s="57">
        <f t="shared" si="24"/>
        <v>16926.273023919999</v>
      </c>
      <c r="R138" s="57"/>
    </row>
    <row r="139" spans="3:18" x14ac:dyDescent="0.25">
      <c r="C139" s="40" t="s">
        <v>167</v>
      </c>
      <c r="D139" s="205">
        <f t="shared" si="22"/>
        <v>43281</v>
      </c>
      <c r="E139" s="343" t="s">
        <v>646</v>
      </c>
      <c r="F139" s="407">
        <v>5100.5828034200003</v>
      </c>
      <c r="G139" s="407">
        <v>12520.4220878</v>
      </c>
      <c r="H139" s="407">
        <v>1E-3</v>
      </c>
      <c r="I139" s="407">
        <v>354.67019465999999</v>
      </c>
      <c r="J139" s="407">
        <v>2095.34005349787</v>
      </c>
      <c r="K139" s="407">
        <v>34.61</v>
      </c>
      <c r="L139" s="407">
        <v>4946.7385442878503</v>
      </c>
      <c r="M139" s="407">
        <v>25052.364683665699</v>
      </c>
      <c r="P139" s="57">
        <f t="shared" si="23"/>
        <v>17621.00489122</v>
      </c>
      <c r="Q139" s="57">
        <f t="shared" si="24"/>
        <v>17621.00489122</v>
      </c>
      <c r="R139" s="57"/>
    </row>
    <row r="140" spans="3:18" x14ac:dyDescent="0.25">
      <c r="C140" s="40" t="s">
        <v>168</v>
      </c>
      <c r="D140" s="205">
        <f t="shared" si="22"/>
        <v>43646</v>
      </c>
      <c r="E140" s="343" t="s">
        <v>647</v>
      </c>
      <c r="F140" s="407">
        <v>4859.8574942400001</v>
      </c>
      <c r="G140" s="407">
        <v>12717.24817253</v>
      </c>
      <c r="H140" s="407">
        <v>0.81799999999999995</v>
      </c>
      <c r="I140" s="407">
        <v>358.51212142700001</v>
      </c>
      <c r="J140" s="407">
        <v>2583.75604083909</v>
      </c>
      <c r="K140" s="407">
        <v>31.913</v>
      </c>
      <c r="L140" s="407">
        <v>5030.1239692768704</v>
      </c>
      <c r="M140" s="407">
        <v>25582.228798312899</v>
      </c>
      <c r="P140" s="57">
        <f t="shared" si="23"/>
        <v>17577.10566677</v>
      </c>
      <c r="Q140" s="57">
        <f t="shared" si="24"/>
        <v>17577.10566677</v>
      </c>
      <c r="R140" s="57">
        <f t="shared" ref="R140:R145" si="25">P140</f>
        <v>17577.10566677</v>
      </c>
    </row>
    <row r="141" spans="3:18" x14ac:dyDescent="0.25">
      <c r="C141" s="40" t="s">
        <v>169</v>
      </c>
      <c r="D141" s="205">
        <f t="shared" si="22"/>
        <v>44012</v>
      </c>
      <c r="E141" s="343" t="s">
        <v>648</v>
      </c>
      <c r="F141" s="407">
        <v>3514.2980396600001</v>
      </c>
      <c r="G141" s="407">
        <v>10198.204085629999</v>
      </c>
      <c r="H141" s="407">
        <v>3.79</v>
      </c>
      <c r="I141" s="407">
        <v>306.53872114500001</v>
      </c>
      <c r="J141" s="407">
        <v>2624.1165947229501</v>
      </c>
      <c r="K141" s="407">
        <v>29.2</v>
      </c>
      <c r="L141" s="407">
        <v>4583.2621266803699</v>
      </c>
      <c r="M141" s="407">
        <v>21259.409567838298</v>
      </c>
      <c r="P141" s="57">
        <f t="shared" si="23"/>
        <v>13712.502125289999</v>
      </c>
      <c r="Q141" s="57"/>
      <c r="R141" s="57">
        <f t="shared" si="25"/>
        <v>13712.502125289999</v>
      </c>
    </row>
    <row r="142" spans="3:18" x14ac:dyDescent="0.25">
      <c r="C142" s="40" t="s">
        <v>170</v>
      </c>
      <c r="D142" s="205">
        <f>EOMONTH(D141,12)</f>
        <v>44377</v>
      </c>
      <c r="E142" s="343" t="s">
        <v>649</v>
      </c>
      <c r="F142" s="407">
        <v>2728.6412413399999</v>
      </c>
      <c r="G142" s="407">
        <v>12182.119521140001</v>
      </c>
      <c r="H142" s="407">
        <v>11.127000000000001</v>
      </c>
      <c r="I142" s="407">
        <v>419.46543752999997</v>
      </c>
      <c r="J142" s="407">
        <v>2838.10794763074</v>
      </c>
      <c r="K142" s="407">
        <v>44.613</v>
      </c>
      <c r="L142" s="407">
        <v>5788.4844403671304</v>
      </c>
      <c r="M142" s="407">
        <v>24012.558588007902</v>
      </c>
      <c r="P142" s="57">
        <f t="shared" si="23"/>
        <v>14910.76076248</v>
      </c>
      <c r="Q142" s="57"/>
      <c r="R142" s="57">
        <f t="shared" si="25"/>
        <v>14910.76076248</v>
      </c>
    </row>
    <row r="143" spans="3:18" x14ac:dyDescent="0.25">
      <c r="C143" s="40" t="s">
        <v>171</v>
      </c>
      <c r="D143" s="205">
        <f t="shared" si="22"/>
        <v>44742</v>
      </c>
      <c r="E143" s="343" t="s">
        <v>867</v>
      </c>
      <c r="F143" s="407">
        <v>2830.6715207000002</v>
      </c>
      <c r="G143" s="407">
        <v>12833.28507772</v>
      </c>
      <c r="H143" s="407">
        <v>18.135999999999999</v>
      </c>
      <c r="I143" s="407">
        <v>412.39295722999998</v>
      </c>
      <c r="J143" s="407">
        <v>3142.6813369332299</v>
      </c>
      <c r="K143" s="407">
        <v>50.896128699999998</v>
      </c>
      <c r="L143" s="407">
        <v>8265.8734841500009</v>
      </c>
      <c r="M143" s="407">
        <v>27553.936505433201</v>
      </c>
      <c r="P143" s="57">
        <f t="shared" si="23"/>
        <v>15663.95659842</v>
      </c>
      <c r="Q143" s="57"/>
      <c r="R143" s="57">
        <f t="shared" si="25"/>
        <v>15663.95659842</v>
      </c>
    </row>
    <row r="144" spans="3:18" x14ac:dyDescent="0.25">
      <c r="C144" s="40" t="s">
        <v>172</v>
      </c>
      <c r="D144" s="205">
        <f t="shared" si="22"/>
        <v>45107</v>
      </c>
      <c r="E144" s="343" t="s">
        <v>868</v>
      </c>
      <c r="F144" s="407">
        <v>3611.7046821017698</v>
      </c>
      <c r="G144" s="407">
        <v>15764.700611329999</v>
      </c>
      <c r="H144" s="407">
        <v>44.402999999999999</v>
      </c>
      <c r="I144" s="407">
        <v>473.18334584000002</v>
      </c>
      <c r="J144" s="407">
        <v>3108.552268899</v>
      </c>
      <c r="K144" s="407">
        <v>61.004756610000001</v>
      </c>
      <c r="L144" s="407">
        <v>8402.6356793499999</v>
      </c>
      <c r="M144" s="407">
        <v>31466.184344130801</v>
      </c>
      <c r="P144" s="57">
        <f t="shared" si="23"/>
        <v>19376.40529343177</v>
      </c>
      <c r="Q144" s="57"/>
      <c r="R144" s="57">
        <f t="shared" si="25"/>
        <v>19376.40529343177</v>
      </c>
    </row>
    <row r="145" spans="2:66" x14ac:dyDescent="0.25">
      <c r="C145" s="40" t="s">
        <v>173</v>
      </c>
      <c r="D145" s="205">
        <f t="shared" si="22"/>
        <v>45473</v>
      </c>
      <c r="E145" s="343" t="s">
        <v>869</v>
      </c>
      <c r="F145" s="407">
        <v>3465.15834202</v>
      </c>
      <c r="G145" s="407">
        <v>16293.06811278</v>
      </c>
      <c r="H145" s="407">
        <v>0</v>
      </c>
      <c r="I145" s="407">
        <v>469.11926283999998</v>
      </c>
      <c r="J145" s="407">
        <v>3476.87753906444</v>
      </c>
      <c r="K145" s="407">
        <v>51.315572000000003</v>
      </c>
      <c r="L145" s="407">
        <v>8428.9754112400005</v>
      </c>
      <c r="M145" s="407">
        <v>32184.514239944401</v>
      </c>
      <c r="P145" s="57">
        <f t="shared" si="23"/>
        <v>19758.226454799998</v>
      </c>
      <c r="Q145" s="57"/>
      <c r="R145" s="57">
        <f t="shared" si="25"/>
        <v>19758.226454799998</v>
      </c>
    </row>
    <row r="146" spans="2:66" x14ac:dyDescent="0.25">
      <c r="C146" s="40"/>
      <c r="D146" s="205"/>
    </row>
    <row r="147" spans="2:66" x14ac:dyDescent="0.25">
      <c r="G147">
        <f>G145*10%*5%</f>
        <v>81.465340563900014</v>
      </c>
      <c r="L147" s="204">
        <f>G147/L145</f>
        <v>9.6649161480844223E-3</v>
      </c>
    </row>
    <row r="155" spans="2:66" x14ac:dyDescent="0.25">
      <c r="F155" t="s">
        <v>871</v>
      </c>
      <c r="V155" t="s">
        <v>679</v>
      </c>
    </row>
    <row r="156" spans="2:66" s="405" customFormat="1" x14ac:dyDescent="0.25">
      <c r="F156" s="405" t="s">
        <v>316</v>
      </c>
      <c r="G156" s="405" t="s">
        <v>666</v>
      </c>
      <c r="H156" s="405" t="s">
        <v>655</v>
      </c>
      <c r="I156" s="405" t="s">
        <v>652</v>
      </c>
      <c r="J156" s="405" t="s">
        <v>651</v>
      </c>
      <c r="K156" s="405" t="s">
        <v>650</v>
      </c>
      <c r="L156" s="405" t="s">
        <v>653</v>
      </c>
      <c r="M156" s="405" t="s">
        <v>182</v>
      </c>
      <c r="W156" s="405" t="s">
        <v>995</v>
      </c>
      <c r="X156" s="405" t="s">
        <v>996</v>
      </c>
      <c r="Z156" s="97" t="s">
        <v>316</v>
      </c>
      <c r="AA156" s="97" t="s">
        <v>666</v>
      </c>
      <c r="AB156" s="97" t="s">
        <v>651</v>
      </c>
      <c r="AC156" s="97" t="s">
        <v>653</v>
      </c>
      <c r="AD156" s="97"/>
      <c r="AE156" s="97" t="s">
        <v>316</v>
      </c>
      <c r="AF156" s="97" t="s">
        <v>666</v>
      </c>
      <c r="AG156" s="97" t="s">
        <v>651</v>
      </c>
      <c r="AH156" s="97" t="s">
        <v>653</v>
      </c>
      <c r="AI156" s="97" t="s">
        <v>679</v>
      </c>
      <c r="AJ156" s="97"/>
      <c r="AK156" s="97" t="s">
        <v>316</v>
      </c>
      <c r="AL156" s="97" t="s">
        <v>666</v>
      </c>
      <c r="AM156" s="97" t="s">
        <v>651</v>
      </c>
      <c r="AN156" s="97" t="s">
        <v>653</v>
      </c>
      <c r="AP156" s="97" t="s">
        <v>316</v>
      </c>
      <c r="AQ156" s="97" t="s">
        <v>666</v>
      </c>
      <c r="AR156" s="97" t="s">
        <v>651</v>
      </c>
      <c r="AS156" s="97" t="s">
        <v>653</v>
      </c>
    </row>
    <row r="157" spans="2:66" x14ac:dyDescent="0.25">
      <c r="B157" t="str">
        <f>C157&amp;"A"</f>
        <v>FY99A</v>
      </c>
      <c r="C157" s="40" t="s">
        <v>665</v>
      </c>
      <c r="D157" s="205">
        <v>36341</v>
      </c>
      <c r="E157" s="343" t="s">
        <v>627</v>
      </c>
      <c r="F157" s="407">
        <v>2193.4920000000002</v>
      </c>
      <c r="G157" s="407">
        <v>6852.3370000000004</v>
      </c>
      <c r="H157" s="407">
        <v>0.13600000000000001</v>
      </c>
      <c r="I157" s="407">
        <v>178.31899999999999</v>
      </c>
      <c r="J157" s="407">
        <v>1297.0182</v>
      </c>
      <c r="K157" s="407">
        <v>164.541</v>
      </c>
      <c r="L157" s="407">
        <v>1752.578</v>
      </c>
      <c r="M157" s="407">
        <v>12438.421200000001</v>
      </c>
      <c r="AC157" s="57">
        <f t="shared" ref="AC157:AC184" si="26">F157+G157</f>
        <v>9045.8290000000015</v>
      </c>
      <c r="AD157" s="57">
        <f>AC157</f>
        <v>9045.8290000000015</v>
      </c>
      <c r="AE157" s="57"/>
      <c r="AI157" s="343">
        <v>47.29</v>
      </c>
      <c r="AJ157" s="407">
        <v>14.09807</v>
      </c>
      <c r="AK157" s="407">
        <v>18.812263999999999</v>
      </c>
      <c r="AM157" s="442">
        <f t="shared" ref="AM157:AM184" si="27">F157/$AJ157</f>
        <v>155.58810532221787</v>
      </c>
      <c r="AN157" s="442">
        <f t="shared" ref="AN157:AN184" si="28">G157/$AJ157</f>
        <v>486.04787747542753</v>
      </c>
      <c r="AO157" s="442">
        <f t="shared" ref="AO157:AO184" si="29">J157/$AJ157</f>
        <v>91.999699249613599</v>
      </c>
      <c r="AP157" s="442">
        <f t="shared" ref="AP157:AP184" si="30">L157/$AJ157</f>
        <v>124.3133279945411</v>
      </c>
      <c r="AQ157" s="442"/>
      <c r="AR157" s="442"/>
      <c r="AS157" s="442"/>
      <c r="AT157" s="442"/>
      <c r="AU157" s="442"/>
      <c r="AV157" s="442"/>
      <c r="AW157" s="442"/>
      <c r="AX157" s="442"/>
      <c r="AY157" s="442"/>
      <c r="AZ157" s="57">
        <f t="shared" ref="AZ157:AZ184" si="31">AM157/AM$157</f>
        <v>1</v>
      </c>
      <c r="BA157" s="57">
        <f t="shared" ref="BA157:BA184" si="32">AN157/AN$157</f>
        <v>1</v>
      </c>
      <c r="BB157" s="57">
        <f t="shared" ref="BB157:BB184" si="33">AO157/AO$157</f>
        <v>1</v>
      </c>
      <c r="BC157" s="57">
        <f t="shared" ref="BC157:BC184" si="34">AP157/AP$157</f>
        <v>1</v>
      </c>
      <c r="BD157" s="57">
        <f t="shared" ref="BD157:BD184" si="35">AI157/AI$157</f>
        <v>1</v>
      </c>
      <c r="BE157" s="442"/>
      <c r="BG157" s="57"/>
      <c r="BH157" s="57"/>
      <c r="BI157" s="57"/>
      <c r="BL157" s="57"/>
      <c r="BM157" s="57"/>
      <c r="BN157" s="57"/>
    </row>
    <row r="158" spans="2:66" x14ac:dyDescent="0.25">
      <c r="B158" t="str">
        <f t="shared" ref="B158:B182" si="36">C158&amp;"A"</f>
        <v>FY00A</v>
      </c>
      <c r="C158" s="40" t="s">
        <v>149</v>
      </c>
      <c r="D158" s="205">
        <f t="shared" ref="D158:D184" si="37">EOMONTH(D157,12)</f>
        <v>36707</v>
      </c>
      <c r="E158" s="343" t="s">
        <v>628</v>
      </c>
      <c r="F158" s="407">
        <v>2362.5149999999999</v>
      </c>
      <c r="G158" s="407">
        <v>7654.1310000000003</v>
      </c>
      <c r="H158" s="407">
        <v>5.3869999999999996</v>
      </c>
      <c r="I158" s="407">
        <v>183.18</v>
      </c>
      <c r="J158" s="407">
        <v>1306.587170859</v>
      </c>
      <c r="K158" s="407">
        <v>33.328800000000001</v>
      </c>
      <c r="L158" s="407">
        <v>1768.42</v>
      </c>
      <c r="M158" s="407">
        <v>13313.548970858999</v>
      </c>
      <c r="V158" s="57">
        <f t="shared" ref="V158:V184" si="38">F158-F157</f>
        <v>169.02299999999968</v>
      </c>
      <c r="W158" s="57">
        <f t="shared" ref="W158:W184" si="39">G158-G157</f>
        <v>801.79399999999987</v>
      </c>
      <c r="X158" s="57">
        <f t="shared" ref="X158:X184" si="40">J158-J157</f>
        <v>9.5689708590000464</v>
      </c>
      <c r="Y158" s="57">
        <f t="shared" ref="Y158:Y184" si="41">L158-L157</f>
        <v>15.842000000000098</v>
      </c>
      <c r="AC158" s="57">
        <f t="shared" si="26"/>
        <v>10016.646000000001</v>
      </c>
      <c r="AD158" s="57">
        <f t="shared" ref="AD158:AD178" si="42">AC158</f>
        <v>10016.646000000001</v>
      </c>
      <c r="AE158" s="57"/>
      <c r="AI158" s="343">
        <v>48.77</v>
      </c>
      <c r="AJ158" s="407">
        <v>14.291402</v>
      </c>
      <c r="AK158" s="407">
        <v>19.028801999999999</v>
      </c>
      <c r="AM158" s="442">
        <f t="shared" si="27"/>
        <v>165.31023338368061</v>
      </c>
      <c r="AN158" s="442">
        <f t="shared" si="28"/>
        <v>535.57593579692184</v>
      </c>
      <c r="AO158" s="442">
        <f t="shared" si="29"/>
        <v>91.424702129224272</v>
      </c>
      <c r="AP158" s="442">
        <f t="shared" si="30"/>
        <v>123.74013410300823</v>
      </c>
      <c r="AQ158" s="442"/>
      <c r="AR158" s="442">
        <f t="shared" ref="AR158:AR177" si="43">AM158-AM157</f>
        <v>9.7221280614627403</v>
      </c>
      <c r="AS158" s="442">
        <f t="shared" ref="AS158:AS184" si="44">AN158-AN157</f>
        <v>49.528058321494314</v>
      </c>
      <c r="AT158" s="442">
        <f t="shared" ref="AT158:AT184" si="45">AO158-AO157</f>
        <v>-0.57499712038932671</v>
      </c>
      <c r="AU158" s="442">
        <f t="shared" ref="AU158:AU184" si="46">AP158-AP157</f>
        <v>-0.57319389153286693</v>
      </c>
      <c r="AV158" s="442"/>
      <c r="AW158" s="442"/>
      <c r="AX158" s="442"/>
      <c r="AY158" s="442"/>
      <c r="AZ158" s="57">
        <f t="shared" si="31"/>
        <v>1.0624863195122052</v>
      </c>
      <c r="BA158" s="57">
        <f t="shared" si="32"/>
        <v>1.1018995465606127</v>
      </c>
      <c r="BB158" s="57">
        <f t="shared" si="33"/>
        <v>0.99375001086873938</v>
      </c>
      <c r="BC158" s="57">
        <f t="shared" si="34"/>
        <v>0.99538911956762965</v>
      </c>
      <c r="BD158" s="57">
        <f t="shared" si="35"/>
        <v>1.0312962571368154</v>
      </c>
      <c r="BE158" s="442"/>
      <c r="BF158" s="57"/>
      <c r="BG158" s="57"/>
      <c r="BH158" s="57"/>
      <c r="BI158" s="57"/>
      <c r="BK158" s="656">
        <f>AM158/AM157-1</f>
        <v>6.248631951220518E-2</v>
      </c>
      <c r="BL158" s="656">
        <f>AN158/AN157-1</f>
        <v>0.10189954656061273</v>
      </c>
      <c r="BM158" s="656">
        <f>AO158/AO157-1</f>
        <v>-6.2499891312606248E-3</v>
      </c>
      <c r="BN158" s="656">
        <f>AP158/AP157-1</f>
        <v>-4.6108804323703456E-3</v>
      </c>
    </row>
    <row r="159" spans="2:66" x14ac:dyDescent="0.25">
      <c r="B159" t="str">
        <f t="shared" si="36"/>
        <v>FY01A</v>
      </c>
      <c r="C159" s="40" t="s">
        <v>150</v>
      </c>
      <c r="D159" s="205">
        <f t="shared" si="37"/>
        <v>37072</v>
      </c>
      <c r="E159" s="343" t="s">
        <v>629</v>
      </c>
      <c r="F159" s="407">
        <v>2543.3200000000002</v>
      </c>
      <c r="G159" s="407">
        <v>8319.5889999999999</v>
      </c>
      <c r="H159" s="407">
        <v>14.772</v>
      </c>
      <c r="I159" s="407">
        <v>176.56399999999999</v>
      </c>
      <c r="J159" s="407">
        <v>1427.191912</v>
      </c>
      <c r="K159" s="407">
        <v>29.633800000000001</v>
      </c>
      <c r="L159" s="407">
        <v>1838.059</v>
      </c>
      <c r="M159" s="407">
        <v>14349.129712</v>
      </c>
      <c r="V159" s="57">
        <f t="shared" si="38"/>
        <v>180.80500000000029</v>
      </c>
      <c r="W159" s="57">
        <f t="shared" si="39"/>
        <v>665.45799999999963</v>
      </c>
      <c r="X159" s="57">
        <f t="shared" si="40"/>
        <v>120.60474114099998</v>
      </c>
      <c r="Y159" s="57">
        <f t="shared" si="41"/>
        <v>69.638999999999896</v>
      </c>
      <c r="AC159" s="57">
        <f t="shared" si="26"/>
        <v>10862.909</v>
      </c>
      <c r="AD159" s="57">
        <f t="shared" si="42"/>
        <v>10862.909</v>
      </c>
      <c r="AE159" s="57"/>
      <c r="AI159" s="343">
        <v>51.73</v>
      </c>
      <c r="AJ159" s="407">
        <v>14.511122</v>
      </c>
      <c r="AK159" s="407">
        <v>19.274701</v>
      </c>
      <c r="AM159" s="442">
        <f t="shared" si="27"/>
        <v>175.26694352097653</v>
      </c>
      <c r="AN159" s="442">
        <f t="shared" si="28"/>
        <v>573.32499857695359</v>
      </c>
      <c r="AO159" s="442">
        <f t="shared" si="29"/>
        <v>98.351589353324982</v>
      </c>
      <c r="AP159" s="442">
        <f t="shared" si="30"/>
        <v>126.66553282371962</v>
      </c>
      <c r="AQ159" s="442"/>
      <c r="AR159" s="442">
        <f t="shared" si="43"/>
        <v>9.9567101372959144</v>
      </c>
      <c r="AS159" s="442">
        <f t="shared" si="44"/>
        <v>37.74906278003175</v>
      </c>
      <c r="AT159" s="442">
        <f t="shared" si="45"/>
        <v>6.9268872241007102</v>
      </c>
      <c r="AU159" s="442">
        <f t="shared" si="46"/>
        <v>2.9253987207113852</v>
      </c>
      <c r="AV159" s="442"/>
      <c r="AW159" s="442"/>
      <c r="AX159" s="442"/>
      <c r="AY159" s="442"/>
      <c r="AZ159" s="57">
        <f t="shared" si="31"/>
        <v>1.126480351168262</v>
      </c>
      <c r="BA159" s="57">
        <f t="shared" si="32"/>
        <v>1.1795648641752137</v>
      </c>
      <c r="BB159" s="57">
        <f t="shared" si="33"/>
        <v>1.0690425094377476</v>
      </c>
      <c r="BC159" s="57">
        <f t="shared" si="34"/>
        <v>1.0189215819986881</v>
      </c>
      <c r="BD159" s="57">
        <f t="shared" si="35"/>
        <v>1.0938887714104462</v>
      </c>
      <c r="BE159" s="442"/>
      <c r="BF159" s="57"/>
      <c r="BG159" s="57"/>
      <c r="BH159" s="57"/>
      <c r="BI159" s="57"/>
      <c r="BK159" s="656">
        <f t="shared" ref="BK159:BK184" si="47">AM159/AM158-1</f>
        <v>6.0230452365200193E-2</v>
      </c>
      <c r="BL159" s="656">
        <f t="shared" ref="BL159:BL184" si="48">AN159/AN158-1</f>
        <v>7.0483119679121131E-2</v>
      </c>
      <c r="BM159" s="656">
        <f t="shared" ref="BM159:BM184" si="49">AO159/AO158-1</f>
        <v>7.5766035467196735E-2</v>
      </c>
      <c r="BN159" s="656">
        <f t="shared" ref="BN159:BN184" si="50">AP159/AP158-1</f>
        <v>2.3641470424430988E-2</v>
      </c>
    </row>
    <row r="160" spans="2:66" x14ac:dyDescent="0.25">
      <c r="B160" t="str">
        <f t="shared" si="36"/>
        <v>FY02A</v>
      </c>
      <c r="C160" s="40" t="s">
        <v>151</v>
      </c>
      <c r="D160" s="205">
        <f t="shared" si="37"/>
        <v>37437</v>
      </c>
      <c r="E160" s="343" t="s">
        <v>630</v>
      </c>
      <c r="F160" s="407">
        <v>2543.3420000000001</v>
      </c>
      <c r="G160" s="407">
        <v>8916.1820000000007</v>
      </c>
      <c r="H160" s="407">
        <v>15.173999999999999</v>
      </c>
      <c r="I160" s="407">
        <v>102.533</v>
      </c>
      <c r="J160" s="407">
        <v>1439.8207506619999</v>
      </c>
      <c r="K160" s="407">
        <v>28.263999999999999</v>
      </c>
      <c r="L160" s="407">
        <v>1957.0470700000001</v>
      </c>
      <c r="M160" s="407">
        <v>15002.362820662</v>
      </c>
      <c r="V160" s="57">
        <f t="shared" si="38"/>
        <v>2.1999999999934516E-2</v>
      </c>
      <c r="W160" s="57">
        <f t="shared" si="39"/>
        <v>596.59300000000076</v>
      </c>
      <c r="X160" s="57">
        <f t="shared" si="40"/>
        <v>12.628838661999907</v>
      </c>
      <c r="Y160" s="57">
        <f t="shared" si="41"/>
        <v>118.98807000000011</v>
      </c>
      <c r="AC160" s="57">
        <f t="shared" si="26"/>
        <v>11459.524000000001</v>
      </c>
      <c r="AD160" s="57">
        <f t="shared" si="42"/>
        <v>11459.524000000001</v>
      </c>
      <c r="AE160" s="57"/>
      <c r="AI160" s="343">
        <v>53.2</v>
      </c>
      <c r="AJ160" s="407">
        <v>14.720941</v>
      </c>
      <c r="AK160" s="407">
        <v>19.49521</v>
      </c>
      <c r="AM160" s="442">
        <f t="shared" si="27"/>
        <v>172.77034124381044</v>
      </c>
      <c r="AN160" s="442">
        <f t="shared" si="28"/>
        <v>605.68016677738206</v>
      </c>
      <c r="AO160" s="442">
        <f t="shared" si="29"/>
        <v>97.807657177757861</v>
      </c>
      <c r="AP160" s="442">
        <f t="shared" si="30"/>
        <v>132.94306865301616</v>
      </c>
      <c r="AQ160" s="442"/>
      <c r="AR160" s="442">
        <f t="shared" si="43"/>
        <v>-2.4966022771660903</v>
      </c>
      <c r="AS160" s="442">
        <f t="shared" si="44"/>
        <v>32.355168200428466</v>
      </c>
      <c r="AT160" s="442">
        <f t="shared" si="45"/>
        <v>-0.54393217556712159</v>
      </c>
      <c r="AU160" s="442">
        <f t="shared" si="46"/>
        <v>6.2775358292965393</v>
      </c>
      <c r="AV160" s="442"/>
      <c r="AW160" s="442"/>
      <c r="AX160" s="442"/>
      <c r="AY160" s="442"/>
      <c r="AZ160" s="57">
        <f t="shared" si="31"/>
        <v>1.1104341227499925</v>
      </c>
      <c r="BA160" s="57">
        <f t="shared" si="32"/>
        <v>1.2461327265193183</v>
      </c>
      <c r="BB160" s="57">
        <f t="shared" si="33"/>
        <v>1.0631301838540375</v>
      </c>
      <c r="BC160" s="57">
        <f t="shared" si="34"/>
        <v>1.0694192714304456</v>
      </c>
      <c r="BD160" s="57">
        <f t="shared" si="35"/>
        <v>1.1249735673503913</v>
      </c>
      <c r="BE160" s="442"/>
      <c r="BF160" s="57"/>
      <c r="BG160" s="57"/>
      <c r="BH160" s="57"/>
      <c r="BI160" s="57"/>
      <c r="BK160" s="656">
        <f t="shared" si="47"/>
        <v>-1.4244570179700156E-2</v>
      </c>
      <c r="BL160" s="656">
        <f t="shared" si="48"/>
        <v>5.643425331310703E-2</v>
      </c>
      <c r="BM160" s="656">
        <f t="shared" si="49"/>
        <v>-5.5304868903852666E-3</v>
      </c>
      <c r="BN160" s="656">
        <f t="shared" si="50"/>
        <v>4.9559937019591382E-2</v>
      </c>
    </row>
    <row r="161" spans="2:66" x14ac:dyDescent="0.25">
      <c r="B161" t="str">
        <f t="shared" si="36"/>
        <v>FY03A</v>
      </c>
      <c r="C161" s="40" t="s">
        <v>152</v>
      </c>
      <c r="D161" s="205">
        <f t="shared" si="37"/>
        <v>37802</v>
      </c>
      <c r="E161" s="343" t="s">
        <v>631</v>
      </c>
      <c r="F161" s="407">
        <v>2555.6869999999999</v>
      </c>
      <c r="G161" s="407">
        <v>9076.7579999999998</v>
      </c>
      <c r="H161" s="407">
        <v>18.542999999999999</v>
      </c>
      <c r="I161" s="407">
        <v>136.44800000000001</v>
      </c>
      <c r="J161" s="407">
        <v>1560.0809999999999</v>
      </c>
      <c r="K161" s="407">
        <v>27.666</v>
      </c>
      <c r="L161" s="407">
        <v>2067.1750000000002</v>
      </c>
      <c r="M161" s="407">
        <v>15442.358</v>
      </c>
      <c r="V161" s="57">
        <f t="shared" si="38"/>
        <v>12.3449999999998</v>
      </c>
      <c r="W161" s="57">
        <f t="shared" si="39"/>
        <v>160.57599999999911</v>
      </c>
      <c r="X161" s="57">
        <f t="shared" si="40"/>
        <v>120.26024933799999</v>
      </c>
      <c r="Y161" s="57">
        <f t="shared" si="41"/>
        <v>110.12793000000011</v>
      </c>
      <c r="AC161" s="57">
        <f t="shared" si="26"/>
        <v>11632.445</v>
      </c>
      <c r="AD161" s="57">
        <f t="shared" si="42"/>
        <v>11632.445</v>
      </c>
      <c r="AE161" s="57"/>
      <c r="AI161" s="343">
        <v>54.62</v>
      </c>
      <c r="AJ161" s="407">
        <v>14.940121</v>
      </c>
      <c r="AK161" s="407">
        <v>19.720737</v>
      </c>
      <c r="AM161" s="442">
        <f t="shared" si="27"/>
        <v>171.06200143894418</v>
      </c>
      <c r="AN161" s="442">
        <f t="shared" si="28"/>
        <v>607.54246903355067</v>
      </c>
      <c r="AO161" s="442">
        <f t="shared" si="29"/>
        <v>104.42224664713224</v>
      </c>
      <c r="AP161" s="442">
        <f t="shared" si="30"/>
        <v>138.36400655657343</v>
      </c>
      <c r="AQ161" s="442"/>
      <c r="AR161" s="442">
        <f t="shared" si="43"/>
        <v>-1.7083398048662559</v>
      </c>
      <c r="AS161" s="442">
        <f t="shared" si="44"/>
        <v>1.8623022561686184</v>
      </c>
      <c r="AT161" s="442">
        <f t="shared" si="45"/>
        <v>6.6145894693743799</v>
      </c>
      <c r="AU161" s="442">
        <f t="shared" si="46"/>
        <v>5.4209379035572738</v>
      </c>
      <c r="AV161" s="442"/>
      <c r="AW161" s="442"/>
      <c r="AX161" s="442"/>
      <c r="AY161" s="442"/>
      <c r="AZ161" s="57">
        <f t="shared" si="31"/>
        <v>1.099454235815009</v>
      </c>
      <c r="BA161" s="57">
        <f t="shared" si="32"/>
        <v>1.2499642467099661</v>
      </c>
      <c r="BB161" s="57">
        <f t="shared" si="33"/>
        <v>1.1350281305139247</v>
      </c>
      <c r="BC161" s="57">
        <f t="shared" si="34"/>
        <v>1.1130263246001211</v>
      </c>
      <c r="BD161" s="57">
        <f t="shared" si="35"/>
        <v>1.1550010573059843</v>
      </c>
      <c r="BE161" s="442"/>
      <c r="BF161" s="57"/>
      <c r="BG161" s="57"/>
      <c r="BH161" s="57"/>
      <c r="BI161" s="57"/>
      <c r="BK161" s="656">
        <f t="shared" si="47"/>
        <v>-9.8879228493012894E-3</v>
      </c>
      <c r="BL161" s="656">
        <f t="shared" si="48"/>
        <v>3.074728806256477E-3</v>
      </c>
      <c r="BM161" s="656">
        <f t="shared" si="49"/>
        <v>6.7628544228933718E-2</v>
      </c>
      <c r="BN161" s="656">
        <f t="shared" si="50"/>
        <v>4.0776386151473831E-2</v>
      </c>
    </row>
    <row r="162" spans="2:66" x14ac:dyDescent="0.25">
      <c r="B162" t="str">
        <f t="shared" si="36"/>
        <v>FY04A</v>
      </c>
      <c r="C162" s="40" t="s">
        <v>153</v>
      </c>
      <c r="D162" s="205">
        <f t="shared" si="37"/>
        <v>38168</v>
      </c>
      <c r="E162" s="343" t="s">
        <v>632</v>
      </c>
      <c r="F162" s="407">
        <v>2696.6019999999999</v>
      </c>
      <c r="G162" s="407">
        <v>9547.33</v>
      </c>
      <c r="H162" s="407">
        <v>14.688000000000001</v>
      </c>
      <c r="I162" s="407">
        <v>187.95</v>
      </c>
      <c r="J162" s="407">
        <v>1600.9380000000001</v>
      </c>
      <c r="K162" s="407">
        <v>22.149000000000001</v>
      </c>
      <c r="L162" s="407">
        <v>2177.1619999999998</v>
      </c>
      <c r="M162" s="407">
        <v>16246.819</v>
      </c>
      <c r="V162" s="57">
        <f t="shared" si="38"/>
        <v>140.91499999999996</v>
      </c>
      <c r="W162" s="57">
        <f t="shared" si="39"/>
        <v>470.57200000000012</v>
      </c>
      <c r="X162" s="57">
        <f t="shared" si="40"/>
        <v>40.857000000000198</v>
      </c>
      <c r="Y162" s="57">
        <f t="shared" si="41"/>
        <v>109.98699999999963</v>
      </c>
      <c r="AC162" s="57">
        <f t="shared" si="26"/>
        <v>12243.932000000001</v>
      </c>
      <c r="AD162" s="57">
        <f>AC162</f>
        <v>12243.932000000001</v>
      </c>
      <c r="AE162" s="57"/>
      <c r="AI162" s="343">
        <v>55.97</v>
      </c>
      <c r="AJ162" s="407">
        <v>15.145745</v>
      </c>
      <c r="AK162" s="407">
        <v>19.932721999999998</v>
      </c>
      <c r="AM162" s="442">
        <f t="shared" si="27"/>
        <v>178.04353631993672</v>
      </c>
      <c r="AN162" s="442">
        <f t="shared" si="28"/>
        <v>630.36384146174385</v>
      </c>
      <c r="AO162" s="442">
        <f t="shared" si="29"/>
        <v>105.70216255456566</v>
      </c>
      <c r="AP162" s="442">
        <f t="shared" si="30"/>
        <v>143.74743533579891</v>
      </c>
      <c r="AQ162" s="442"/>
      <c r="AR162" s="442">
        <f t="shared" si="43"/>
        <v>6.981534880992541</v>
      </c>
      <c r="AS162" s="442">
        <f t="shared" si="44"/>
        <v>22.821372428193172</v>
      </c>
      <c r="AT162" s="442">
        <f t="shared" si="45"/>
        <v>1.2799159074334199</v>
      </c>
      <c r="AU162" s="442">
        <f t="shared" si="46"/>
        <v>5.3834287792254827</v>
      </c>
      <c r="AV162" s="442"/>
      <c r="AW162" s="442"/>
      <c r="AX162" s="442"/>
      <c r="AY162" s="442"/>
      <c r="AZ162" s="57">
        <f t="shared" si="31"/>
        <v>1.1443261420994515</v>
      </c>
      <c r="BA162" s="57">
        <f t="shared" si="32"/>
        <v>1.2969171776572819</v>
      </c>
      <c r="BB162" s="57">
        <f t="shared" si="33"/>
        <v>1.1489403054218095</v>
      </c>
      <c r="BC162" s="57">
        <f t="shared" si="34"/>
        <v>1.1563316472559662</v>
      </c>
      <c r="BD162" s="57">
        <f t="shared" si="35"/>
        <v>1.1835483188834848</v>
      </c>
      <c r="BE162" s="442"/>
      <c r="BF162" s="57"/>
      <c r="BG162" s="57"/>
      <c r="BH162" s="57"/>
      <c r="BI162" s="57"/>
      <c r="BK162" s="656">
        <f t="shared" si="47"/>
        <v>4.0812891362576487E-2</v>
      </c>
      <c r="BL162" s="656">
        <f t="shared" si="48"/>
        <v>3.7563419170508983E-2</v>
      </c>
      <c r="BM162" s="656">
        <f t="shared" si="49"/>
        <v>1.2257119038614039E-2</v>
      </c>
      <c r="BN162" s="656">
        <f t="shared" si="50"/>
        <v>3.8907725449713215E-2</v>
      </c>
    </row>
    <row r="163" spans="2:66" x14ac:dyDescent="0.25">
      <c r="B163" t="str">
        <f t="shared" si="36"/>
        <v>FY05A</v>
      </c>
      <c r="C163" s="40" t="s">
        <v>154</v>
      </c>
      <c r="D163" s="205">
        <f t="shared" si="37"/>
        <v>38533</v>
      </c>
      <c r="E163" s="343" t="s">
        <v>633</v>
      </c>
      <c r="F163" s="407">
        <v>2638.6219999999998</v>
      </c>
      <c r="G163" s="407">
        <v>10095.536</v>
      </c>
      <c r="H163" s="407">
        <v>14.1</v>
      </c>
      <c r="I163" s="407">
        <v>208.547</v>
      </c>
      <c r="J163" s="407">
        <v>1626.8969999999999</v>
      </c>
      <c r="K163" s="407">
        <v>22.170999999999999</v>
      </c>
      <c r="L163" s="407">
        <v>2308.3490000000002</v>
      </c>
      <c r="M163" s="407">
        <v>16914.222000000002</v>
      </c>
      <c r="V163" s="57">
        <f t="shared" si="38"/>
        <v>-57.980000000000018</v>
      </c>
      <c r="W163" s="57">
        <f t="shared" si="39"/>
        <v>548.20600000000013</v>
      </c>
      <c r="X163" s="57">
        <f t="shared" si="40"/>
        <v>25.958999999999833</v>
      </c>
      <c r="Y163" s="57">
        <f t="shared" si="41"/>
        <v>131.18700000000035</v>
      </c>
      <c r="AC163" s="57">
        <f t="shared" si="26"/>
        <v>12734.157999999999</v>
      </c>
      <c r="AD163" s="57">
        <f t="shared" si="42"/>
        <v>12734.157999999999</v>
      </c>
      <c r="AE163" s="57"/>
      <c r="AI163" s="343">
        <v>57.35</v>
      </c>
      <c r="AJ163" s="407">
        <v>15.368715999999999</v>
      </c>
      <c r="AK163" s="407">
        <v>20.176843999999999</v>
      </c>
      <c r="AM163" s="442">
        <f t="shared" si="27"/>
        <v>171.68786253841895</v>
      </c>
      <c r="AN163" s="442">
        <f t="shared" si="28"/>
        <v>656.88870820438092</v>
      </c>
      <c r="AO163" s="442">
        <f t="shared" si="29"/>
        <v>105.85770470350289</v>
      </c>
      <c r="AP163" s="442">
        <f t="shared" si="30"/>
        <v>150.19790853055</v>
      </c>
      <c r="AQ163" s="442"/>
      <c r="AR163" s="442">
        <f t="shared" si="43"/>
        <v>-6.3556737815177655</v>
      </c>
      <c r="AS163" s="442">
        <f t="shared" si="44"/>
        <v>26.524866742637073</v>
      </c>
      <c r="AT163" s="442">
        <f t="shared" si="45"/>
        <v>0.15554214893722929</v>
      </c>
      <c r="AU163" s="442">
        <f t="shared" si="46"/>
        <v>6.4504731947510834</v>
      </c>
      <c r="AV163" s="442"/>
      <c r="AW163" s="442"/>
      <c r="AX163" s="442"/>
      <c r="AY163" s="442"/>
      <c r="AZ163" s="57">
        <f t="shared" si="31"/>
        <v>1.1034767868845694</v>
      </c>
      <c r="BA163" s="57">
        <f t="shared" si="32"/>
        <v>1.3514897166433781</v>
      </c>
      <c r="BB163" s="57">
        <f t="shared" si="33"/>
        <v>1.1506309864806161</v>
      </c>
      <c r="BC163" s="57">
        <f t="shared" si="34"/>
        <v>1.2082204776719159</v>
      </c>
      <c r="BD163" s="57">
        <f t="shared" si="35"/>
        <v>1.2127299640515965</v>
      </c>
      <c r="BE163" s="442"/>
      <c r="BF163" s="57"/>
      <c r="BG163" s="57"/>
      <c r="BH163" s="57"/>
      <c r="BI163" s="57"/>
      <c r="BK163" s="656">
        <f t="shared" si="47"/>
        <v>-3.5697301417878413E-2</v>
      </c>
      <c r="BL163" s="656">
        <f t="shared" si="48"/>
        <v>4.2078661556996799E-2</v>
      </c>
      <c r="BM163" s="656">
        <f t="shared" si="49"/>
        <v>1.4715134031144661E-3</v>
      </c>
      <c r="BN163" s="656">
        <f t="shared" si="50"/>
        <v>4.487365760427342E-2</v>
      </c>
    </row>
    <row r="164" spans="2:66" x14ac:dyDescent="0.25">
      <c r="B164" t="str">
        <f t="shared" si="36"/>
        <v>FY06A</v>
      </c>
      <c r="C164" s="40" t="s">
        <v>155</v>
      </c>
      <c r="D164" s="205">
        <f t="shared" si="37"/>
        <v>38898</v>
      </c>
      <c r="E164" s="343" t="s">
        <v>634</v>
      </c>
      <c r="F164" s="407">
        <v>2931.4601200000002</v>
      </c>
      <c r="G164" s="407">
        <v>10380.762629999999</v>
      </c>
      <c r="H164" s="407">
        <v>14.753</v>
      </c>
      <c r="I164" s="407">
        <v>210.846</v>
      </c>
      <c r="J164" s="407">
        <v>1682.7728099999999</v>
      </c>
      <c r="K164" s="407">
        <v>21.195</v>
      </c>
      <c r="L164" s="407">
        <v>2375.2771054300001</v>
      </c>
      <c r="M164" s="407">
        <v>17617.06666543</v>
      </c>
      <c r="V164" s="57">
        <f t="shared" si="38"/>
        <v>292.83812000000034</v>
      </c>
      <c r="W164" s="57">
        <f t="shared" si="39"/>
        <v>285.2266299999992</v>
      </c>
      <c r="X164" s="57">
        <f t="shared" si="40"/>
        <v>55.875810000000001</v>
      </c>
      <c r="Y164" s="57">
        <f t="shared" si="41"/>
        <v>66.92810542999996</v>
      </c>
      <c r="AC164" s="57">
        <f t="shared" si="26"/>
        <v>13312.222749999999</v>
      </c>
      <c r="AD164" s="57">
        <f t="shared" si="42"/>
        <v>13312.222749999999</v>
      </c>
      <c r="AE164" s="57"/>
      <c r="AI164" s="343">
        <v>59.65</v>
      </c>
      <c r="AJ164" s="407">
        <v>15.610374</v>
      </c>
      <c r="AK164" s="407">
        <v>20.450966000000001</v>
      </c>
      <c r="AM164" s="442">
        <f t="shared" si="27"/>
        <v>187.78923041818217</v>
      </c>
      <c r="AN164" s="442">
        <f t="shared" si="28"/>
        <v>664.99128272006806</v>
      </c>
      <c r="AO164" s="442">
        <f t="shared" si="29"/>
        <v>107.79836600968048</v>
      </c>
      <c r="AP164" s="442">
        <f t="shared" si="30"/>
        <v>152.16016640152247</v>
      </c>
      <c r="AQ164" s="442"/>
      <c r="AR164" s="442">
        <f t="shared" si="43"/>
        <v>16.101367879763217</v>
      </c>
      <c r="AS164" s="442">
        <f t="shared" si="44"/>
        <v>8.102574515687138</v>
      </c>
      <c r="AT164" s="442">
        <f t="shared" si="45"/>
        <v>1.9406613061775886</v>
      </c>
      <c r="AU164" s="442">
        <f t="shared" si="46"/>
        <v>1.9622578709724792</v>
      </c>
      <c r="AV164" s="442"/>
      <c r="AW164" s="442"/>
      <c r="AX164" s="442"/>
      <c r="AY164" s="442"/>
      <c r="AZ164" s="57">
        <f t="shared" si="31"/>
        <v>1.2069639258687341</v>
      </c>
      <c r="BA164" s="57">
        <f t="shared" si="32"/>
        <v>1.3681600384186168</v>
      </c>
      <c r="BB164" s="57">
        <f t="shared" si="33"/>
        <v>1.1717252000705125</v>
      </c>
      <c r="BC164" s="57">
        <f t="shared" si="34"/>
        <v>1.2240052523427272</v>
      </c>
      <c r="BD164" s="57">
        <f t="shared" si="35"/>
        <v>1.2613660393317827</v>
      </c>
      <c r="BE164" s="442"/>
      <c r="BF164" s="57"/>
      <c r="BG164" s="57"/>
      <c r="BH164" s="57"/>
      <c r="BI164" s="57"/>
      <c r="BK164" s="656">
        <f t="shared" si="47"/>
        <v>9.3782796533798063E-2</v>
      </c>
      <c r="BL164" s="656">
        <f t="shared" si="48"/>
        <v>1.2334775152149646E-2</v>
      </c>
      <c r="BM164" s="656">
        <f t="shared" si="49"/>
        <v>1.8332735549227985E-2</v>
      </c>
      <c r="BN164" s="656">
        <f t="shared" si="50"/>
        <v>1.3064481990262555E-2</v>
      </c>
    </row>
    <row r="165" spans="2:66" x14ac:dyDescent="0.25">
      <c r="B165" t="str">
        <f t="shared" si="36"/>
        <v>FY07A</v>
      </c>
      <c r="C165" s="40" t="s">
        <v>156</v>
      </c>
      <c r="D165" s="205">
        <f t="shared" si="37"/>
        <v>39263</v>
      </c>
      <c r="E165" s="343" t="s">
        <v>635</v>
      </c>
      <c r="F165" s="407">
        <v>3085.2849999999999</v>
      </c>
      <c r="G165" s="407">
        <v>10579.125</v>
      </c>
      <c r="H165" s="407">
        <v>6.8120000000000003</v>
      </c>
      <c r="I165" s="407">
        <v>201.72900000000001</v>
      </c>
      <c r="J165" s="407">
        <v>1749.6005399999999</v>
      </c>
      <c r="K165" s="407">
        <v>21.175999999999998</v>
      </c>
      <c r="L165" s="407">
        <v>2569.1100327300001</v>
      </c>
      <c r="M165" s="407">
        <v>18212.837572730001</v>
      </c>
      <c r="V165" s="57">
        <f t="shared" si="38"/>
        <v>153.82487999999967</v>
      </c>
      <c r="W165" s="57">
        <f t="shared" si="39"/>
        <v>198.36237000000074</v>
      </c>
      <c r="X165" s="57">
        <f t="shared" si="40"/>
        <v>66.827729999999974</v>
      </c>
      <c r="Y165" s="57">
        <f t="shared" si="41"/>
        <v>193.83292729999994</v>
      </c>
      <c r="AC165" s="57">
        <f t="shared" si="26"/>
        <v>13664.41</v>
      </c>
      <c r="AD165" s="57">
        <f t="shared" si="42"/>
        <v>13664.41</v>
      </c>
      <c r="AE165" s="57"/>
      <c r="AI165" s="343">
        <v>60.9</v>
      </c>
      <c r="AJ165" s="407">
        <v>15.928808</v>
      </c>
      <c r="AK165" s="407">
        <v>20.827622000000002</v>
      </c>
      <c r="AM165" s="442">
        <f t="shared" si="27"/>
        <v>193.69214570230238</v>
      </c>
      <c r="AN165" s="442">
        <f t="shared" si="28"/>
        <v>664.15044992694993</v>
      </c>
      <c r="AO165" s="442">
        <f t="shared" si="29"/>
        <v>109.8387613184866</v>
      </c>
      <c r="AP165" s="442">
        <f t="shared" si="30"/>
        <v>161.28702365738854</v>
      </c>
      <c r="AQ165" s="442"/>
      <c r="AR165" s="442">
        <f t="shared" si="43"/>
        <v>5.9029152841202119</v>
      </c>
      <c r="AS165" s="442">
        <f t="shared" si="44"/>
        <v>-0.84083279311812475</v>
      </c>
      <c r="AT165" s="442">
        <f t="shared" si="45"/>
        <v>2.0403953088061257</v>
      </c>
      <c r="AU165" s="442">
        <f t="shared" si="46"/>
        <v>9.1268572558660708</v>
      </c>
      <c r="AV165" s="442"/>
      <c r="AW165" s="442"/>
      <c r="AX165" s="442"/>
      <c r="AY165" s="442"/>
      <c r="AZ165" s="57">
        <f t="shared" si="31"/>
        <v>1.2449032996524527</v>
      </c>
      <c r="BA165" s="57">
        <f t="shared" si="32"/>
        <v>1.3664301002127646</v>
      </c>
      <c r="BB165" s="57">
        <f t="shared" si="33"/>
        <v>1.1939034824502204</v>
      </c>
      <c r="BC165" s="57">
        <f t="shared" si="34"/>
        <v>1.2974234240150908</v>
      </c>
      <c r="BD165" s="57">
        <f t="shared" si="35"/>
        <v>1.2877986889405795</v>
      </c>
      <c r="BE165" s="442"/>
      <c r="BF165" s="57"/>
      <c r="BG165" s="57"/>
      <c r="BH165" s="57"/>
      <c r="BI165" s="57"/>
      <c r="BK165" s="656">
        <f t="shared" si="47"/>
        <v>3.1433726369585635E-2</v>
      </c>
      <c r="BL165" s="656">
        <f t="shared" si="48"/>
        <v>-1.2644267901961159E-3</v>
      </c>
      <c r="BM165" s="656">
        <f t="shared" si="49"/>
        <v>1.8927887168743274E-2</v>
      </c>
      <c r="BN165" s="656">
        <f t="shared" si="50"/>
        <v>5.998190900884004E-2</v>
      </c>
    </row>
    <row r="166" spans="2:66" x14ac:dyDescent="0.25">
      <c r="B166" t="str">
        <f t="shared" si="36"/>
        <v>FY08A</v>
      </c>
      <c r="C166" s="40" t="s">
        <v>157</v>
      </c>
      <c r="D166" s="205">
        <f t="shared" si="37"/>
        <v>39629</v>
      </c>
      <c r="E166" s="343" t="s">
        <v>636</v>
      </c>
      <c r="F166" s="407">
        <v>3210.92250861</v>
      </c>
      <c r="G166" s="407">
        <v>10184.159986729999</v>
      </c>
      <c r="H166" s="407">
        <v>3.7709999999999999</v>
      </c>
      <c r="I166" s="407">
        <v>228.44360626</v>
      </c>
      <c r="J166" s="407">
        <v>1855.96736487</v>
      </c>
      <c r="K166" s="407">
        <v>22.31</v>
      </c>
      <c r="L166" s="407">
        <v>2594.4810279399999</v>
      </c>
      <c r="M166" s="407">
        <v>18100.05549441</v>
      </c>
      <c r="V166" s="57">
        <f t="shared" si="38"/>
        <v>125.63750861000017</v>
      </c>
      <c r="W166" s="57">
        <f t="shared" si="39"/>
        <v>-394.96501327000078</v>
      </c>
      <c r="X166" s="57">
        <f t="shared" si="40"/>
        <v>106.36682487000007</v>
      </c>
      <c r="Y166" s="57">
        <f t="shared" si="41"/>
        <v>25.370995209999819</v>
      </c>
      <c r="AC166" s="57">
        <f t="shared" si="26"/>
        <v>13395.082495339999</v>
      </c>
      <c r="AD166" s="57">
        <f t="shared" si="42"/>
        <v>13395.082495339999</v>
      </c>
      <c r="AE166" s="57"/>
      <c r="AI166" s="343">
        <v>63.63</v>
      </c>
      <c r="AJ166" s="407">
        <v>16.292674999999999</v>
      </c>
      <c r="AK166" s="407">
        <v>21.249199000000001</v>
      </c>
      <c r="AM166" s="442">
        <f t="shared" si="27"/>
        <v>197.07767500487182</v>
      </c>
      <c r="AN166" s="442">
        <f t="shared" si="28"/>
        <v>625.0759919245919</v>
      </c>
      <c r="AO166" s="442">
        <f t="shared" si="29"/>
        <v>113.91422003262203</v>
      </c>
      <c r="AP166" s="442">
        <f t="shared" si="30"/>
        <v>159.24217649587928</v>
      </c>
      <c r="AQ166" s="442"/>
      <c r="AR166" s="442">
        <f t="shared" si="43"/>
        <v>3.385529302569438</v>
      </c>
      <c r="AS166" s="442">
        <f t="shared" si="44"/>
        <v>-39.074458002358028</v>
      </c>
      <c r="AT166" s="442">
        <f t="shared" si="45"/>
        <v>4.0754587141354222</v>
      </c>
      <c r="AU166" s="442">
        <f t="shared" si="46"/>
        <v>-2.0448471615092672</v>
      </c>
      <c r="AV166" s="442"/>
      <c r="AW166" s="442"/>
      <c r="AX166" s="442"/>
      <c r="AY166" s="442"/>
      <c r="AZ166" s="57">
        <f t="shared" si="31"/>
        <v>1.2666628634414592</v>
      </c>
      <c r="BA166" s="57">
        <f t="shared" si="32"/>
        <v>1.2860379005691533</v>
      </c>
      <c r="BB166" s="57">
        <f t="shared" si="33"/>
        <v>1.2382020915476033</v>
      </c>
      <c r="BC166" s="57">
        <f t="shared" si="34"/>
        <v>1.2809742854191144</v>
      </c>
      <c r="BD166" s="57">
        <f t="shared" si="35"/>
        <v>1.3455275956861916</v>
      </c>
      <c r="BE166" s="442"/>
      <c r="BF166" s="57"/>
      <c r="BG166" s="57"/>
      <c r="BH166" s="57"/>
      <c r="BI166" s="57"/>
      <c r="BK166" s="656">
        <f t="shared" si="47"/>
        <v>1.7478918880752481E-2</v>
      </c>
      <c r="BL166" s="656">
        <f t="shared" si="48"/>
        <v>-5.8833744683385869E-2</v>
      </c>
      <c r="BM166" s="656">
        <f t="shared" si="49"/>
        <v>3.7104011964576689E-2</v>
      </c>
      <c r="BN166" s="656">
        <f t="shared" si="50"/>
        <v>-1.2678311714977131E-2</v>
      </c>
    </row>
    <row r="167" spans="2:66" x14ac:dyDescent="0.25">
      <c r="B167" t="str">
        <f t="shared" si="36"/>
        <v>FY09A</v>
      </c>
      <c r="C167" s="40" t="s">
        <v>158</v>
      </c>
      <c r="D167" s="205">
        <f t="shared" si="37"/>
        <v>39994</v>
      </c>
      <c r="E167" s="343" t="s">
        <v>637</v>
      </c>
      <c r="F167" s="407">
        <v>3462.9520000000002</v>
      </c>
      <c r="G167" s="407">
        <v>10468.352192169999</v>
      </c>
      <c r="H167" s="407">
        <v>0.76100000000000001</v>
      </c>
      <c r="I167" s="407">
        <v>260.05804929999999</v>
      </c>
      <c r="J167" s="407">
        <v>1995.9912916000001</v>
      </c>
      <c r="K167" s="407">
        <v>23.224</v>
      </c>
      <c r="L167" s="407">
        <v>2827.8248655000002</v>
      </c>
      <c r="M167" s="407">
        <v>19039.163398569999</v>
      </c>
      <c r="V167" s="57">
        <f t="shared" si="38"/>
        <v>252.0294913900002</v>
      </c>
      <c r="W167" s="57">
        <f t="shared" si="39"/>
        <v>284.19220544000018</v>
      </c>
      <c r="X167" s="57">
        <f t="shared" si="40"/>
        <v>140.02392673000008</v>
      </c>
      <c r="Y167" s="57">
        <f t="shared" si="41"/>
        <v>233.34383756000034</v>
      </c>
      <c r="AC167" s="57">
        <f t="shared" si="26"/>
        <v>13931.304192169999</v>
      </c>
      <c r="AD167" s="57">
        <f t="shared" si="42"/>
        <v>13931.304192169999</v>
      </c>
      <c r="AE167" s="57"/>
      <c r="AI167" s="343">
        <v>64.55</v>
      </c>
      <c r="AJ167" s="407">
        <v>16.677226000000001</v>
      </c>
      <c r="AK167" s="407">
        <v>21.691652999999999</v>
      </c>
      <c r="AM167" s="442">
        <f t="shared" si="27"/>
        <v>207.64556407642374</v>
      </c>
      <c r="AN167" s="442">
        <f t="shared" si="28"/>
        <v>627.70344373638625</v>
      </c>
      <c r="AO167" s="442">
        <f t="shared" si="29"/>
        <v>119.68365072224842</v>
      </c>
      <c r="AP167" s="442">
        <f t="shared" si="30"/>
        <v>169.56206418861265</v>
      </c>
      <c r="AQ167" s="442"/>
      <c r="AR167" s="442">
        <f t="shared" si="43"/>
        <v>10.567889071551917</v>
      </c>
      <c r="AS167" s="442">
        <f t="shared" si="44"/>
        <v>2.6274518117943444</v>
      </c>
      <c r="AT167" s="442">
        <f t="shared" si="45"/>
        <v>5.7694306896263896</v>
      </c>
      <c r="AU167" s="442">
        <f t="shared" si="46"/>
        <v>10.319887692733374</v>
      </c>
      <c r="AV167" s="442"/>
      <c r="AW167" s="442"/>
      <c r="AX167" s="442"/>
      <c r="AY167" s="442"/>
      <c r="AZ167" s="57">
        <f t="shared" si="31"/>
        <v>1.3345850805651023</v>
      </c>
      <c r="BA167" s="57">
        <f t="shared" si="32"/>
        <v>1.2914436474791935</v>
      </c>
      <c r="BB167" s="57">
        <f t="shared" si="33"/>
        <v>1.3009134997009362</v>
      </c>
      <c r="BC167" s="57">
        <f t="shared" si="34"/>
        <v>1.3639894203142766</v>
      </c>
      <c r="BD167" s="57">
        <f t="shared" si="35"/>
        <v>1.3649820257982659</v>
      </c>
      <c r="BE167" s="442"/>
      <c r="BF167" s="57"/>
      <c r="BG167" s="57"/>
      <c r="BH167" s="57"/>
      <c r="BI167" s="57"/>
      <c r="BK167" s="656">
        <f t="shared" si="47"/>
        <v>5.362296399777744E-2</v>
      </c>
      <c r="BL167" s="656">
        <f t="shared" si="48"/>
        <v>4.2034118183047475E-3</v>
      </c>
      <c r="BM167" s="656">
        <f t="shared" si="49"/>
        <v>5.0647150882253023E-2</v>
      </c>
      <c r="BN167" s="656">
        <f t="shared" si="50"/>
        <v>6.4806246183155114E-2</v>
      </c>
    </row>
    <row r="168" spans="2:66" x14ac:dyDescent="0.25">
      <c r="B168" t="str">
        <f t="shared" si="36"/>
        <v>FY10A</v>
      </c>
      <c r="C168" s="40" t="s">
        <v>159</v>
      </c>
      <c r="D168" s="205">
        <f t="shared" si="37"/>
        <v>40359</v>
      </c>
      <c r="E168" s="343" t="s">
        <v>638</v>
      </c>
      <c r="F168" s="407">
        <v>3519.9934737899998</v>
      </c>
      <c r="G168" s="407">
        <v>10223.309956999999</v>
      </c>
      <c r="H168" s="407">
        <v>0</v>
      </c>
      <c r="I168" s="407">
        <v>261.85010675000001</v>
      </c>
      <c r="J168" s="407">
        <v>1489.676719044</v>
      </c>
      <c r="K168" s="407">
        <v>19.925000000000001</v>
      </c>
      <c r="L168" s="407">
        <v>2941.331741</v>
      </c>
      <c r="M168" s="407">
        <v>18456.086997584</v>
      </c>
      <c r="V168" s="57">
        <f t="shared" si="38"/>
        <v>57.0414737899996</v>
      </c>
      <c r="W168" s="57">
        <f t="shared" si="39"/>
        <v>-245.04223516999991</v>
      </c>
      <c r="X168" s="57">
        <f t="shared" si="40"/>
        <v>-506.31457255600003</v>
      </c>
      <c r="Y168" s="57">
        <f t="shared" si="41"/>
        <v>113.50687549999975</v>
      </c>
      <c r="AC168" s="57">
        <f t="shared" si="26"/>
        <v>13743.30343079</v>
      </c>
      <c r="AD168" s="57">
        <f t="shared" si="42"/>
        <v>13743.30343079</v>
      </c>
      <c r="AE168" s="57"/>
      <c r="AI168" s="343">
        <v>66.52</v>
      </c>
      <c r="AJ168" s="407">
        <v>16.972405999999999</v>
      </c>
      <c r="AK168" s="407">
        <v>22.031749999999999</v>
      </c>
      <c r="AM168" s="442">
        <f t="shared" si="27"/>
        <v>207.39507844615548</v>
      </c>
      <c r="AN168" s="442">
        <f t="shared" si="28"/>
        <v>602.34889249055198</v>
      </c>
      <c r="AO168" s="442">
        <f t="shared" si="29"/>
        <v>87.77050932224931</v>
      </c>
      <c r="AP168" s="442">
        <f t="shared" si="30"/>
        <v>173.30081197680516</v>
      </c>
      <c r="AQ168" s="442"/>
      <c r="AR168" s="442">
        <f t="shared" si="43"/>
        <v>-0.25048563026825832</v>
      </c>
      <c r="AS168" s="442">
        <f t="shared" si="44"/>
        <v>-25.354551245834273</v>
      </c>
      <c r="AT168" s="442">
        <f t="shared" si="45"/>
        <v>-31.913141399999105</v>
      </c>
      <c r="AU168" s="442">
        <f t="shared" si="46"/>
        <v>3.7387477881925122</v>
      </c>
      <c r="AV168" s="442"/>
      <c r="AW168" s="442"/>
      <c r="AX168" s="442"/>
      <c r="AY168" s="442"/>
      <c r="AZ168" s="57">
        <f t="shared" si="31"/>
        <v>1.3329751526740883</v>
      </c>
      <c r="BA168" s="57">
        <f t="shared" si="32"/>
        <v>1.2392789278685907</v>
      </c>
      <c r="BB168" s="57">
        <f t="shared" si="33"/>
        <v>0.954030393991945</v>
      </c>
      <c r="BC168" s="57">
        <f t="shared" si="34"/>
        <v>1.3940646169847148</v>
      </c>
      <c r="BD168" s="57">
        <f t="shared" si="35"/>
        <v>1.4066398815817296</v>
      </c>
      <c r="BE168" s="442"/>
      <c r="BF168" s="57"/>
      <c r="BG168" s="57"/>
      <c r="BH168" s="57"/>
      <c r="BI168" s="57"/>
      <c r="BK168" s="656">
        <f t="shared" si="47"/>
        <v>-1.2063134186486302E-3</v>
      </c>
      <c r="BL168" s="656">
        <f t="shared" si="48"/>
        <v>-4.0392563556624905E-2</v>
      </c>
      <c r="BM168" s="656">
        <f t="shared" si="49"/>
        <v>-0.26664578835467168</v>
      </c>
      <c r="BN168" s="656">
        <f t="shared" si="50"/>
        <v>2.2049435444674081E-2</v>
      </c>
    </row>
    <row r="169" spans="2:66" x14ac:dyDescent="0.25">
      <c r="B169" t="str">
        <f t="shared" si="36"/>
        <v>FY11A</v>
      </c>
      <c r="C169" s="40" t="s">
        <v>160</v>
      </c>
      <c r="D169" s="205">
        <f t="shared" si="37"/>
        <v>40724</v>
      </c>
      <c r="E169" s="343" t="s">
        <v>639</v>
      </c>
      <c r="F169" s="407">
        <v>3693.932859</v>
      </c>
      <c r="G169" s="407">
        <v>10623.507616000001</v>
      </c>
      <c r="H169" s="407">
        <v>0</v>
      </c>
      <c r="I169" s="407">
        <v>285.19230599999997</v>
      </c>
      <c r="J169" s="407">
        <v>1775.171</v>
      </c>
      <c r="K169" s="407">
        <v>24.806000000000001</v>
      </c>
      <c r="L169" s="407">
        <v>3018.7957609999999</v>
      </c>
      <c r="M169" s="407">
        <v>19421.405542</v>
      </c>
      <c r="V169" s="57">
        <f t="shared" si="38"/>
        <v>173.93938521000018</v>
      </c>
      <c r="W169" s="57">
        <f t="shared" si="39"/>
        <v>400.19765900000129</v>
      </c>
      <c r="X169" s="57">
        <f t="shared" si="40"/>
        <v>285.49428095600001</v>
      </c>
      <c r="Y169" s="57">
        <f t="shared" si="41"/>
        <v>77.464019999999891</v>
      </c>
      <c r="AC169" s="57">
        <f t="shared" si="26"/>
        <v>14317.440475000001</v>
      </c>
      <c r="AD169" s="57">
        <f t="shared" si="42"/>
        <v>14317.440475000001</v>
      </c>
      <c r="AE169" s="57"/>
      <c r="AI169" s="343">
        <v>68.930000000000007</v>
      </c>
      <c r="AJ169" s="407">
        <v>17.245436000000002</v>
      </c>
      <c r="AK169" s="407">
        <v>22.340024</v>
      </c>
      <c r="AM169" s="442">
        <f t="shared" si="27"/>
        <v>214.19770767175731</v>
      </c>
      <c r="AN169" s="442">
        <f t="shared" si="28"/>
        <v>616.01849996717976</v>
      </c>
      <c r="AO169" s="442">
        <f t="shared" si="29"/>
        <v>102.93569846537947</v>
      </c>
      <c r="AP169" s="442">
        <f t="shared" si="30"/>
        <v>175.04896721660151</v>
      </c>
      <c r="AQ169" s="442"/>
      <c r="AR169" s="442">
        <f t="shared" si="43"/>
        <v>6.8026292256018337</v>
      </c>
      <c r="AS169" s="442">
        <f t="shared" si="44"/>
        <v>13.669607476627789</v>
      </c>
      <c r="AT169" s="442">
        <f t="shared" si="45"/>
        <v>15.165189143130164</v>
      </c>
      <c r="AU169" s="442">
        <f t="shared" si="46"/>
        <v>1.7481552397963469</v>
      </c>
      <c r="AV169" s="442"/>
      <c r="AW169" s="442"/>
      <c r="AX169" s="442"/>
      <c r="AY169" s="442"/>
      <c r="AZ169" s="57">
        <f t="shared" si="31"/>
        <v>1.376697191781858</v>
      </c>
      <c r="BA169" s="57">
        <f t="shared" si="32"/>
        <v>1.2674029216356839</v>
      </c>
      <c r="BB169" s="57">
        <f t="shared" si="33"/>
        <v>1.1188699452820419</v>
      </c>
      <c r="BC169" s="57">
        <f t="shared" si="34"/>
        <v>1.4081271094623766</v>
      </c>
      <c r="BD169" s="57">
        <f t="shared" si="35"/>
        <v>1.4576020300274901</v>
      </c>
      <c r="BE169" s="442"/>
      <c r="BF169" s="57"/>
      <c r="BG169" s="57"/>
      <c r="BH169" s="57"/>
      <c r="BI169" s="57"/>
      <c r="BK169" s="656">
        <f t="shared" si="47"/>
        <v>3.2800340666560013E-2</v>
      </c>
      <c r="BL169" s="656">
        <f t="shared" si="48"/>
        <v>2.2693836822887725E-2</v>
      </c>
      <c r="BM169" s="656">
        <f t="shared" si="49"/>
        <v>0.17278228484981439</v>
      </c>
      <c r="BN169" s="656">
        <f t="shared" si="50"/>
        <v>1.0087403629882141E-2</v>
      </c>
    </row>
    <row r="170" spans="2:66" x14ac:dyDescent="0.25">
      <c r="B170" t="str">
        <f t="shared" si="36"/>
        <v>FY12A</v>
      </c>
      <c r="C170" s="40" t="s">
        <v>161</v>
      </c>
      <c r="D170" s="205">
        <f t="shared" si="37"/>
        <v>41090</v>
      </c>
      <c r="E170" s="343" t="s">
        <v>640</v>
      </c>
      <c r="F170" s="407">
        <v>4081.0916699999998</v>
      </c>
      <c r="G170" s="407">
        <v>10911.185592</v>
      </c>
      <c r="H170" s="407">
        <v>0</v>
      </c>
      <c r="I170" s="407">
        <v>307.15191700000003</v>
      </c>
      <c r="J170" s="407">
        <v>1968.269108</v>
      </c>
      <c r="K170" s="407">
        <v>24.312000000000001</v>
      </c>
      <c r="L170" s="407">
        <v>3256.7530179999999</v>
      </c>
      <c r="M170" s="407">
        <v>20548.763305</v>
      </c>
      <c r="V170" s="57">
        <f t="shared" si="38"/>
        <v>387.15881099999979</v>
      </c>
      <c r="W170" s="57">
        <f t="shared" si="39"/>
        <v>287.67797599999903</v>
      </c>
      <c r="X170" s="57">
        <f t="shared" si="40"/>
        <v>193.09810799999991</v>
      </c>
      <c r="Y170" s="57">
        <f t="shared" si="41"/>
        <v>237.95725700000003</v>
      </c>
      <c r="AC170" s="57">
        <f t="shared" si="26"/>
        <v>14992.277262</v>
      </c>
      <c r="AD170" s="57">
        <f t="shared" si="42"/>
        <v>14992.277262</v>
      </c>
      <c r="AE170" s="57"/>
      <c r="AI170" s="343">
        <v>69.739999999999995</v>
      </c>
      <c r="AJ170" s="407">
        <v>17.566217000000002</v>
      </c>
      <c r="AK170" s="407">
        <v>22.733464999999999</v>
      </c>
      <c r="AM170" s="442">
        <f t="shared" si="27"/>
        <v>232.32615593898217</v>
      </c>
      <c r="AN170" s="442">
        <f t="shared" si="28"/>
        <v>621.14600952498756</v>
      </c>
      <c r="AO170" s="442">
        <f t="shared" si="29"/>
        <v>112.04854795998477</v>
      </c>
      <c r="AP170" s="442">
        <f t="shared" si="30"/>
        <v>185.39865572650044</v>
      </c>
      <c r="AQ170" s="442"/>
      <c r="AR170" s="442">
        <f t="shared" si="43"/>
        <v>18.128448267224854</v>
      </c>
      <c r="AS170" s="442">
        <f t="shared" si="44"/>
        <v>5.127509557807798</v>
      </c>
      <c r="AT170" s="442">
        <f t="shared" si="45"/>
        <v>9.1128494946052996</v>
      </c>
      <c r="AU170" s="442">
        <f t="shared" si="46"/>
        <v>10.349688509898925</v>
      </c>
      <c r="AV170" s="442"/>
      <c r="AW170" s="442"/>
      <c r="AX170" s="442"/>
      <c r="AY170" s="442"/>
      <c r="AZ170" s="57">
        <f t="shared" si="31"/>
        <v>1.493212835633176</v>
      </c>
      <c r="BA170" s="57">
        <f t="shared" si="32"/>
        <v>1.2779523135689241</v>
      </c>
      <c r="BB170" s="57">
        <f t="shared" si="33"/>
        <v>1.2179229809868686</v>
      </c>
      <c r="BC170" s="57">
        <f t="shared" si="34"/>
        <v>1.4913819677858013</v>
      </c>
      <c r="BD170" s="57">
        <f t="shared" si="35"/>
        <v>1.4747303869739903</v>
      </c>
      <c r="BE170" s="442"/>
      <c r="BF170" s="57"/>
      <c r="BG170" s="57"/>
      <c r="BH170" s="57"/>
      <c r="BI170" s="57"/>
      <c r="BK170" s="656">
        <f t="shared" si="47"/>
        <v>8.4634184297646131E-2</v>
      </c>
      <c r="BL170" s="656">
        <f t="shared" si="48"/>
        <v>8.323629173605962E-3</v>
      </c>
      <c r="BM170" s="656">
        <f t="shared" si="49"/>
        <v>8.8529534752904482E-2</v>
      </c>
      <c r="BN170" s="656">
        <f t="shared" si="50"/>
        <v>5.9124533406086588E-2</v>
      </c>
    </row>
    <row r="171" spans="2:66" x14ac:dyDescent="0.25">
      <c r="B171" t="str">
        <f t="shared" si="36"/>
        <v>FY13A</v>
      </c>
      <c r="C171" s="40" t="s">
        <v>162</v>
      </c>
      <c r="D171" s="205">
        <f t="shared" si="37"/>
        <v>41455</v>
      </c>
      <c r="E171" s="343" t="s">
        <v>641</v>
      </c>
      <c r="F171" s="407">
        <v>4119.3860240000004</v>
      </c>
      <c r="G171" s="407">
        <v>10827.929425</v>
      </c>
      <c r="H171" s="407">
        <v>0</v>
      </c>
      <c r="I171" s="407">
        <v>321.22477700000002</v>
      </c>
      <c r="J171" s="407">
        <v>2153.6608919999999</v>
      </c>
      <c r="K171" s="407">
        <v>25.164000000000001</v>
      </c>
      <c r="L171" s="407">
        <v>3348.1812380000001</v>
      </c>
      <c r="M171" s="407">
        <v>20795.546355999999</v>
      </c>
      <c r="V171" s="57">
        <f t="shared" si="38"/>
        <v>38.294354000000567</v>
      </c>
      <c r="W171" s="57">
        <f t="shared" si="39"/>
        <v>-83.25616699999955</v>
      </c>
      <c r="X171" s="57">
        <f t="shared" si="40"/>
        <v>185.39178399999992</v>
      </c>
      <c r="Y171" s="57">
        <f t="shared" si="41"/>
        <v>91.428220000000238</v>
      </c>
      <c r="AC171" s="57">
        <f t="shared" si="26"/>
        <v>14947.315449000002</v>
      </c>
      <c r="AD171" s="57">
        <f t="shared" si="42"/>
        <v>14947.315449000002</v>
      </c>
      <c r="AE171" s="57"/>
      <c r="AI171" s="343">
        <v>71.38</v>
      </c>
      <c r="AJ171" s="407">
        <v>17.891718000000001</v>
      </c>
      <c r="AK171" s="407">
        <v>23.128129000000001</v>
      </c>
      <c r="AM171" s="442">
        <f t="shared" si="27"/>
        <v>230.23982515262091</v>
      </c>
      <c r="AN171" s="442">
        <f t="shared" si="28"/>
        <v>605.19226968589601</v>
      </c>
      <c r="AO171" s="442">
        <f t="shared" si="29"/>
        <v>120.37194482944565</v>
      </c>
      <c r="AP171" s="442">
        <f t="shared" si="30"/>
        <v>187.13581546501013</v>
      </c>
      <c r="AQ171" s="442"/>
      <c r="AR171" s="442">
        <f t="shared" si="43"/>
        <v>-2.086330786361259</v>
      </c>
      <c r="AS171" s="442">
        <f t="shared" si="44"/>
        <v>-15.953739839091554</v>
      </c>
      <c r="AT171" s="442">
        <f t="shared" si="45"/>
        <v>8.3233968694608791</v>
      </c>
      <c r="AU171" s="442">
        <f t="shared" si="46"/>
        <v>1.7371597385096891</v>
      </c>
      <c r="AV171" s="442"/>
      <c r="AW171" s="442"/>
      <c r="AX171" s="442"/>
      <c r="AY171" s="442"/>
      <c r="AZ171" s="57">
        <f t="shared" si="31"/>
        <v>1.4798035150296469</v>
      </c>
      <c r="BA171" s="57">
        <f t="shared" si="32"/>
        <v>1.2451289219270212</v>
      </c>
      <c r="BB171" s="57">
        <f t="shared" si="33"/>
        <v>1.3083949818450218</v>
      </c>
      <c r="BC171" s="57">
        <f t="shared" si="34"/>
        <v>1.5053560103646144</v>
      </c>
      <c r="BD171" s="57">
        <f t="shared" si="35"/>
        <v>1.5094100232607315</v>
      </c>
      <c r="BE171" s="442"/>
      <c r="BF171" s="57"/>
      <c r="BG171" s="57"/>
      <c r="BH171" s="57"/>
      <c r="BI171" s="57"/>
      <c r="BK171" s="656">
        <f t="shared" si="47"/>
        <v>-8.9801803758557952E-3</v>
      </c>
      <c r="BL171" s="656">
        <f t="shared" si="48"/>
        <v>-2.5684363409646527E-2</v>
      </c>
      <c r="BM171" s="656">
        <f t="shared" si="49"/>
        <v>7.4283844110441866E-2</v>
      </c>
      <c r="BN171" s="656">
        <f t="shared" si="50"/>
        <v>9.3698615650823491E-3</v>
      </c>
    </row>
    <row r="172" spans="2:66" x14ac:dyDescent="0.25">
      <c r="B172" t="str">
        <f t="shared" si="36"/>
        <v>FY14A</v>
      </c>
      <c r="C172" s="40" t="s">
        <v>163</v>
      </c>
      <c r="D172" s="205">
        <f t="shared" si="37"/>
        <v>41820</v>
      </c>
      <c r="E172" s="343" t="s">
        <v>642</v>
      </c>
      <c r="F172" s="407">
        <v>4388.7491060000002</v>
      </c>
      <c r="G172" s="407">
        <v>11052.39451115</v>
      </c>
      <c r="H172" s="407">
        <v>0</v>
      </c>
      <c r="I172" s="407">
        <v>327.15991351999998</v>
      </c>
      <c r="J172" s="407">
        <v>1953.0906415280001</v>
      </c>
      <c r="K172" s="407">
        <v>26.803999999999998</v>
      </c>
      <c r="L172" s="407">
        <v>3533.4494444818001</v>
      </c>
      <c r="M172" s="407">
        <v>21281.647616679798</v>
      </c>
      <c r="V172" s="57">
        <f t="shared" si="38"/>
        <v>269.36308199999985</v>
      </c>
      <c r="W172" s="57">
        <f t="shared" si="39"/>
        <v>224.46508614999948</v>
      </c>
      <c r="X172" s="57">
        <f t="shared" si="40"/>
        <v>-200.57025047199977</v>
      </c>
      <c r="Y172" s="57">
        <f t="shared" si="41"/>
        <v>185.26820648180001</v>
      </c>
      <c r="AC172" s="57">
        <f t="shared" si="26"/>
        <v>15441.143617149999</v>
      </c>
      <c r="AD172" s="57">
        <f t="shared" si="42"/>
        <v>15441.143617149999</v>
      </c>
      <c r="AE172" s="57"/>
      <c r="AI172" s="343">
        <v>73.569999999999993</v>
      </c>
      <c r="AJ172" s="407">
        <v>18.177484</v>
      </c>
      <c r="AK172" s="407">
        <v>23.475686</v>
      </c>
      <c r="AM172" s="442">
        <f t="shared" si="27"/>
        <v>241.43875500041702</v>
      </c>
      <c r="AN172" s="442">
        <f t="shared" si="28"/>
        <v>608.02663950357487</v>
      </c>
      <c r="AO172" s="442">
        <f t="shared" si="29"/>
        <v>107.44559816573076</v>
      </c>
      <c r="AP172" s="442">
        <f t="shared" si="30"/>
        <v>194.38605719481311</v>
      </c>
      <c r="AQ172" s="442"/>
      <c r="AR172" s="442">
        <f t="shared" si="43"/>
        <v>11.198929847796109</v>
      </c>
      <c r="AS172" s="442">
        <f t="shared" si="44"/>
        <v>2.8343698176788621</v>
      </c>
      <c r="AT172" s="442">
        <f t="shared" si="45"/>
        <v>-12.926346663714895</v>
      </c>
      <c r="AU172" s="442">
        <f t="shared" si="46"/>
        <v>7.2502417298029798</v>
      </c>
      <c r="AV172" s="442"/>
      <c r="AW172" s="442"/>
      <c r="AX172" s="442"/>
      <c r="AY172" s="442"/>
      <c r="AZ172" s="57">
        <f t="shared" si="31"/>
        <v>1.5517815741788568</v>
      </c>
      <c r="BA172" s="57">
        <f t="shared" si="32"/>
        <v>1.2509603841121888</v>
      </c>
      <c r="BB172" s="57">
        <f t="shared" si="33"/>
        <v>1.1678907544492003</v>
      </c>
      <c r="BC172" s="57">
        <f t="shared" si="34"/>
        <v>1.5636783306400508</v>
      </c>
      <c r="BD172" s="57">
        <f t="shared" si="35"/>
        <v>1.5557200253753436</v>
      </c>
      <c r="BE172" s="442"/>
      <c r="BF172" s="57"/>
      <c r="BG172" s="57"/>
      <c r="BH172" s="57"/>
      <c r="BI172" s="57"/>
      <c r="BK172" s="656">
        <f t="shared" si="47"/>
        <v>4.8640281238802041E-2</v>
      </c>
      <c r="BL172" s="656">
        <f t="shared" si="48"/>
        <v>4.6834203932413221E-3</v>
      </c>
      <c r="BM172" s="656">
        <f t="shared" si="49"/>
        <v>-0.10738670611353973</v>
      </c>
      <c r="BN172" s="656">
        <f t="shared" si="50"/>
        <v>3.8743207502994537E-2</v>
      </c>
    </row>
    <row r="173" spans="2:66" x14ac:dyDescent="0.25">
      <c r="B173" t="str">
        <f t="shared" si="36"/>
        <v>FY15A</v>
      </c>
      <c r="C173" s="40" t="s">
        <v>164</v>
      </c>
      <c r="D173" s="205">
        <f t="shared" si="37"/>
        <v>42185</v>
      </c>
      <c r="E173" s="343" t="s">
        <v>643</v>
      </c>
      <c r="F173" s="407">
        <v>5174.2645679999996</v>
      </c>
      <c r="G173" s="407">
        <v>11588.90726</v>
      </c>
      <c r="H173" s="407">
        <v>0</v>
      </c>
      <c r="I173" s="407">
        <v>326.79416469</v>
      </c>
      <c r="J173" s="407">
        <v>1993.2382488799999</v>
      </c>
      <c r="K173" s="407">
        <v>23.09</v>
      </c>
      <c r="L173" s="407">
        <v>3801.9761290000001</v>
      </c>
      <c r="M173" s="407">
        <v>22908.270370570001</v>
      </c>
      <c r="V173" s="57">
        <f t="shared" si="38"/>
        <v>785.51546199999939</v>
      </c>
      <c r="W173" s="57">
        <f t="shared" si="39"/>
        <v>536.51274885000021</v>
      </c>
      <c r="X173" s="57">
        <f t="shared" si="40"/>
        <v>40.147607351999795</v>
      </c>
      <c r="Y173" s="57">
        <f t="shared" si="41"/>
        <v>268.5266845182</v>
      </c>
      <c r="AC173" s="57">
        <f t="shared" si="26"/>
        <v>16763.171827999999</v>
      </c>
      <c r="AD173" s="57">
        <f t="shared" si="42"/>
        <v>16763.171827999999</v>
      </c>
      <c r="AE173" s="57"/>
      <c r="AI173" s="343">
        <v>74.69</v>
      </c>
      <c r="AJ173" s="407">
        <v>18.455136</v>
      </c>
      <c r="AK173" s="407">
        <v>23.815995000000001</v>
      </c>
      <c r="AM173" s="442">
        <f t="shared" si="27"/>
        <v>280.36989638006457</v>
      </c>
      <c r="AN173" s="442">
        <f t="shared" si="28"/>
        <v>627.95024972993974</v>
      </c>
      <c r="AO173" s="442">
        <f t="shared" si="29"/>
        <v>108.00452778456902</v>
      </c>
      <c r="AP173" s="442">
        <f t="shared" si="30"/>
        <v>206.01181855284079</v>
      </c>
      <c r="AQ173" s="442"/>
      <c r="AR173" s="442">
        <f t="shared" si="43"/>
        <v>38.931141379647556</v>
      </c>
      <c r="AS173" s="442">
        <f t="shared" si="44"/>
        <v>19.923610226364872</v>
      </c>
      <c r="AT173" s="442">
        <f t="shared" si="45"/>
        <v>0.55892961883826331</v>
      </c>
      <c r="AU173" s="442">
        <f t="shared" si="46"/>
        <v>11.625761358027688</v>
      </c>
      <c r="AV173" s="442"/>
      <c r="AW173" s="442"/>
      <c r="AX173" s="442"/>
      <c r="AY173" s="442"/>
      <c r="AZ173" s="57">
        <f t="shared" si="31"/>
        <v>1.8020008393278375</v>
      </c>
      <c r="BA173" s="57">
        <f t="shared" si="32"/>
        <v>1.2919514287184315</v>
      </c>
      <c r="BB173" s="57">
        <f t="shared" si="33"/>
        <v>1.1739660962535445</v>
      </c>
      <c r="BC173" s="57">
        <f t="shared" si="34"/>
        <v>1.657198161100532</v>
      </c>
      <c r="BD173" s="57">
        <f t="shared" si="35"/>
        <v>1.5794036794248256</v>
      </c>
      <c r="BE173" s="442"/>
      <c r="BF173" s="57"/>
      <c r="BG173" s="57"/>
      <c r="BH173" s="57"/>
      <c r="BI173" s="57"/>
      <c r="BK173" s="656">
        <f t="shared" si="47"/>
        <v>0.16124644686632972</v>
      </c>
      <c r="BL173" s="656">
        <f t="shared" si="48"/>
        <v>3.2767660052907432E-2</v>
      </c>
      <c r="BM173" s="656">
        <f t="shared" si="49"/>
        <v>5.2019778230107949E-3</v>
      </c>
      <c r="BN173" s="656">
        <f t="shared" si="50"/>
        <v>5.9807588701572323E-2</v>
      </c>
    </row>
    <row r="174" spans="2:66" x14ac:dyDescent="0.25">
      <c r="B174" t="str">
        <f t="shared" si="36"/>
        <v>FY16A</v>
      </c>
      <c r="C174" s="40" t="s">
        <v>165</v>
      </c>
      <c r="D174" s="205">
        <f t="shared" si="37"/>
        <v>42551</v>
      </c>
      <c r="E174" s="343" t="s">
        <v>644</v>
      </c>
      <c r="F174" s="407">
        <v>5194.8651414200003</v>
      </c>
      <c r="G174" s="407">
        <v>12074.258</v>
      </c>
      <c r="H174" s="407">
        <v>8.0000000000000002E-3</v>
      </c>
      <c r="I174" s="407">
        <v>345.84417237999997</v>
      </c>
      <c r="J174" s="407">
        <v>2138.3032747500001</v>
      </c>
      <c r="K174" s="407">
        <v>31.77</v>
      </c>
      <c r="L174" s="407">
        <v>4019.6021500000002</v>
      </c>
      <c r="M174" s="407">
        <v>23804.650738550001</v>
      </c>
      <c r="V174" s="57">
        <f t="shared" si="38"/>
        <v>20.600573420000728</v>
      </c>
      <c r="W174" s="57">
        <f t="shared" si="39"/>
        <v>485.35073999999986</v>
      </c>
      <c r="X174" s="57">
        <f t="shared" si="40"/>
        <v>145.06502587000023</v>
      </c>
      <c r="Y174" s="57">
        <f t="shared" si="41"/>
        <v>217.62602100000004</v>
      </c>
      <c r="AC174" s="57">
        <f t="shared" si="26"/>
        <v>17269.123141420001</v>
      </c>
      <c r="AD174" s="57">
        <f t="shared" si="42"/>
        <v>17269.123141420001</v>
      </c>
      <c r="AE174" s="57"/>
      <c r="AI174" s="343">
        <v>75.45</v>
      </c>
      <c r="AJ174" s="407">
        <v>18.751964000000001</v>
      </c>
      <c r="AK174" s="407">
        <v>24.190906999999999</v>
      </c>
      <c r="AM174" s="442">
        <f t="shared" si="27"/>
        <v>277.03045619221541</v>
      </c>
      <c r="AN174" s="442">
        <f t="shared" si="28"/>
        <v>643.89298102321436</v>
      </c>
      <c r="AO174" s="442">
        <f t="shared" si="29"/>
        <v>114.03089696364604</v>
      </c>
      <c r="AP174" s="442">
        <f t="shared" si="30"/>
        <v>214.35632822247311</v>
      </c>
      <c r="AQ174" s="442"/>
      <c r="AR174" s="442">
        <f t="shared" si="43"/>
        <v>-3.3394401878491635</v>
      </c>
      <c r="AS174" s="442">
        <f t="shared" si="44"/>
        <v>15.942731293274619</v>
      </c>
      <c r="AT174" s="442">
        <f t="shared" si="45"/>
        <v>6.0263691790770224</v>
      </c>
      <c r="AU174" s="442">
        <f t="shared" si="46"/>
        <v>8.3445096696323162</v>
      </c>
      <c r="AV174" s="442"/>
      <c r="AW174" s="442"/>
      <c r="AX174" s="442"/>
      <c r="AY174" s="442"/>
      <c r="AZ174" s="57">
        <f t="shared" si="31"/>
        <v>1.7805375007202151</v>
      </c>
      <c r="BA174" s="57">
        <f t="shared" si="32"/>
        <v>1.3247521712627308</v>
      </c>
      <c r="BB174" s="57">
        <f t="shared" si="33"/>
        <v>1.239470323204616</v>
      </c>
      <c r="BC174" s="57">
        <f t="shared" si="34"/>
        <v>1.7243229803314897</v>
      </c>
      <c r="BD174" s="57">
        <f t="shared" si="35"/>
        <v>1.5954747303869741</v>
      </c>
      <c r="BE174" s="442"/>
      <c r="BF174" s="57"/>
      <c r="BG174" s="57"/>
      <c r="BH174" s="57"/>
      <c r="BI174" s="57"/>
      <c r="BK174" s="656">
        <f t="shared" si="47"/>
        <v>-1.19108371867509E-2</v>
      </c>
      <c r="BL174" s="656">
        <f t="shared" si="48"/>
        <v>2.538852608169373E-2</v>
      </c>
      <c r="BM174" s="656">
        <f t="shared" si="49"/>
        <v>5.5797375375757463E-2</v>
      </c>
      <c r="BN174" s="656">
        <f t="shared" si="50"/>
        <v>4.0505004655798427E-2</v>
      </c>
    </row>
    <row r="175" spans="2:66" x14ac:dyDescent="0.25">
      <c r="B175" t="str">
        <f t="shared" si="36"/>
        <v>FY17A</v>
      </c>
      <c r="C175" s="40" t="s">
        <v>166</v>
      </c>
      <c r="D175" s="205">
        <f t="shared" si="37"/>
        <v>42916</v>
      </c>
      <c r="E175" s="343" t="s">
        <v>645</v>
      </c>
      <c r="F175" s="407">
        <v>4790.0405252399996</v>
      </c>
      <c r="G175" s="407">
        <v>12136.232498679999</v>
      </c>
      <c r="H175" s="407">
        <v>4.5649999999999996E-3</v>
      </c>
      <c r="I175" s="407">
        <v>356.78954321499998</v>
      </c>
      <c r="J175" s="407">
        <v>2003.22876428</v>
      </c>
      <c r="K175" s="407">
        <v>34.35</v>
      </c>
      <c r="L175" s="407">
        <v>4376.9653968999</v>
      </c>
      <c r="M175" s="407">
        <v>23697.611293314902</v>
      </c>
      <c r="V175" s="57">
        <f t="shared" si="38"/>
        <v>-404.8246161800007</v>
      </c>
      <c r="W175" s="57">
        <f t="shared" si="39"/>
        <v>61.97449867999967</v>
      </c>
      <c r="X175" s="57">
        <f t="shared" si="40"/>
        <v>-135.07451047000018</v>
      </c>
      <c r="Y175" s="57">
        <f t="shared" si="41"/>
        <v>357.36324689989988</v>
      </c>
      <c r="AC175" s="57">
        <f t="shared" si="26"/>
        <v>16926.273023919999</v>
      </c>
      <c r="AD175" s="57">
        <f t="shared" si="42"/>
        <v>16926.273023919999</v>
      </c>
      <c r="AE175" s="57"/>
      <c r="AI175" s="343">
        <v>76.88</v>
      </c>
      <c r="AJ175" s="407">
        <v>19.089645000000001</v>
      </c>
      <c r="AK175" s="407">
        <v>24.592587999999999</v>
      </c>
      <c r="AM175" s="442">
        <f t="shared" si="27"/>
        <v>250.92349937570864</v>
      </c>
      <c r="AN175" s="442">
        <f t="shared" si="28"/>
        <v>635.74951229737371</v>
      </c>
      <c r="AO175" s="442">
        <f t="shared" si="29"/>
        <v>104.93797890322213</v>
      </c>
      <c r="AP175" s="442">
        <f t="shared" si="30"/>
        <v>229.28479795721188</v>
      </c>
      <c r="AQ175" s="442"/>
      <c r="AR175" s="442">
        <f t="shared" si="43"/>
        <v>-26.106956816506766</v>
      </c>
      <c r="AS175" s="442">
        <f t="shared" si="44"/>
        <v>-8.1434687258406484</v>
      </c>
      <c r="AT175" s="442">
        <f t="shared" si="45"/>
        <v>-9.0929180604239122</v>
      </c>
      <c r="AU175" s="442">
        <f t="shared" si="46"/>
        <v>14.928469734738769</v>
      </c>
      <c r="AV175" s="442"/>
      <c r="AW175" s="442"/>
      <c r="AX175" s="442"/>
      <c r="AY175" s="442"/>
      <c r="AZ175" s="57">
        <f t="shared" si="31"/>
        <v>1.6127421749628887</v>
      </c>
      <c r="BA175" s="57">
        <f t="shared" si="32"/>
        <v>1.3079977133106901</v>
      </c>
      <c r="BB175" s="57">
        <f t="shared" si="33"/>
        <v>1.1406339342317238</v>
      </c>
      <c r="BC175" s="57">
        <f t="shared" si="34"/>
        <v>1.8444104236939127</v>
      </c>
      <c r="BD175" s="57">
        <f t="shared" si="35"/>
        <v>1.6257136815394375</v>
      </c>
      <c r="BE175" s="442"/>
      <c r="BF175" s="57"/>
      <c r="BG175" s="57"/>
      <c r="BH175" s="57"/>
      <c r="BI175" s="57"/>
      <c r="BK175" s="656">
        <f t="shared" si="47"/>
        <v>-9.4238580029600283E-2</v>
      </c>
      <c r="BL175" s="656">
        <f t="shared" si="48"/>
        <v>-1.2647239472776683E-2</v>
      </c>
      <c r="BM175" s="656">
        <f t="shared" si="49"/>
        <v>-7.9740827289316196E-2</v>
      </c>
      <c r="BN175" s="656">
        <f t="shared" si="50"/>
        <v>6.9643242439033637E-2</v>
      </c>
    </row>
    <row r="176" spans="2:66" x14ac:dyDescent="0.25">
      <c r="B176" t="str">
        <f t="shared" si="36"/>
        <v>FY18A</v>
      </c>
      <c r="C176" s="40" t="s">
        <v>167</v>
      </c>
      <c r="D176" s="205">
        <f t="shared" si="37"/>
        <v>43281</v>
      </c>
      <c r="E176" s="343" t="s">
        <v>646</v>
      </c>
      <c r="F176" s="407">
        <v>5100.5828034200003</v>
      </c>
      <c r="G176" s="407">
        <v>12520.4220878</v>
      </c>
      <c r="H176" s="407">
        <v>1E-3</v>
      </c>
      <c r="I176" s="407">
        <v>354.67019465999999</v>
      </c>
      <c r="J176" s="407">
        <v>2095.34005349787</v>
      </c>
      <c r="K176" s="407">
        <v>34.61</v>
      </c>
      <c r="L176" s="407">
        <v>4946.7385442878503</v>
      </c>
      <c r="M176" s="407">
        <v>25052.364683665699</v>
      </c>
      <c r="V176" s="57">
        <f t="shared" si="38"/>
        <v>310.54227818000072</v>
      </c>
      <c r="W176" s="57">
        <f t="shared" si="39"/>
        <v>384.18958912000016</v>
      </c>
      <c r="X176" s="57">
        <f t="shared" si="40"/>
        <v>92.11128921787008</v>
      </c>
      <c r="Y176" s="57">
        <f t="shared" si="41"/>
        <v>569.7731473879503</v>
      </c>
      <c r="AC176" s="57">
        <f t="shared" si="26"/>
        <v>17621.00489122</v>
      </c>
      <c r="AD176" s="57">
        <f t="shared" si="42"/>
        <v>17621.00489122</v>
      </c>
      <c r="AE176" s="57"/>
      <c r="AI176" s="343">
        <v>78.489999999999995</v>
      </c>
      <c r="AJ176" s="407">
        <v>19.412562000000001</v>
      </c>
      <c r="AK176" s="407">
        <v>24.963258</v>
      </c>
      <c r="AM176" s="442">
        <f t="shared" si="27"/>
        <v>262.74650421824794</v>
      </c>
      <c r="AN176" s="442">
        <f t="shared" si="28"/>
        <v>644.96495041715764</v>
      </c>
      <c r="AO176" s="442">
        <f t="shared" si="29"/>
        <v>107.93732705131193</v>
      </c>
      <c r="AP176" s="442">
        <f t="shared" si="30"/>
        <v>254.82151940005909</v>
      </c>
      <c r="AQ176" s="442"/>
      <c r="AR176" s="442">
        <f t="shared" si="43"/>
        <v>11.823004842539291</v>
      </c>
      <c r="AS176" s="442">
        <f t="shared" si="44"/>
        <v>9.2154381197839257</v>
      </c>
      <c r="AT176" s="442">
        <f t="shared" si="45"/>
        <v>2.9993481480897941</v>
      </c>
      <c r="AU176" s="442">
        <f t="shared" si="46"/>
        <v>25.53672144284721</v>
      </c>
      <c r="AV176" s="442"/>
      <c r="AW176" s="442"/>
      <c r="AX176" s="442"/>
      <c r="AY176" s="442"/>
      <c r="AZ176" s="57">
        <f t="shared" si="31"/>
        <v>1.6887313054819231</v>
      </c>
      <c r="BA176" s="57">
        <f t="shared" si="32"/>
        <v>1.3269576523349067</v>
      </c>
      <c r="BB176" s="57">
        <f t="shared" si="33"/>
        <v>1.1732356511129058</v>
      </c>
      <c r="BC176" s="57">
        <f t="shared" si="34"/>
        <v>2.0498326568109326</v>
      </c>
      <c r="BD176" s="57">
        <f t="shared" si="35"/>
        <v>1.6597589342355676</v>
      </c>
      <c r="BE176" s="442"/>
      <c r="BF176" s="57"/>
      <c r="BG176" s="57"/>
      <c r="BH176" s="57"/>
      <c r="BI176" s="57"/>
      <c r="BK176" s="656">
        <f t="shared" si="47"/>
        <v>4.711796572243987E-2</v>
      </c>
      <c r="BL176" s="656">
        <f t="shared" si="48"/>
        <v>1.4495391567793003E-2</v>
      </c>
      <c r="BM176" s="656">
        <f t="shared" si="49"/>
        <v>2.8582103252206892E-2</v>
      </c>
      <c r="BN176" s="656">
        <f t="shared" si="50"/>
        <v>0.1113755542031738</v>
      </c>
    </row>
    <row r="177" spans="2:66" x14ac:dyDescent="0.25">
      <c r="B177" t="str">
        <f t="shared" si="36"/>
        <v>FY19A</v>
      </c>
      <c r="C177" s="40" t="s">
        <v>168</v>
      </c>
      <c r="D177" s="205">
        <f t="shared" si="37"/>
        <v>43646</v>
      </c>
      <c r="E177" s="343" t="s">
        <v>647</v>
      </c>
      <c r="F177" s="407">
        <v>4859.8574942400001</v>
      </c>
      <c r="G177" s="407">
        <v>12717.24817253</v>
      </c>
      <c r="H177" s="407">
        <v>0.81799999999999995</v>
      </c>
      <c r="I177" s="407">
        <v>358.51212142700001</v>
      </c>
      <c r="J177" s="407">
        <v>2583.75604083909</v>
      </c>
      <c r="K177" s="407">
        <v>31.913</v>
      </c>
      <c r="L177" s="407">
        <v>5030.1239692768704</v>
      </c>
      <c r="M177" s="407">
        <v>25582.228798312899</v>
      </c>
      <c r="V177" s="57">
        <f t="shared" si="38"/>
        <v>-240.72530918000029</v>
      </c>
      <c r="W177" s="57">
        <f t="shared" si="39"/>
        <v>196.82608473000073</v>
      </c>
      <c r="X177" s="57">
        <f t="shared" si="40"/>
        <v>488.41598734121999</v>
      </c>
      <c r="Y177" s="57">
        <f t="shared" si="41"/>
        <v>83.385424989020066</v>
      </c>
      <c r="AC177" s="57">
        <f t="shared" si="26"/>
        <v>17577.10566677</v>
      </c>
      <c r="AD177" s="57">
        <f t="shared" si="42"/>
        <v>17577.10566677</v>
      </c>
      <c r="AE177" s="57"/>
      <c r="AI177" s="343">
        <v>79.7</v>
      </c>
      <c r="AJ177" s="407">
        <v>19.736588999999999</v>
      </c>
      <c r="AK177" s="407">
        <v>25.334826</v>
      </c>
      <c r="AM177" s="442">
        <f t="shared" si="27"/>
        <v>246.23593743782172</v>
      </c>
      <c r="AN177" s="442">
        <f t="shared" si="28"/>
        <v>644.34883720434175</v>
      </c>
      <c r="AO177" s="442">
        <f t="shared" si="29"/>
        <v>130.91198488447472</v>
      </c>
      <c r="AP177" s="442">
        <f t="shared" si="30"/>
        <v>254.86288280497055</v>
      </c>
      <c r="AQ177" s="442"/>
      <c r="AR177" s="442">
        <f t="shared" si="43"/>
        <v>-16.510566780426217</v>
      </c>
      <c r="AS177" s="442">
        <f t="shared" si="44"/>
        <v>-0.61611321281588971</v>
      </c>
      <c r="AT177" s="442">
        <f t="shared" si="45"/>
        <v>22.974657833162794</v>
      </c>
      <c r="AU177" s="442">
        <f t="shared" si="46"/>
        <v>4.1363404911464841E-2</v>
      </c>
      <c r="AV177" s="442"/>
      <c r="AW177" s="442"/>
      <c r="AX177" s="442"/>
      <c r="AY177" s="442"/>
      <c r="AZ177" s="57">
        <f t="shared" si="31"/>
        <v>1.5826141524628452</v>
      </c>
      <c r="BA177" s="57">
        <f t="shared" si="32"/>
        <v>1.3256900545500627</v>
      </c>
      <c r="BB177" s="57">
        <f t="shared" si="33"/>
        <v>1.4229610091363918</v>
      </c>
      <c r="BC177" s="57">
        <f t="shared" si="34"/>
        <v>2.050165391889132</v>
      </c>
      <c r="BD177" s="57">
        <f t="shared" si="35"/>
        <v>1.6853457390568831</v>
      </c>
      <c r="BE177" s="442"/>
      <c r="BF177" s="57">
        <f>AM177/AM$177</f>
        <v>1</v>
      </c>
      <c r="BG177" s="57">
        <f t="shared" ref="BG177:BI184" si="51">AN177/AN$177</f>
        <v>1</v>
      </c>
      <c r="BH177" s="57">
        <f t="shared" si="51"/>
        <v>1</v>
      </c>
      <c r="BI177" s="57">
        <f t="shared" si="51"/>
        <v>1</v>
      </c>
      <c r="BK177" s="656">
        <f t="shared" si="47"/>
        <v>-6.2838388010338142E-2</v>
      </c>
      <c r="BL177" s="656">
        <f t="shared" si="48"/>
        <v>-9.5526619301933291E-4</v>
      </c>
      <c r="BM177" s="656">
        <f t="shared" si="49"/>
        <v>0.21285183226967397</v>
      </c>
      <c r="BN177" s="656">
        <f t="shared" si="50"/>
        <v>1.6232304480734427E-4</v>
      </c>
    </row>
    <row r="178" spans="2:66" x14ac:dyDescent="0.25">
      <c r="B178" t="str">
        <f t="shared" si="36"/>
        <v>FY20A</v>
      </c>
      <c r="C178" s="40" t="s">
        <v>169</v>
      </c>
      <c r="D178" s="205">
        <f t="shared" si="37"/>
        <v>44012</v>
      </c>
      <c r="E178" s="343" t="s">
        <v>648</v>
      </c>
      <c r="F178" s="407">
        <v>3514.2980396600001</v>
      </c>
      <c r="G178" s="407">
        <v>10198.204085629999</v>
      </c>
      <c r="H178" s="407">
        <v>3.79</v>
      </c>
      <c r="I178" s="407">
        <v>306.53872114500001</v>
      </c>
      <c r="J178" s="407">
        <v>2624.1165947229501</v>
      </c>
      <c r="K178" s="407">
        <v>29.2</v>
      </c>
      <c r="L178" s="407">
        <v>4583.2621266803699</v>
      </c>
      <c r="M178" s="407">
        <v>21259.409567838298</v>
      </c>
      <c r="V178" s="57">
        <f t="shared" si="38"/>
        <v>-1345.55945458</v>
      </c>
      <c r="W178" s="57">
        <f t="shared" si="39"/>
        <v>-2519.0440869000013</v>
      </c>
      <c r="X178" s="57">
        <f t="shared" si="40"/>
        <v>40.360553883860121</v>
      </c>
      <c r="Y178" s="57">
        <f t="shared" si="41"/>
        <v>-446.86184259650054</v>
      </c>
      <c r="AC178" s="57">
        <f t="shared" si="26"/>
        <v>13712.502125289999</v>
      </c>
      <c r="AD178" s="57">
        <f t="shared" si="42"/>
        <v>13712.502125289999</v>
      </c>
      <c r="AE178" s="57">
        <f t="shared" ref="AE178:AE184" si="52">AC178</f>
        <v>13712.502125289999</v>
      </c>
      <c r="AG178" s="204"/>
      <c r="AI178" s="343">
        <v>79.44</v>
      </c>
      <c r="AJ178" s="407">
        <v>20.013625000000001</v>
      </c>
      <c r="AK178" s="407">
        <v>25.649248</v>
      </c>
      <c r="AM178" s="442">
        <f t="shared" si="27"/>
        <v>175.59527770006682</v>
      </c>
      <c r="AN178" s="442">
        <f t="shared" si="28"/>
        <v>509.56306444384757</v>
      </c>
      <c r="AO178" s="442">
        <f t="shared" si="29"/>
        <v>131.11650661601533</v>
      </c>
      <c r="AP178" s="442">
        <f t="shared" si="30"/>
        <v>229.00709525037917</v>
      </c>
      <c r="AQ178" s="442"/>
      <c r="AR178" s="442">
        <f>AM178-AM177</f>
        <v>-70.640659737754902</v>
      </c>
      <c r="AS178" s="442">
        <f t="shared" si="44"/>
        <v>-134.78577276049418</v>
      </c>
      <c r="AT178" s="442">
        <f t="shared" si="45"/>
        <v>0.20452173154060915</v>
      </c>
      <c r="AU178" s="442">
        <f t="shared" si="46"/>
        <v>-25.855787554591387</v>
      </c>
      <c r="AV178" s="442"/>
      <c r="AW178" s="442"/>
      <c r="AX178" s="442"/>
      <c r="AY178" s="442"/>
      <c r="AZ178" s="57">
        <f t="shared" si="31"/>
        <v>1.1285906293184478</v>
      </c>
      <c r="BA178" s="57">
        <f t="shared" si="32"/>
        <v>1.0483803922579806</v>
      </c>
      <c r="BB178" s="57">
        <f t="shared" si="33"/>
        <v>1.4251840787030183</v>
      </c>
      <c r="BC178" s="57">
        <f t="shared" si="34"/>
        <v>1.842176530423475</v>
      </c>
      <c r="BD178" s="57">
        <f t="shared" si="35"/>
        <v>1.6798477479382534</v>
      </c>
      <c r="BE178" s="442"/>
      <c r="BF178" s="57">
        <f t="shared" ref="BF178:BF184" si="53">AM178/AM$177</f>
        <v>0.71311799377134899</v>
      </c>
      <c r="BG178" s="57">
        <f t="shared" si="51"/>
        <v>0.79081862963345473</v>
      </c>
      <c r="BH178" s="57">
        <f t="shared" si="51"/>
        <v>1.0015622842455647</v>
      </c>
      <c r="BI178" s="57">
        <f t="shared" si="51"/>
        <v>0.89855020366234695</v>
      </c>
      <c r="BK178" s="656">
        <f t="shared" si="47"/>
        <v>-0.28688200622865101</v>
      </c>
      <c r="BL178" s="656">
        <f t="shared" si="48"/>
        <v>-0.20918137036654527</v>
      </c>
      <c r="BM178" s="656">
        <f t="shared" si="49"/>
        <v>1.5622842455647046E-3</v>
      </c>
      <c r="BN178" s="656">
        <f t="shared" si="50"/>
        <v>-0.10144979633765305</v>
      </c>
    </row>
    <row r="179" spans="2:66" x14ac:dyDescent="0.25">
      <c r="B179" t="str">
        <f t="shared" si="36"/>
        <v>FY21A</v>
      </c>
      <c r="C179" s="40" t="s">
        <v>170</v>
      </c>
      <c r="D179" s="205">
        <f>EOMONTH(D178,12)</f>
        <v>44377</v>
      </c>
      <c r="E179" s="343" t="s">
        <v>649</v>
      </c>
      <c r="F179" s="407">
        <v>2728.6412413399999</v>
      </c>
      <c r="G179" s="407">
        <v>12182.119521140001</v>
      </c>
      <c r="H179" s="407">
        <v>11.127000000000001</v>
      </c>
      <c r="I179" s="407">
        <v>419.46543752999997</v>
      </c>
      <c r="J179" s="407">
        <v>2838.10794763074</v>
      </c>
      <c r="K179" s="407">
        <v>44.613</v>
      </c>
      <c r="L179" s="407">
        <v>5788.4844403671304</v>
      </c>
      <c r="M179" s="407">
        <v>24012.558588007902</v>
      </c>
      <c r="V179" s="57">
        <f t="shared" si="38"/>
        <v>-785.65679832000023</v>
      </c>
      <c r="W179" s="57">
        <f t="shared" si="39"/>
        <v>1983.9154355100018</v>
      </c>
      <c r="X179" s="57">
        <f t="shared" si="40"/>
        <v>213.99135290778986</v>
      </c>
      <c r="Y179" s="57">
        <f t="shared" si="41"/>
        <v>1205.2223136867606</v>
      </c>
      <c r="AC179" s="57">
        <f t="shared" si="26"/>
        <v>14910.76076248</v>
      </c>
      <c r="AD179" s="57"/>
      <c r="AE179" s="57">
        <f t="shared" si="52"/>
        <v>14910.76076248</v>
      </c>
      <c r="AG179" s="204"/>
      <c r="AI179" s="343">
        <v>82.47</v>
      </c>
      <c r="AJ179" s="407">
        <v>20.039057</v>
      </c>
      <c r="AK179" s="407">
        <v>25.685411999999999</v>
      </c>
      <c r="AM179" s="442">
        <f t="shared" si="27"/>
        <v>136.16615000097059</v>
      </c>
      <c r="AN179" s="442">
        <f t="shared" si="28"/>
        <v>607.91880182485636</v>
      </c>
      <c r="AO179" s="442">
        <f t="shared" si="29"/>
        <v>141.62881754519387</v>
      </c>
      <c r="AP179" s="442">
        <f t="shared" si="30"/>
        <v>288.86012153002662</v>
      </c>
      <c r="AQ179" s="442"/>
      <c r="AR179" s="442">
        <f t="shared" ref="AR179:AR184" si="54">AM179-AM178</f>
        <v>-39.429127699096227</v>
      </c>
      <c r="AS179" s="442">
        <f t="shared" si="44"/>
        <v>98.355737381008794</v>
      </c>
      <c r="AT179" s="442">
        <f t="shared" si="45"/>
        <v>10.51231092917854</v>
      </c>
      <c r="AU179" s="442">
        <f t="shared" si="46"/>
        <v>59.853026279647452</v>
      </c>
      <c r="AV179" s="442"/>
      <c r="AW179" s="442"/>
      <c r="AX179" s="442"/>
      <c r="AY179" s="442"/>
      <c r="AZ179" s="57">
        <f t="shared" si="31"/>
        <v>0.87517069328002262</v>
      </c>
      <c r="BA179" s="57">
        <f t="shared" si="32"/>
        <v>1.2507385177411665</v>
      </c>
      <c r="BB179" s="57">
        <f t="shared" si="33"/>
        <v>1.5394487014672356</v>
      </c>
      <c r="BC179" s="57">
        <f t="shared" si="34"/>
        <v>2.3236456314862006</v>
      </c>
      <c r="BD179" s="57">
        <f t="shared" si="35"/>
        <v>1.7439204905899768</v>
      </c>
      <c r="BE179" s="442"/>
      <c r="BF179" s="57">
        <f t="shared" si="53"/>
        <v>0.55299056432554483</v>
      </c>
      <c r="BG179" s="57">
        <f t="shared" si="51"/>
        <v>0.9434622470375742</v>
      </c>
      <c r="BH179" s="57">
        <f t="shared" si="51"/>
        <v>1.0818628842132092</v>
      </c>
      <c r="BI179" s="57">
        <f t="shared" si="51"/>
        <v>1.1333942328160507</v>
      </c>
      <c r="BK179" s="656">
        <f t="shared" si="47"/>
        <v>-0.22454549014948377</v>
      </c>
      <c r="BL179" s="656">
        <f t="shared" si="48"/>
        <v>0.19301975406784466</v>
      </c>
      <c r="BM179" s="656">
        <f t="shared" si="49"/>
        <v>8.0175343291936763E-2</v>
      </c>
      <c r="BN179" s="656">
        <f t="shared" si="50"/>
        <v>0.26135882914111752</v>
      </c>
    </row>
    <row r="180" spans="2:66" x14ac:dyDescent="0.25">
      <c r="B180" t="str">
        <f t="shared" si="36"/>
        <v>FY22A</v>
      </c>
      <c r="C180" s="40" t="s">
        <v>171</v>
      </c>
      <c r="D180" s="205">
        <f t="shared" si="37"/>
        <v>44742</v>
      </c>
      <c r="E180" s="343" t="s">
        <v>867</v>
      </c>
      <c r="F180" s="407">
        <v>2830.6715207000002</v>
      </c>
      <c r="G180" s="407">
        <v>12833.28507772</v>
      </c>
      <c r="H180" s="407">
        <v>18.135999999999999</v>
      </c>
      <c r="I180" s="407">
        <v>412.39295722999998</v>
      </c>
      <c r="J180" s="407">
        <v>3142.6813369332299</v>
      </c>
      <c r="K180" s="407">
        <v>50.896128699999998</v>
      </c>
      <c r="L180" s="407">
        <v>8265.8734841500009</v>
      </c>
      <c r="M180" s="407">
        <v>27553.936505433201</v>
      </c>
      <c r="V180" s="57">
        <f t="shared" si="38"/>
        <v>102.03027936000035</v>
      </c>
      <c r="W180" s="57">
        <f t="shared" si="39"/>
        <v>651.16555657999925</v>
      </c>
      <c r="X180" s="57">
        <f t="shared" si="40"/>
        <v>304.57338930248989</v>
      </c>
      <c r="Y180" s="57">
        <f t="shared" si="41"/>
        <v>2477.3890437828704</v>
      </c>
      <c r="AC180" s="57">
        <f t="shared" si="26"/>
        <v>15663.95659842</v>
      </c>
      <c r="AD180" s="57"/>
      <c r="AE180" s="57">
        <f t="shared" si="52"/>
        <v>15663.95659842</v>
      </c>
      <c r="AG180" s="204">
        <f>J180/J179-1</f>
        <v>0.1073156465231524</v>
      </c>
      <c r="AI180" s="343">
        <v>87.59</v>
      </c>
      <c r="AJ180" s="407">
        <v>20.321755</v>
      </c>
      <c r="AK180" s="407">
        <v>26.018720999999999</v>
      </c>
      <c r="AM180" s="442">
        <f t="shared" si="27"/>
        <v>139.29267037714018</v>
      </c>
      <c r="AN180" s="442">
        <f t="shared" si="28"/>
        <v>631.50476313290858</v>
      </c>
      <c r="AO180" s="442">
        <f t="shared" si="29"/>
        <v>154.646158116424</v>
      </c>
      <c r="AP180" s="442">
        <f t="shared" si="30"/>
        <v>406.74998218165712</v>
      </c>
      <c r="AQ180" s="442"/>
      <c r="AR180" s="442">
        <f t="shared" si="54"/>
        <v>3.1265203761695943</v>
      </c>
      <c r="AS180" s="442">
        <f t="shared" si="44"/>
        <v>23.585961308052219</v>
      </c>
      <c r="AT180" s="442">
        <f t="shared" si="45"/>
        <v>13.017340571230136</v>
      </c>
      <c r="AU180" s="442">
        <f t="shared" si="46"/>
        <v>117.8898606516305</v>
      </c>
      <c r="AV180" s="442"/>
      <c r="AW180" s="442"/>
      <c r="AX180" s="442"/>
      <c r="AY180" s="442"/>
      <c r="AZ180" s="57">
        <f t="shared" si="31"/>
        <v>0.8952655480229007</v>
      </c>
      <c r="BA180" s="57">
        <f t="shared" si="32"/>
        <v>1.2992645218676728</v>
      </c>
      <c r="BB180" s="57">
        <f t="shared" si="33"/>
        <v>1.6809419963084664</v>
      </c>
      <c r="BC180" s="57">
        <f t="shared" si="34"/>
        <v>3.2719740412670677</v>
      </c>
      <c r="BD180" s="57">
        <f t="shared" si="35"/>
        <v>1.8521886233876086</v>
      </c>
      <c r="BE180" s="442"/>
      <c r="BF180" s="57">
        <f t="shared" si="53"/>
        <v>0.56568781887214847</v>
      </c>
      <c r="BG180" s="57">
        <f t="shared" si="51"/>
        <v>0.9800665829907288</v>
      </c>
      <c r="BH180" s="57">
        <f t="shared" si="51"/>
        <v>1.1812987042622101</v>
      </c>
      <c r="BI180" s="57">
        <f t="shared" si="51"/>
        <v>1.5959561380811798</v>
      </c>
      <c r="BK180" s="656">
        <f t="shared" si="47"/>
        <v>2.2961069077353624E-2</v>
      </c>
      <c r="BL180" s="656">
        <f t="shared" si="48"/>
        <v>3.8797880962476716E-2</v>
      </c>
      <c r="BM180" s="656">
        <f t="shared" si="49"/>
        <v>9.1911665979109713E-2</v>
      </c>
      <c r="BN180" s="656">
        <f t="shared" si="50"/>
        <v>0.40812092727509297</v>
      </c>
    </row>
    <row r="181" spans="2:66" x14ac:dyDescent="0.25">
      <c r="B181" t="str">
        <f t="shared" si="36"/>
        <v>FY23A</v>
      </c>
      <c r="C181" s="40" t="s">
        <v>172</v>
      </c>
      <c r="D181" s="205">
        <f t="shared" si="37"/>
        <v>45107</v>
      </c>
      <c r="E181" s="343" t="s">
        <v>868</v>
      </c>
      <c r="F181" s="407">
        <v>3611.7046821017698</v>
      </c>
      <c r="G181" s="407">
        <v>15764.700611329999</v>
      </c>
      <c r="H181" s="407">
        <v>44.402999999999999</v>
      </c>
      <c r="I181" s="407">
        <v>473.18334584000002</v>
      </c>
      <c r="J181" s="407">
        <v>3108.552268899</v>
      </c>
      <c r="K181" s="407">
        <v>61.004756610000001</v>
      </c>
      <c r="L181" s="407">
        <v>8402.6356793499999</v>
      </c>
      <c r="M181" s="407">
        <v>31466.184344130801</v>
      </c>
      <c r="V181" s="57">
        <f t="shared" si="38"/>
        <v>781.03316140176958</v>
      </c>
      <c r="W181" s="57">
        <f t="shared" si="39"/>
        <v>2931.4155336099993</v>
      </c>
      <c r="X181" s="57">
        <f t="shared" si="40"/>
        <v>-34.129068034229931</v>
      </c>
      <c r="Y181" s="57">
        <f t="shared" si="41"/>
        <v>136.76219519999904</v>
      </c>
      <c r="AC181" s="57">
        <f t="shared" si="26"/>
        <v>19376.40529343177</v>
      </c>
      <c r="AD181" s="57"/>
      <c r="AE181" s="57">
        <f t="shared" si="52"/>
        <v>19376.40529343177</v>
      </c>
      <c r="AG181" s="204">
        <f>J181/J180-1</f>
        <v>-1.0859856401328472E-2</v>
      </c>
      <c r="AI181" s="343">
        <v>92.87</v>
      </c>
      <c r="AJ181" s="407">
        <v>20.908367999999999</v>
      </c>
      <c r="AK181" s="407">
        <v>26.659922000000002</v>
      </c>
      <c r="AM181" s="442">
        <f t="shared" si="27"/>
        <v>172.73967447396038</v>
      </c>
      <c r="AN181" s="442">
        <f t="shared" si="28"/>
        <v>753.99001066606445</v>
      </c>
      <c r="AO181" s="442">
        <f t="shared" si="29"/>
        <v>148.67503139886384</v>
      </c>
      <c r="AP181" s="442">
        <f t="shared" si="30"/>
        <v>401.87907919690338</v>
      </c>
      <c r="AQ181" s="442"/>
      <c r="AR181" s="442">
        <f t="shared" si="54"/>
        <v>33.447004096820194</v>
      </c>
      <c r="AS181" s="442">
        <f t="shared" si="44"/>
        <v>122.48524753315587</v>
      </c>
      <c r="AT181" s="442">
        <f t="shared" si="45"/>
        <v>-5.9711267175601677</v>
      </c>
      <c r="AU181" s="442">
        <f t="shared" si="46"/>
        <v>-4.8709029847537408</v>
      </c>
      <c r="AV181" s="442"/>
      <c r="AW181" s="442"/>
      <c r="AX181" s="442"/>
      <c r="AY181" s="442"/>
      <c r="AZ181" s="57">
        <f t="shared" si="31"/>
        <v>1.1102370204728835</v>
      </c>
      <c r="BA181" s="57">
        <f t="shared" si="32"/>
        <v>1.5512669545690649</v>
      </c>
      <c r="BB181" s="57">
        <f t="shared" si="33"/>
        <v>1.6160382328585523</v>
      </c>
      <c r="BC181" s="57">
        <f t="shared" si="34"/>
        <v>3.2327915733584969</v>
      </c>
      <c r="BD181" s="57">
        <f t="shared" si="35"/>
        <v>1.9638401353351662</v>
      </c>
      <c r="BE181" s="442"/>
      <c r="BF181" s="57">
        <f t="shared" si="53"/>
        <v>0.701520973223414</v>
      </c>
      <c r="BG181" s="57">
        <f t="shared" si="51"/>
        <v>1.1701580993572156</v>
      </c>
      <c r="BH181" s="57">
        <f t="shared" si="51"/>
        <v>1.1356869390534747</v>
      </c>
      <c r="BI181" s="57">
        <f t="shared" si="51"/>
        <v>1.576844281026337</v>
      </c>
      <c r="BK181" s="656">
        <f t="shared" si="47"/>
        <v>0.24012034521458414</v>
      </c>
      <c r="BL181" s="656">
        <f t="shared" si="48"/>
        <v>0.19395775722340391</v>
      </c>
      <c r="BM181" s="656">
        <f t="shared" si="49"/>
        <v>-3.8611542571040491E-2</v>
      </c>
      <c r="BN181" s="656">
        <f t="shared" si="50"/>
        <v>-1.1975176885387961E-2</v>
      </c>
    </row>
    <row r="182" spans="2:66" x14ac:dyDescent="0.25">
      <c r="B182" t="str">
        <f t="shared" si="36"/>
        <v>FY24A</v>
      </c>
      <c r="C182" s="40" t="s">
        <v>173</v>
      </c>
      <c r="D182" s="205">
        <f t="shared" si="37"/>
        <v>45473</v>
      </c>
      <c r="E182" s="343" t="s">
        <v>869</v>
      </c>
      <c r="F182" s="407">
        <v>3465.15834202</v>
      </c>
      <c r="G182" s="407">
        <v>16293.06811278</v>
      </c>
      <c r="H182" s="407">
        <v>0</v>
      </c>
      <c r="I182" s="407">
        <v>469.11926283999998</v>
      </c>
      <c r="J182" s="407">
        <v>3476.87753906444</v>
      </c>
      <c r="K182" s="407">
        <v>51.315572000000003</v>
      </c>
      <c r="L182" s="407">
        <v>8428.9754112400005</v>
      </c>
      <c r="M182" s="407">
        <v>32184.514239944401</v>
      </c>
      <c r="V182" s="57">
        <f t="shared" si="38"/>
        <v>-146.54634008176981</v>
      </c>
      <c r="W182" s="57">
        <f t="shared" si="39"/>
        <v>528.36750145000042</v>
      </c>
      <c r="X182" s="57">
        <f t="shared" si="40"/>
        <v>368.32527016544009</v>
      </c>
      <c r="Y182" s="57">
        <f t="shared" si="41"/>
        <v>26.339731890000621</v>
      </c>
      <c r="AC182" s="57">
        <f t="shared" si="26"/>
        <v>19758.226454799998</v>
      </c>
      <c r="AD182" s="57"/>
      <c r="AE182" s="57">
        <f t="shared" si="52"/>
        <v>19758.226454799998</v>
      </c>
      <c r="AG182" s="204">
        <f>J182/J181-1</f>
        <v>0.1184877197821399</v>
      </c>
      <c r="AI182" s="343">
        <v>96.41</v>
      </c>
      <c r="AJ182" s="407">
        <v>21.399975000000001</v>
      </c>
      <c r="AK182" s="407">
        <v>27.194286000000002</v>
      </c>
      <c r="AM182" s="442">
        <f t="shared" si="27"/>
        <v>161.92347617321983</v>
      </c>
      <c r="AN182" s="442">
        <f t="shared" si="28"/>
        <v>761.35921246543512</v>
      </c>
      <c r="AO182" s="442">
        <f t="shared" si="29"/>
        <v>162.47110284308462</v>
      </c>
      <c r="AP182" s="442">
        <f t="shared" si="30"/>
        <v>393.87781580305585</v>
      </c>
      <c r="AQ182" s="442"/>
      <c r="AR182" s="442">
        <f t="shared" si="54"/>
        <v>-10.816198300740552</v>
      </c>
      <c r="AS182" s="442">
        <f t="shared" si="44"/>
        <v>7.3692017993706713</v>
      </c>
      <c r="AT182" s="442">
        <f t="shared" si="45"/>
        <v>13.796071444220786</v>
      </c>
      <c r="AU182" s="442">
        <f t="shared" si="46"/>
        <v>-8.0012633938475233</v>
      </c>
      <c r="AV182" s="442"/>
      <c r="AW182" s="442"/>
      <c r="AX182" s="442"/>
      <c r="AY182" s="442"/>
      <c r="AZ182" s="57">
        <f t="shared" si="31"/>
        <v>1.0407188636810096</v>
      </c>
      <c r="BA182" s="57">
        <f t="shared" si="32"/>
        <v>1.5664284276273301</v>
      </c>
      <c r="BB182" s="57">
        <f t="shared" si="33"/>
        <v>1.7659960213812005</v>
      </c>
      <c r="BC182" s="57">
        <f t="shared" si="34"/>
        <v>3.16842789230413</v>
      </c>
      <c r="BD182" s="57">
        <f t="shared" si="35"/>
        <v>2.0386973990272783</v>
      </c>
      <c r="BE182" s="442"/>
      <c r="BF182" s="57">
        <f t="shared" si="53"/>
        <v>0.65759481681713472</v>
      </c>
      <c r="BG182" s="57">
        <f t="shared" si="51"/>
        <v>1.1815947643651694</v>
      </c>
      <c r="BH182" s="57">
        <f t="shared" si="51"/>
        <v>1.2410712662134007</v>
      </c>
      <c r="BI182" s="57">
        <f t="shared" si="51"/>
        <v>1.5454498963054737</v>
      </c>
      <c r="BK182" s="656">
        <f t="shared" si="47"/>
        <v>-6.2615599651202558E-2</v>
      </c>
      <c r="BL182" s="656">
        <f t="shared" si="48"/>
        <v>9.7736066726676896E-3</v>
      </c>
      <c r="BM182" s="656">
        <f t="shared" si="49"/>
        <v>9.2793465818808762E-2</v>
      </c>
      <c r="BN182" s="656">
        <f t="shared" si="50"/>
        <v>-1.9909629060156253E-2</v>
      </c>
    </row>
    <row r="183" spans="2:66" x14ac:dyDescent="0.25">
      <c r="B183" t="str">
        <f>C183&amp;"E"</f>
        <v>FY25E</v>
      </c>
      <c r="C183" s="40" t="s">
        <v>174</v>
      </c>
      <c r="D183" s="205">
        <f t="shared" si="37"/>
        <v>45838</v>
      </c>
      <c r="E183" s="343" t="s">
        <v>873</v>
      </c>
      <c r="F183" s="408">
        <f>F182*(1+K189)</f>
        <v>3324.5581774098259</v>
      </c>
      <c r="G183" s="408">
        <f>G182*(1+7%)</f>
        <v>17433.582880674599</v>
      </c>
      <c r="H183" s="407">
        <v>0</v>
      </c>
      <c r="I183" s="229"/>
      <c r="J183" s="408">
        <f>J182*(1-9%)</f>
        <v>3163.9585605486404</v>
      </c>
      <c r="K183" s="229"/>
      <c r="L183" s="408">
        <f>L182*(1-1.5%)</f>
        <v>8302.5407800714001</v>
      </c>
      <c r="M183" s="229"/>
      <c r="V183" s="57">
        <f t="shared" si="38"/>
        <v>-140.60016461017403</v>
      </c>
      <c r="W183" s="57">
        <f t="shared" si="39"/>
        <v>1140.5147678945996</v>
      </c>
      <c r="X183" s="57">
        <f t="shared" si="40"/>
        <v>-312.91897851579961</v>
      </c>
      <c r="Y183" s="57">
        <f t="shared" si="41"/>
        <v>-126.43463116860039</v>
      </c>
      <c r="AC183" s="57">
        <f t="shared" si="26"/>
        <v>20758.141058084424</v>
      </c>
      <c r="AE183" s="57">
        <f t="shared" si="52"/>
        <v>20758.141058084424</v>
      </c>
      <c r="AG183" s="204">
        <f>J183/J182-1</f>
        <v>-8.9999999999999969E-2</v>
      </c>
      <c r="AI183" s="343">
        <v>98.43</v>
      </c>
      <c r="AJ183" s="407">
        <v>21.792296</v>
      </c>
      <c r="AK183" s="407">
        <v>27.611025999999999</v>
      </c>
      <c r="AM183" s="442">
        <f t="shared" si="27"/>
        <v>152.55658134461032</v>
      </c>
      <c r="AN183" s="442">
        <f t="shared" si="28"/>
        <v>799.98834820684328</v>
      </c>
      <c r="AO183" s="442">
        <f t="shared" si="29"/>
        <v>145.18702208104369</v>
      </c>
      <c r="AP183" s="442">
        <f t="shared" si="30"/>
        <v>380.98513254736446</v>
      </c>
      <c r="AQ183" s="442"/>
      <c r="AR183" s="442">
        <f t="shared" si="54"/>
        <v>-9.3668948286095031</v>
      </c>
      <c r="AS183" s="442">
        <f t="shared" si="44"/>
        <v>38.629135741408163</v>
      </c>
      <c r="AT183" s="442">
        <f t="shared" si="45"/>
        <v>-17.284080762040929</v>
      </c>
      <c r="AU183" s="442">
        <f t="shared" si="46"/>
        <v>-12.892683255691395</v>
      </c>
      <c r="AV183" s="442"/>
      <c r="AW183" s="442"/>
      <c r="AX183" s="442"/>
      <c r="AY183" s="442"/>
      <c r="AZ183" s="57">
        <f t="shared" si="31"/>
        <v>0.9805157086312648</v>
      </c>
      <c r="BA183" s="57">
        <f t="shared" si="32"/>
        <v>1.6459044165814452</v>
      </c>
      <c r="BB183" s="57">
        <f t="shared" si="33"/>
        <v>1.5781249641601789</v>
      </c>
      <c r="BC183" s="57">
        <f t="shared" si="34"/>
        <v>3.064716701688611</v>
      </c>
      <c r="BD183" s="57">
        <f t="shared" si="35"/>
        <v>2.0814125607950942</v>
      </c>
      <c r="BE183" s="442"/>
      <c r="BF183" s="57">
        <f t="shared" si="53"/>
        <v>0.61955449286574249</v>
      </c>
      <c r="BG183" s="57">
        <f t="shared" si="51"/>
        <v>1.2415454207658385</v>
      </c>
      <c r="BH183" s="57">
        <f t="shared" si="51"/>
        <v>1.1090430124420327</v>
      </c>
      <c r="BI183" s="57">
        <f t="shared" si="51"/>
        <v>1.4948631529013456</v>
      </c>
      <c r="BK183" s="656">
        <f t="shared" si="47"/>
        <v>-5.7847663908778379E-2</v>
      </c>
      <c r="BL183" s="656">
        <f t="shared" si="48"/>
        <v>5.0737070109546867E-2</v>
      </c>
      <c r="BM183" s="656">
        <f t="shared" si="49"/>
        <v>-0.10638249177599279</v>
      </c>
      <c r="BN183" s="656">
        <f t="shared" si="50"/>
        <v>-3.2732697142145994E-2</v>
      </c>
    </row>
    <row r="184" spans="2:66" x14ac:dyDescent="0.25">
      <c r="B184" t="str">
        <f>C184&amp;"E"</f>
        <v>FY26E</v>
      </c>
      <c r="C184" s="40" t="s">
        <v>200</v>
      </c>
      <c r="D184" s="205">
        <f t="shared" si="37"/>
        <v>46203</v>
      </c>
      <c r="E184" s="343" t="s">
        <v>874</v>
      </c>
      <c r="F184" s="408">
        <f>F183*(1+I196)</f>
        <v>3327.3658610335128</v>
      </c>
      <c r="G184" s="408">
        <f>G183*(1+8.6%)</f>
        <v>18932.871008412618</v>
      </c>
      <c r="H184" s="407">
        <v>0</v>
      </c>
      <c r="I184" s="229"/>
      <c r="J184" s="408">
        <f>J183*(1-2%)</f>
        <v>3100.6793893376675</v>
      </c>
      <c r="K184" s="229"/>
      <c r="L184" s="408">
        <f>L183*(1-1%)</f>
        <v>8219.5153722706855</v>
      </c>
      <c r="M184" s="229"/>
      <c r="V184" s="57">
        <f t="shared" si="38"/>
        <v>2.8076836236868985</v>
      </c>
      <c r="W184" s="57">
        <f t="shared" si="39"/>
        <v>1499.2881277380184</v>
      </c>
      <c r="X184" s="57">
        <f t="shared" si="40"/>
        <v>-63.279171210972891</v>
      </c>
      <c r="Y184" s="57">
        <f t="shared" si="41"/>
        <v>-83.025407800714675</v>
      </c>
      <c r="AC184" s="57">
        <f t="shared" si="26"/>
        <v>22260.236869446129</v>
      </c>
      <c r="AE184" s="57">
        <f t="shared" si="52"/>
        <v>22260.236869446129</v>
      </c>
      <c r="AG184" s="204">
        <f>J184/J183-1</f>
        <v>-2.0000000000000018E-2</v>
      </c>
      <c r="AI184" s="343">
        <v>102.5</v>
      </c>
      <c r="AJ184" s="408">
        <f>AJ183*(1+1.5%)</f>
        <v>22.119180439999997</v>
      </c>
      <c r="AK184" s="408">
        <f>AK183*(1+1.5%)</f>
        <v>28.025191389999996</v>
      </c>
      <c r="AM184" s="442">
        <f t="shared" si="27"/>
        <v>150.42898492822789</v>
      </c>
      <c r="AN184" s="442">
        <f t="shared" si="28"/>
        <v>855.94812428830744</v>
      </c>
      <c r="AO184" s="442">
        <f t="shared" si="29"/>
        <v>140.18057304376634</v>
      </c>
      <c r="AP184" s="442">
        <f t="shared" si="30"/>
        <v>371.60126228757719</v>
      </c>
      <c r="AQ184" s="442"/>
      <c r="AR184" s="442">
        <f t="shared" si="54"/>
        <v>-2.1275964163824312</v>
      </c>
      <c r="AS184" s="442">
        <f t="shared" si="44"/>
        <v>55.959776081464156</v>
      </c>
      <c r="AT184" s="442">
        <f t="shared" si="45"/>
        <v>-5.0064490372773491</v>
      </c>
      <c r="AU184" s="442">
        <f t="shared" si="46"/>
        <v>-9.3838702597872725</v>
      </c>
      <c r="AV184" s="442"/>
      <c r="AW184" s="442"/>
      <c r="AX184" s="442"/>
      <c r="AY184" s="442"/>
      <c r="AZ184" s="57">
        <f t="shared" si="31"/>
        <v>0.96684116447523027</v>
      </c>
      <c r="BA184" s="57">
        <f t="shared" si="32"/>
        <v>1.7610366467068472</v>
      </c>
      <c r="BB184" s="57">
        <f t="shared" si="33"/>
        <v>1.5237068619477592</v>
      </c>
      <c r="BC184" s="57">
        <f t="shared" si="34"/>
        <v>2.9892310686420935</v>
      </c>
      <c r="BD184" s="57">
        <f t="shared" si="35"/>
        <v>2.1674772679213365</v>
      </c>
      <c r="BE184" s="442"/>
      <c r="BF184" s="57">
        <f t="shared" si="53"/>
        <v>0.61091401398796008</v>
      </c>
      <c r="BG184" s="57">
        <f t="shared" si="51"/>
        <v>1.3283924403465035</v>
      </c>
      <c r="BH184" s="57">
        <f t="shared" si="51"/>
        <v>1.0708001499440318</v>
      </c>
      <c r="BI184" s="57">
        <f t="shared" si="51"/>
        <v>1.4580438634210171</v>
      </c>
      <c r="BK184" s="656">
        <f t="shared" si="47"/>
        <v>-1.3946277490162196E-2</v>
      </c>
      <c r="BL184" s="656">
        <f t="shared" si="48"/>
        <v>6.9950738916256361E-2</v>
      </c>
      <c r="BM184" s="656">
        <f t="shared" si="49"/>
        <v>-3.4482758620689502E-2</v>
      </c>
      <c r="BN184" s="656">
        <f t="shared" si="50"/>
        <v>-2.4630541871921152E-2</v>
      </c>
    </row>
    <row r="185" spans="2:66" x14ac:dyDescent="0.25">
      <c r="AI185" s="343"/>
    </row>
    <row r="186" spans="2:66" x14ac:dyDescent="0.25">
      <c r="F186" t="s">
        <v>875</v>
      </c>
      <c r="G186" t="s">
        <v>876</v>
      </c>
      <c r="H186" t="s">
        <v>877</v>
      </c>
      <c r="AI186" s="343"/>
    </row>
    <row r="187" spans="2:66" x14ac:dyDescent="0.25">
      <c r="E187" s="343" t="s">
        <v>867</v>
      </c>
      <c r="F187" s="407">
        <v>1935.6</v>
      </c>
      <c r="G187" s="407">
        <v>1534.1</v>
      </c>
      <c r="H187" s="407">
        <v>179.79169385210866</v>
      </c>
      <c r="I187" s="57">
        <f>SUM(F187:H187)</f>
        <v>3649.4916938521083</v>
      </c>
    </row>
    <row r="188" spans="2:66" x14ac:dyDescent="0.25">
      <c r="E188" s="343" t="s">
        <v>868</v>
      </c>
      <c r="F188" s="407">
        <v>2784.8</v>
      </c>
      <c r="G188" s="407">
        <v>1867.5</v>
      </c>
      <c r="H188" s="407">
        <v>249.79999999999998</v>
      </c>
      <c r="I188" s="57">
        <f>SUM(F188:H188)</f>
        <v>4902.1000000000004</v>
      </c>
      <c r="J188" s="204">
        <f>I188/I187-1</f>
        <v>0.34322815647396099</v>
      </c>
      <c r="K188" s="204">
        <f>F181/F180-1</f>
        <v>0.27591797765663295</v>
      </c>
    </row>
    <row r="189" spans="2:66" x14ac:dyDescent="0.25">
      <c r="E189" s="343" t="s">
        <v>869</v>
      </c>
      <c r="F189" s="407">
        <v>2779.2</v>
      </c>
      <c r="G189" s="407">
        <v>1677.8</v>
      </c>
      <c r="H189" s="407">
        <v>236.70000000000002</v>
      </c>
      <c r="I189" s="57">
        <f>SUM(F189:H189)</f>
        <v>4693.7</v>
      </c>
      <c r="J189" s="204">
        <f>I189/I188-1</f>
        <v>-4.2512392648048958E-2</v>
      </c>
      <c r="K189" s="204">
        <f>F182/F181-1</f>
        <v>-4.0575393887545053E-2</v>
      </c>
    </row>
    <row r="190" spans="2:66" x14ac:dyDescent="0.25">
      <c r="E190" s="343" t="s">
        <v>873</v>
      </c>
      <c r="F190" s="407">
        <v>2835.4</v>
      </c>
      <c r="G190" s="407">
        <v>1362.3</v>
      </c>
      <c r="H190" s="407">
        <v>231.9</v>
      </c>
      <c r="I190" s="57">
        <f>SUM(F190:H190)</f>
        <v>4429.5999999999995</v>
      </c>
      <c r="J190" s="204">
        <f>I190/I189-1</f>
        <v>-5.6266910965762751E-2</v>
      </c>
      <c r="K190" s="204"/>
    </row>
    <row r="191" spans="2:66" x14ac:dyDescent="0.25">
      <c r="E191" s="343" t="s">
        <v>874</v>
      </c>
      <c r="H191" s="407">
        <v>234.97280000000001</v>
      </c>
      <c r="I191" s="57">
        <f>SUM(F191:H191)</f>
        <v>234.97280000000001</v>
      </c>
      <c r="J191" s="204">
        <f>I191/I190-1</f>
        <v>-0.94695394618024198</v>
      </c>
      <c r="K191" s="204"/>
    </row>
    <row r="193" spans="3:18" x14ac:dyDescent="0.25">
      <c r="E193" s="343" t="s">
        <v>878</v>
      </c>
    </row>
    <row r="195" spans="3:18" x14ac:dyDescent="0.25">
      <c r="E195" s="343" t="s">
        <v>57</v>
      </c>
      <c r="F195" s="204">
        <f>F190/F189-1</f>
        <v>2.0221646516983327E-2</v>
      </c>
      <c r="G195" s="409">
        <v>-4.1000000000000002E-2</v>
      </c>
      <c r="H195" s="410">
        <v>9.7402597402598268E-3</v>
      </c>
    </row>
    <row r="196" spans="3:18" x14ac:dyDescent="0.25">
      <c r="F196" s="204">
        <f>F195*F190/$I$190</f>
        <v>1.2943935464659233E-2</v>
      </c>
      <c r="G196" s="204">
        <f>G195*G190/$I$190</f>
        <v>-1.2609332671121548E-2</v>
      </c>
      <c r="H196" s="204">
        <f>H195*H190/$I$190</f>
        <v>5.0992555394759216E-4</v>
      </c>
      <c r="I196" s="204">
        <f>SUM(F196:H196)</f>
        <v>8.4452834748527719E-4</v>
      </c>
    </row>
    <row r="199" spans="3:18" x14ac:dyDescent="0.25">
      <c r="F199" t="s">
        <v>872</v>
      </c>
    </row>
    <row r="200" spans="3:18" s="405" customFormat="1" x14ac:dyDescent="0.25">
      <c r="F200" s="405" t="s">
        <v>316</v>
      </c>
      <c r="G200" s="405" t="s">
        <v>666</v>
      </c>
      <c r="H200" s="405" t="s">
        <v>655</v>
      </c>
      <c r="I200" s="405" t="s">
        <v>652</v>
      </c>
      <c r="J200" s="405" t="s">
        <v>651</v>
      </c>
      <c r="K200" s="405" t="s">
        <v>650</v>
      </c>
      <c r="L200" s="405" t="s">
        <v>653</v>
      </c>
      <c r="M200" s="405" t="s">
        <v>182</v>
      </c>
    </row>
    <row r="201" spans="3:18" x14ac:dyDescent="0.25">
      <c r="C201" s="40" t="s">
        <v>665</v>
      </c>
      <c r="D201" s="205">
        <v>36341</v>
      </c>
      <c r="E201" s="343" t="s">
        <v>627</v>
      </c>
      <c r="F201" s="407">
        <v>4429.0421061946899</v>
      </c>
      <c r="G201" s="407">
        <v>13836.0609926254</v>
      </c>
      <c r="H201" s="407">
        <v>0.274607669616519</v>
      </c>
      <c r="I201" s="407">
        <v>360.05709587020698</v>
      </c>
      <c r="J201" s="407">
        <v>2618.9054805309702</v>
      </c>
      <c r="K201" s="407">
        <v>332.23691592920397</v>
      </c>
      <c r="L201" s="407">
        <v>3538.7600029498499</v>
      </c>
      <c r="M201" s="407">
        <v>25115.3372017699</v>
      </c>
      <c r="P201" s="57">
        <f>F201+G201</f>
        <v>18265.103098820091</v>
      </c>
      <c r="Q201" s="57">
        <f>P201</f>
        <v>18265.103098820091</v>
      </c>
      <c r="R201" s="57"/>
    </row>
    <row r="202" spans="3:18" x14ac:dyDescent="0.25">
      <c r="C202" s="40" t="s">
        <v>149</v>
      </c>
      <c r="D202" s="205">
        <f t="shared" ref="D202:D226" si="55">EOMONTH(D201,12)</f>
        <v>36707</v>
      </c>
      <c r="E202" s="343" t="s">
        <v>628</v>
      </c>
      <c r="F202" s="407">
        <v>4660.3501945244998</v>
      </c>
      <c r="G202" s="407">
        <v>15098.710863112399</v>
      </c>
      <c r="H202" s="407">
        <v>10.6265172910663</v>
      </c>
      <c r="I202" s="407">
        <v>361.34498559077798</v>
      </c>
      <c r="J202" s="407">
        <v>2577.4032232074501</v>
      </c>
      <c r="K202" s="407">
        <v>65.745140057636902</v>
      </c>
      <c r="L202" s="407">
        <v>3488.4250432276699</v>
      </c>
      <c r="M202" s="407">
        <v>26262.605967011499</v>
      </c>
      <c r="P202" s="57">
        <f t="shared" ref="P202:P226" si="56">F202+G202</f>
        <v>19759.0610576369</v>
      </c>
      <c r="Q202" s="57">
        <f t="shared" ref="Q202:Q221" si="57">P202</f>
        <v>19759.0610576369</v>
      </c>
      <c r="R202" s="57"/>
    </row>
    <row r="203" spans="3:18" x14ac:dyDescent="0.25">
      <c r="C203" s="40" t="s">
        <v>150</v>
      </c>
      <c r="D203" s="205">
        <f t="shared" si="55"/>
        <v>37072</v>
      </c>
      <c r="E203" s="343" t="s">
        <v>629</v>
      </c>
      <c r="F203" s="407">
        <v>4730.7134239130401</v>
      </c>
      <c r="G203" s="407">
        <v>15474.887691576099</v>
      </c>
      <c r="H203" s="407">
        <v>27.476722826086998</v>
      </c>
      <c r="I203" s="407">
        <v>328.41863586956498</v>
      </c>
      <c r="J203" s="407">
        <v>2654.6545210978302</v>
      </c>
      <c r="K203" s="407">
        <v>55.120478532608701</v>
      </c>
      <c r="L203" s="407">
        <v>3418.8896345108701</v>
      </c>
      <c r="M203" s="407">
        <v>26690.161108326101</v>
      </c>
      <c r="P203" s="57">
        <f t="shared" si="56"/>
        <v>20205.601115489138</v>
      </c>
      <c r="Q203" s="57">
        <f t="shared" si="57"/>
        <v>20205.601115489138</v>
      </c>
      <c r="R203" s="57"/>
    </row>
    <row r="204" spans="3:18" x14ac:dyDescent="0.25">
      <c r="C204" s="40" t="s">
        <v>151</v>
      </c>
      <c r="D204" s="205">
        <f t="shared" si="55"/>
        <v>37437</v>
      </c>
      <c r="E204" s="343" t="s">
        <v>630</v>
      </c>
      <c r="F204" s="407">
        <v>4599.5180951122802</v>
      </c>
      <c r="G204" s="407">
        <v>16124.508795244399</v>
      </c>
      <c r="H204" s="407">
        <v>27.441487450462301</v>
      </c>
      <c r="I204" s="407">
        <v>185.426257595773</v>
      </c>
      <c r="J204" s="407">
        <v>2603.85020826457</v>
      </c>
      <c r="K204" s="407">
        <v>51.114155878467599</v>
      </c>
      <c r="L204" s="407">
        <v>3539.23043438573</v>
      </c>
      <c r="M204" s="407">
        <v>27131.089433931698</v>
      </c>
      <c r="P204" s="57">
        <f t="shared" si="56"/>
        <v>20724.026890356679</v>
      </c>
      <c r="Q204" s="57">
        <f t="shared" si="57"/>
        <v>20724.026890356679</v>
      </c>
      <c r="R204" s="57"/>
    </row>
    <row r="205" spans="3:18" x14ac:dyDescent="0.25">
      <c r="C205" s="40" t="s">
        <v>152</v>
      </c>
      <c r="D205" s="205">
        <f t="shared" si="55"/>
        <v>37802</v>
      </c>
      <c r="E205" s="343" t="s">
        <v>631</v>
      </c>
      <c r="F205" s="407">
        <v>4485.5583371794901</v>
      </c>
      <c r="G205" s="407">
        <v>15930.8739769231</v>
      </c>
      <c r="H205" s="407">
        <v>32.545342307692302</v>
      </c>
      <c r="I205" s="407">
        <v>239.48373333333299</v>
      </c>
      <c r="J205" s="407">
        <v>2738.1421653846201</v>
      </c>
      <c r="K205" s="407">
        <v>48.557376923076902</v>
      </c>
      <c r="L205" s="407">
        <v>3628.1571474358998</v>
      </c>
      <c r="M205" s="407">
        <v>27103.318079487199</v>
      </c>
      <c r="P205" s="57">
        <f t="shared" si="56"/>
        <v>20416.432314102589</v>
      </c>
      <c r="Q205" s="57">
        <f t="shared" si="57"/>
        <v>20416.432314102589</v>
      </c>
      <c r="R205" s="57"/>
    </row>
    <row r="206" spans="3:18" x14ac:dyDescent="0.25">
      <c r="C206" s="40" t="s">
        <v>153</v>
      </c>
      <c r="D206" s="205">
        <f t="shared" si="55"/>
        <v>38168</v>
      </c>
      <c r="E206" s="343" t="s">
        <v>632</v>
      </c>
      <c r="F206" s="407">
        <v>4620.3355919899896</v>
      </c>
      <c r="G206" s="407">
        <v>16358.3163579474</v>
      </c>
      <c r="H206" s="407">
        <v>25.166297872340401</v>
      </c>
      <c r="I206" s="407">
        <v>322.03197747183998</v>
      </c>
      <c r="J206" s="407">
        <v>2743.03394493116</v>
      </c>
      <c r="K206" s="407">
        <v>37.9499136420526</v>
      </c>
      <c r="L206" s="407">
        <v>3730.33138673342</v>
      </c>
      <c r="M206" s="407">
        <v>27837.165470588199</v>
      </c>
      <c r="P206" s="57">
        <f t="shared" si="56"/>
        <v>20978.65194993739</v>
      </c>
      <c r="Q206" s="57">
        <f t="shared" si="57"/>
        <v>20978.65194993739</v>
      </c>
      <c r="R206" s="57"/>
    </row>
    <row r="207" spans="3:18" x14ac:dyDescent="0.25">
      <c r="C207" s="40" t="s">
        <v>154</v>
      </c>
      <c r="D207" s="205">
        <f t="shared" si="55"/>
        <v>38533</v>
      </c>
      <c r="E207" s="343" t="s">
        <v>633</v>
      </c>
      <c r="F207" s="407">
        <v>4415.9822958435198</v>
      </c>
      <c r="G207" s="407">
        <v>16895.829809291001</v>
      </c>
      <c r="H207" s="407">
        <v>23.5976772616137</v>
      </c>
      <c r="I207" s="407">
        <v>349.02303545232297</v>
      </c>
      <c r="J207" s="407">
        <v>2722.76527261614</v>
      </c>
      <c r="K207" s="407">
        <v>37.105255501222501</v>
      </c>
      <c r="L207" s="407">
        <v>3863.2393410758</v>
      </c>
      <c r="M207" s="407">
        <v>28307.542687041601</v>
      </c>
      <c r="P207" s="57">
        <f t="shared" si="56"/>
        <v>21311.812105134522</v>
      </c>
      <c r="Q207" s="57">
        <f t="shared" si="57"/>
        <v>21311.812105134522</v>
      </c>
      <c r="R207" s="57"/>
    </row>
    <row r="208" spans="3:18" x14ac:dyDescent="0.25">
      <c r="C208" s="40" t="s">
        <v>155</v>
      </c>
      <c r="D208" s="205">
        <f t="shared" si="55"/>
        <v>38898</v>
      </c>
      <c r="E208" s="343" t="s">
        <v>634</v>
      </c>
      <c r="F208" s="407">
        <v>4754.9394600473897</v>
      </c>
      <c r="G208" s="407">
        <v>16837.990569277201</v>
      </c>
      <c r="H208" s="407">
        <v>23.929925355450202</v>
      </c>
      <c r="I208" s="407">
        <v>342.00020616113699</v>
      </c>
      <c r="J208" s="407">
        <v>2729.5212996327</v>
      </c>
      <c r="K208" s="407">
        <v>34.379093601895697</v>
      </c>
      <c r="L208" s="407">
        <v>3852.7895229071901</v>
      </c>
      <c r="M208" s="407">
        <v>28575.550076983</v>
      </c>
      <c r="P208" s="57">
        <f t="shared" si="56"/>
        <v>21592.930029324591</v>
      </c>
      <c r="Q208" s="57">
        <f t="shared" si="57"/>
        <v>21592.930029324591</v>
      </c>
      <c r="R208" s="57"/>
    </row>
    <row r="209" spans="3:18" x14ac:dyDescent="0.25">
      <c r="C209" s="40" t="s">
        <v>156</v>
      </c>
      <c r="D209" s="205">
        <f t="shared" si="55"/>
        <v>39263</v>
      </c>
      <c r="E209" s="343" t="s">
        <v>635</v>
      </c>
      <c r="F209" s="407">
        <v>4860.4777502876896</v>
      </c>
      <c r="G209" s="407">
        <v>16666.078394706601</v>
      </c>
      <c r="H209" s="407">
        <v>10.7314476409666</v>
      </c>
      <c r="I209" s="407">
        <v>317.79862025316498</v>
      </c>
      <c r="J209" s="407">
        <v>2756.2751890218601</v>
      </c>
      <c r="K209" s="407">
        <v>33.3601196777906</v>
      </c>
      <c r="L209" s="407">
        <v>4047.3091309636002</v>
      </c>
      <c r="M209" s="407">
        <v>28692.030652551599</v>
      </c>
      <c r="P209" s="57">
        <f t="shared" si="56"/>
        <v>21526.556144994291</v>
      </c>
      <c r="Q209" s="57">
        <f t="shared" si="57"/>
        <v>21526.556144994291</v>
      </c>
      <c r="R209" s="57"/>
    </row>
    <row r="210" spans="3:18" x14ac:dyDescent="0.25">
      <c r="C210" s="40" t="s">
        <v>157</v>
      </c>
      <c r="D210" s="205">
        <f t="shared" si="55"/>
        <v>39629</v>
      </c>
      <c r="E210" s="343" t="s">
        <v>636</v>
      </c>
      <c r="F210" s="407">
        <v>4895.0477887384104</v>
      </c>
      <c r="G210" s="407">
        <v>15525.740558834499</v>
      </c>
      <c r="H210" s="407">
        <v>5.7488853006681504</v>
      </c>
      <c r="I210" s="407">
        <v>348.26202335182597</v>
      </c>
      <c r="J210" s="407">
        <v>2829.4201809655101</v>
      </c>
      <c r="K210" s="407">
        <v>34.011570155902</v>
      </c>
      <c r="L210" s="407">
        <v>3955.2834379174401</v>
      </c>
      <c r="M210" s="407">
        <v>27593.514445264202</v>
      </c>
      <c r="P210" s="57">
        <f t="shared" si="56"/>
        <v>20420.78834757291</v>
      </c>
      <c r="Q210" s="57">
        <f t="shared" si="57"/>
        <v>20420.78834757291</v>
      </c>
      <c r="R210" s="57"/>
    </row>
    <row r="211" spans="3:18" x14ac:dyDescent="0.25">
      <c r="C211" s="40" t="s">
        <v>158</v>
      </c>
      <c r="D211" s="205">
        <f t="shared" si="55"/>
        <v>39994</v>
      </c>
      <c r="E211" s="343" t="s">
        <v>637</v>
      </c>
      <c r="F211" s="407">
        <v>5119.6342203023796</v>
      </c>
      <c r="G211" s="407">
        <v>15476.4299687697</v>
      </c>
      <c r="H211" s="407">
        <v>1.12506371490281</v>
      </c>
      <c r="I211" s="407">
        <v>384.47026942948202</v>
      </c>
      <c r="J211" s="407">
        <v>2950.87697429849</v>
      </c>
      <c r="K211" s="407">
        <v>34.334401727861803</v>
      </c>
      <c r="L211" s="407">
        <v>4180.6611672456802</v>
      </c>
      <c r="M211" s="407">
        <v>28147.5320654885</v>
      </c>
      <c r="P211" s="57">
        <f t="shared" si="56"/>
        <v>20596.06418907208</v>
      </c>
      <c r="Q211" s="57">
        <f t="shared" si="57"/>
        <v>20596.06418907208</v>
      </c>
      <c r="R211" s="57"/>
    </row>
    <row r="212" spans="3:18" x14ac:dyDescent="0.25">
      <c r="C212" s="40" t="s">
        <v>159</v>
      </c>
      <c r="D212" s="205">
        <f t="shared" si="55"/>
        <v>40359</v>
      </c>
      <c r="E212" s="343" t="s">
        <v>638</v>
      </c>
      <c r="F212" s="407">
        <v>5083.1973266018003</v>
      </c>
      <c r="G212" s="407">
        <v>14763.408577144501</v>
      </c>
      <c r="H212" s="407">
        <v>0</v>
      </c>
      <c r="I212" s="407">
        <v>378.135860907964</v>
      </c>
      <c r="J212" s="407">
        <v>2151.2314645266201</v>
      </c>
      <c r="K212" s="407">
        <v>28.7735495780591</v>
      </c>
      <c r="L212" s="407">
        <v>4247.55606901793</v>
      </c>
      <c r="M212" s="407">
        <v>26652.3028477769</v>
      </c>
      <c r="P212" s="57">
        <f t="shared" si="56"/>
        <v>19846.605903746302</v>
      </c>
      <c r="Q212" s="57">
        <f t="shared" si="57"/>
        <v>19846.605903746302</v>
      </c>
      <c r="R212" s="57"/>
    </row>
    <row r="213" spans="3:18" x14ac:dyDescent="0.25">
      <c r="C213" s="40" t="s">
        <v>160</v>
      </c>
      <c r="D213" s="205">
        <f t="shared" si="55"/>
        <v>40724</v>
      </c>
      <c r="E213" s="343" t="s">
        <v>639</v>
      </c>
      <c r="F213" s="407">
        <v>5176.0430746888396</v>
      </c>
      <c r="G213" s="407">
        <v>14885.958982910901</v>
      </c>
      <c r="H213" s="407">
        <v>0</v>
      </c>
      <c r="I213" s="407">
        <v>399.61951577686801</v>
      </c>
      <c r="J213" s="407">
        <v>2487.4197533265101</v>
      </c>
      <c r="K213" s="407">
        <v>34.758867963152497</v>
      </c>
      <c r="L213" s="407">
        <v>4230.0219005209801</v>
      </c>
      <c r="M213" s="407">
        <v>27213.822095187301</v>
      </c>
      <c r="P213" s="57">
        <f t="shared" si="56"/>
        <v>20062.002057599741</v>
      </c>
      <c r="Q213" s="57">
        <f t="shared" si="57"/>
        <v>20062.002057599741</v>
      </c>
      <c r="R213" s="57"/>
    </row>
    <row r="214" spans="3:18" x14ac:dyDescent="0.25">
      <c r="C214" s="40" t="s">
        <v>161</v>
      </c>
      <c r="D214" s="205">
        <f t="shared" si="55"/>
        <v>41090</v>
      </c>
      <c r="E214" s="343" t="s">
        <v>640</v>
      </c>
      <c r="F214" s="407">
        <v>5587.0144962300001</v>
      </c>
      <c r="G214" s="407">
        <v>14937.413075447999</v>
      </c>
      <c r="H214" s="407">
        <v>0</v>
      </c>
      <c r="I214" s="407">
        <v>420.49097437299997</v>
      </c>
      <c r="J214" s="407">
        <v>2694.5604088519999</v>
      </c>
      <c r="K214" s="407">
        <v>33.283127999999998</v>
      </c>
      <c r="L214" s="407">
        <v>4458.4948816420001</v>
      </c>
      <c r="M214" s="407">
        <v>28131.256964544998</v>
      </c>
      <c r="P214" s="57">
        <f t="shared" si="56"/>
        <v>20524.427571677999</v>
      </c>
      <c r="Q214" s="57">
        <f t="shared" si="57"/>
        <v>20524.427571677999</v>
      </c>
      <c r="R214" s="57"/>
    </row>
    <row r="215" spans="3:18" x14ac:dyDescent="0.25">
      <c r="C215" s="40" t="s">
        <v>162</v>
      </c>
      <c r="D215" s="205">
        <f t="shared" si="55"/>
        <v>41455</v>
      </c>
      <c r="E215" s="343" t="s">
        <v>641</v>
      </c>
      <c r="F215" s="407">
        <v>5512.6485502013702</v>
      </c>
      <c r="G215" s="407">
        <v>14490.161664540599</v>
      </c>
      <c r="H215" s="407">
        <v>0</v>
      </c>
      <c r="I215" s="407">
        <v>429.86971623949199</v>
      </c>
      <c r="J215" s="407">
        <v>2882.0740578181799</v>
      </c>
      <c r="K215" s="407">
        <v>33.674991202346</v>
      </c>
      <c r="L215" s="407">
        <v>4480.6061728465302</v>
      </c>
      <c r="M215" s="407">
        <v>27829.035152848501</v>
      </c>
      <c r="P215" s="57">
        <f t="shared" si="56"/>
        <v>20002.81021474197</v>
      </c>
      <c r="Q215" s="57">
        <f t="shared" si="57"/>
        <v>20002.81021474197</v>
      </c>
      <c r="R215" s="57"/>
    </row>
    <row r="216" spans="3:18" x14ac:dyDescent="0.25">
      <c r="C216" s="40" t="s">
        <v>163</v>
      </c>
      <c r="D216" s="205">
        <f t="shared" si="55"/>
        <v>41820</v>
      </c>
      <c r="E216" s="343" t="s">
        <v>642</v>
      </c>
      <c r="F216" s="407">
        <v>5722.0928820133304</v>
      </c>
      <c r="G216" s="407">
        <v>14410.2172245375</v>
      </c>
      <c r="H216" s="407">
        <v>0</v>
      </c>
      <c r="I216" s="407">
        <v>426.55421105607599</v>
      </c>
      <c r="J216" s="407">
        <v>2546.4581792874601</v>
      </c>
      <c r="K216" s="407">
        <v>34.947310476190502</v>
      </c>
      <c r="L216" s="407">
        <v>4606.9450376148397</v>
      </c>
      <c r="M216" s="407">
        <v>27747.214844985399</v>
      </c>
      <c r="P216" s="57">
        <f t="shared" si="56"/>
        <v>20132.310106550831</v>
      </c>
      <c r="Q216" s="57">
        <f t="shared" si="57"/>
        <v>20132.310106550831</v>
      </c>
      <c r="R216" s="57"/>
    </row>
    <row r="217" spans="3:18" x14ac:dyDescent="0.25">
      <c r="C217" s="40" t="s">
        <v>164</v>
      </c>
      <c r="D217" s="205">
        <f t="shared" si="55"/>
        <v>42185</v>
      </c>
      <c r="E217" s="343" t="s">
        <v>643</v>
      </c>
      <c r="F217" s="407">
        <v>6632.5544883820203</v>
      </c>
      <c r="G217" s="407">
        <v>14855.069324850199</v>
      </c>
      <c r="H217" s="407">
        <v>0</v>
      </c>
      <c r="I217" s="407">
        <v>418.89626541255598</v>
      </c>
      <c r="J217" s="407">
        <v>2555.0029613452398</v>
      </c>
      <c r="K217" s="407">
        <v>29.597574906367001</v>
      </c>
      <c r="L217" s="407">
        <v>4873.5068544953201</v>
      </c>
      <c r="M217" s="407">
        <v>29364.6274693917</v>
      </c>
      <c r="P217" s="57">
        <f t="shared" si="56"/>
        <v>21487.623813232218</v>
      </c>
      <c r="Q217" s="57">
        <f t="shared" si="57"/>
        <v>21487.623813232218</v>
      </c>
      <c r="R217" s="57"/>
    </row>
    <row r="218" spans="3:18" x14ac:dyDescent="0.25">
      <c r="C218" s="40" t="s">
        <v>165</v>
      </c>
      <c r="D218" s="205">
        <f t="shared" si="55"/>
        <v>42551</v>
      </c>
      <c r="E218" s="343" t="s">
        <v>644</v>
      </c>
      <c r="F218" s="407">
        <v>6566.7316515272196</v>
      </c>
      <c r="G218" s="407">
        <v>15262.843215143101</v>
      </c>
      <c r="H218" s="407">
        <v>1.01126500461681E-2</v>
      </c>
      <c r="I218" s="407">
        <v>437.17513572319501</v>
      </c>
      <c r="J218" s="407">
        <v>2702.98908876524</v>
      </c>
      <c r="K218" s="407">
        <v>40.159861495844901</v>
      </c>
      <c r="L218" s="407">
        <v>5081.1037334718403</v>
      </c>
      <c r="M218" s="407">
        <v>30091.012798776501</v>
      </c>
      <c r="P218" s="57">
        <f t="shared" si="56"/>
        <v>21829.574866670322</v>
      </c>
      <c r="Q218" s="57">
        <f t="shared" si="57"/>
        <v>21829.574866670322</v>
      </c>
      <c r="R218" s="57"/>
    </row>
    <row r="219" spans="3:18" x14ac:dyDescent="0.25">
      <c r="C219" s="40" t="s">
        <v>166</v>
      </c>
      <c r="D219" s="205">
        <f t="shared" si="55"/>
        <v>42916</v>
      </c>
      <c r="E219" s="343" t="s">
        <v>645</v>
      </c>
      <c r="F219" s="407">
        <v>5950.6038829887102</v>
      </c>
      <c r="G219" s="407">
        <v>15076.6808445489</v>
      </c>
      <c r="H219" s="407">
        <v>5.6710390199637001E-3</v>
      </c>
      <c r="I219" s="407">
        <v>443.234922560195</v>
      </c>
      <c r="J219" s="407">
        <v>2488.58455381064</v>
      </c>
      <c r="K219" s="407">
        <v>42.672549909255899</v>
      </c>
      <c r="L219" s="407">
        <v>5437.4461237349897</v>
      </c>
      <c r="M219" s="407">
        <v>29439.228548591698</v>
      </c>
      <c r="P219" s="57">
        <f t="shared" si="56"/>
        <v>21027.284727537612</v>
      </c>
      <c r="Q219" s="57">
        <f t="shared" si="57"/>
        <v>21027.284727537612</v>
      </c>
      <c r="R219" s="57"/>
    </row>
    <row r="220" spans="3:18" x14ac:dyDescent="0.25">
      <c r="C220" s="40" t="s">
        <v>167</v>
      </c>
      <c r="D220" s="205">
        <f t="shared" si="55"/>
        <v>43281</v>
      </c>
      <c r="E220" s="343" t="s">
        <v>646</v>
      </c>
      <c r="F220" s="407">
        <v>6217.8965787016796</v>
      </c>
      <c r="G220" s="407">
        <v>15263.0969173626</v>
      </c>
      <c r="H220" s="407">
        <v>1.21905609973286E-3</v>
      </c>
      <c r="I220" s="407">
        <v>432.36286419371299</v>
      </c>
      <c r="J220" s="407">
        <v>2554.33707323115</v>
      </c>
      <c r="K220" s="407">
        <v>42.191531611754201</v>
      </c>
      <c r="L220" s="407">
        <v>6030.3517961977504</v>
      </c>
      <c r="M220" s="407">
        <v>30540.237980354701</v>
      </c>
      <c r="P220" s="57">
        <f t="shared" si="56"/>
        <v>21480.993496064279</v>
      </c>
      <c r="Q220" s="57">
        <f t="shared" si="57"/>
        <v>21480.993496064279</v>
      </c>
      <c r="R220" s="57"/>
    </row>
    <row r="221" spans="3:18" x14ac:dyDescent="0.25">
      <c r="C221" s="40" t="s">
        <v>168</v>
      </c>
      <c r="D221" s="205">
        <f t="shared" si="55"/>
        <v>43646</v>
      </c>
      <c r="E221" s="343" t="s">
        <v>647</v>
      </c>
      <c r="F221" s="407">
        <v>5830.9771337550901</v>
      </c>
      <c r="G221" s="407">
        <v>15258.468666252</v>
      </c>
      <c r="H221" s="407">
        <v>0.98145661700262898</v>
      </c>
      <c r="I221" s="407">
        <v>430.151703973324</v>
      </c>
      <c r="J221" s="407">
        <v>3100.0543557482201</v>
      </c>
      <c r="K221" s="407">
        <v>38.290006134969303</v>
      </c>
      <c r="L221" s="407">
        <v>6035.2670586678696</v>
      </c>
      <c r="M221" s="407">
        <v>30694.190381148499</v>
      </c>
      <c r="P221" s="57">
        <f t="shared" si="56"/>
        <v>21089.445800007088</v>
      </c>
      <c r="Q221" s="57">
        <f t="shared" si="57"/>
        <v>21089.445800007088</v>
      </c>
      <c r="R221" s="57">
        <f t="shared" ref="R221:R226" si="58">P221</f>
        <v>21089.445800007088</v>
      </c>
    </row>
    <row r="222" spans="3:18" x14ac:dyDescent="0.25">
      <c r="C222" s="40" t="s">
        <v>169</v>
      </c>
      <c r="D222" s="205">
        <f t="shared" si="55"/>
        <v>44012</v>
      </c>
      <c r="E222" s="343" t="s">
        <v>648</v>
      </c>
      <c r="F222" s="407">
        <v>4158.2316476184396</v>
      </c>
      <c r="G222" s="407">
        <v>12066.8464937143</v>
      </c>
      <c r="H222" s="407">
        <v>4.4844511668107199</v>
      </c>
      <c r="I222" s="407">
        <v>362.706576704844</v>
      </c>
      <c r="J222" s="407">
        <v>3104.9400329954401</v>
      </c>
      <c r="K222" s="407">
        <v>34.550388936905797</v>
      </c>
      <c r="L222" s="407">
        <v>5423.06469440399</v>
      </c>
      <c r="M222" s="407">
        <v>25154.824285540799</v>
      </c>
      <c r="P222" s="57">
        <f t="shared" si="56"/>
        <v>16225.078141332739</v>
      </c>
      <c r="Q222" s="57"/>
      <c r="R222" s="57">
        <f t="shared" si="58"/>
        <v>16225.078141332739</v>
      </c>
    </row>
    <row r="223" spans="3:18" x14ac:dyDescent="0.25">
      <c r="C223" s="40" t="s">
        <v>170</v>
      </c>
      <c r="D223" s="205">
        <f>EOMONTH(D222,12)</f>
        <v>44377</v>
      </c>
      <c r="E223" s="343" t="s">
        <v>649</v>
      </c>
      <c r="F223" s="407">
        <v>3179.1573271442198</v>
      </c>
      <c r="G223" s="407">
        <v>14193.465212289901</v>
      </c>
      <c r="H223" s="407">
        <v>12.9641387234043</v>
      </c>
      <c r="I223" s="407">
        <v>488.72185870516603</v>
      </c>
      <c r="J223" s="407">
        <v>3306.6976853672199</v>
      </c>
      <c r="K223" s="407">
        <v>51.978891063829799</v>
      </c>
      <c r="L223" s="407">
        <v>6744.2001692447702</v>
      </c>
      <c r="M223" s="407">
        <v>27977.185282538499</v>
      </c>
      <c r="P223" s="57">
        <f t="shared" si="56"/>
        <v>17372.62253943412</v>
      </c>
      <c r="Q223" s="57"/>
      <c r="R223" s="57">
        <f t="shared" si="58"/>
        <v>17372.62253943412</v>
      </c>
    </row>
    <row r="224" spans="3:18" x14ac:dyDescent="0.25">
      <c r="C224" s="40" t="s">
        <v>171</v>
      </c>
      <c r="D224" s="205">
        <f t="shared" si="55"/>
        <v>44742</v>
      </c>
      <c r="E224" s="343" t="s">
        <v>867</v>
      </c>
      <c r="F224" s="407">
        <v>3155.6916220181602</v>
      </c>
      <c r="G224" s="407">
        <v>14306.813738924</v>
      </c>
      <c r="H224" s="407">
        <v>20.2183908794788</v>
      </c>
      <c r="I224" s="407">
        <v>459.74426583702802</v>
      </c>
      <c r="J224" s="407">
        <v>3503.52666959413</v>
      </c>
      <c r="K224" s="407">
        <v>56.740065301547197</v>
      </c>
      <c r="L224" s="407">
        <v>9214.9680780141298</v>
      </c>
      <c r="M224" s="407">
        <v>30717.702830568502</v>
      </c>
      <c r="P224" s="57">
        <f t="shared" si="56"/>
        <v>17462.505360942159</v>
      </c>
      <c r="Q224" s="57"/>
      <c r="R224" s="57">
        <f t="shared" si="58"/>
        <v>17462.505360942159</v>
      </c>
    </row>
    <row r="225" spans="3:18" x14ac:dyDescent="0.25">
      <c r="C225" s="40" t="s">
        <v>172</v>
      </c>
      <c r="D225" s="205">
        <f t="shared" si="55"/>
        <v>45107</v>
      </c>
      <c r="E225" s="343" t="s">
        <v>868</v>
      </c>
      <c r="F225" s="407">
        <v>3762.8795356144001</v>
      </c>
      <c r="G225" s="407">
        <v>16424.562509064501</v>
      </c>
      <c r="H225" s="407">
        <v>46.2615730593607</v>
      </c>
      <c r="I225" s="407">
        <v>492.98934585613398</v>
      </c>
      <c r="J225" s="407">
        <v>3238.6667093780302</v>
      </c>
      <c r="K225" s="407">
        <v>63.558228157602699</v>
      </c>
      <c r="L225" s="407">
        <v>8754.3441742999603</v>
      </c>
      <c r="M225" s="407">
        <v>32783.262075430001</v>
      </c>
      <c r="P225" s="57">
        <f t="shared" si="56"/>
        <v>20187.442044678901</v>
      </c>
      <c r="Q225" s="57"/>
      <c r="R225" s="57">
        <f t="shared" si="58"/>
        <v>20187.442044678901</v>
      </c>
    </row>
    <row r="226" spans="3:18" x14ac:dyDescent="0.25">
      <c r="C226" s="40" t="s">
        <v>173</v>
      </c>
      <c r="D226" s="205">
        <f t="shared" si="55"/>
        <v>45473</v>
      </c>
      <c r="E226" s="343" t="s">
        <v>869</v>
      </c>
      <c r="F226" s="407">
        <v>3465.15834202</v>
      </c>
      <c r="G226" s="407">
        <v>16293.06811278</v>
      </c>
      <c r="H226" s="407">
        <v>0</v>
      </c>
      <c r="I226" s="407">
        <v>469.11926283999998</v>
      </c>
      <c r="J226" s="407">
        <v>3476.87753906444</v>
      </c>
      <c r="K226" s="407">
        <v>51.315572000000003</v>
      </c>
      <c r="L226" s="407">
        <v>8428.9754112400005</v>
      </c>
      <c r="M226" s="407">
        <v>32184.514239944401</v>
      </c>
      <c r="P226" s="57">
        <f t="shared" si="56"/>
        <v>19758.226454799998</v>
      </c>
      <c r="Q226" s="57"/>
      <c r="R226" s="57">
        <f t="shared" si="58"/>
        <v>19758.226454799998</v>
      </c>
    </row>
  </sheetData>
  <phoneticPr fontId="4" type="noConversion"/>
  <pageMargins left="0.7" right="0.7" top="0.75" bottom="0.75" header="0.3" footer="0.3"/>
  <pageSetup paperSize="9" scale="96"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6C4B-DF9A-4D1E-B260-45736AC05710}">
  <dimension ref="B2:R270"/>
  <sheetViews>
    <sheetView workbookViewId="0">
      <selection activeCell="O30" sqref="O30"/>
    </sheetView>
  </sheetViews>
  <sheetFormatPr defaultRowHeight="15" x14ac:dyDescent="0.25"/>
  <cols>
    <col min="11" max="12" width="9.42578125" style="659" bestFit="1" customWidth="1"/>
    <col min="13" max="13" width="9.85546875" bestFit="1" customWidth="1"/>
  </cols>
  <sheetData>
    <row r="2" spans="2:18" x14ac:dyDescent="0.25">
      <c r="H2" t="s">
        <v>1320</v>
      </c>
    </row>
    <row r="4" spans="2:18" x14ac:dyDescent="0.25">
      <c r="B4" s="653">
        <v>26543</v>
      </c>
      <c r="C4" s="654">
        <v>7.69</v>
      </c>
      <c r="E4" s="205">
        <v>36312</v>
      </c>
      <c r="F4">
        <f t="shared" ref="F4:F30" si="0">_xlfn.XLOOKUP(E4,$B:$B,$C:$C)</f>
        <v>47.29</v>
      </c>
      <c r="H4" s="653">
        <v>21794</v>
      </c>
      <c r="I4" s="657">
        <v>39652</v>
      </c>
      <c r="K4" s="659">
        <v>35948</v>
      </c>
      <c r="L4" s="659">
        <v>36312</v>
      </c>
      <c r="M4" s="658">
        <f>_xlfn.XLOOKUP(L4,$H:$H,$I:$I)</f>
        <v>165519</v>
      </c>
      <c r="N4">
        <f>SUMIFS($I:$I,$H:$H,"&gt;="&amp;K4,$H:$H,"&lt;="&amp;L4)</f>
        <v>662148</v>
      </c>
      <c r="P4">
        <v>662148</v>
      </c>
      <c r="Q4">
        <v>12438.421200000001</v>
      </c>
      <c r="R4" s="656">
        <f>Q4/P4</f>
        <v>1.8784956233349644E-2</v>
      </c>
    </row>
    <row r="5" spans="2:18" x14ac:dyDescent="0.25">
      <c r="B5" s="653">
        <v>26634</v>
      </c>
      <c r="C5" s="654">
        <v>7.77</v>
      </c>
      <c r="E5" s="205">
        <f>EOMONTH(E4,11)+1</f>
        <v>36678</v>
      </c>
      <c r="F5">
        <f t="shared" si="0"/>
        <v>48.77</v>
      </c>
      <c r="H5" s="653">
        <v>21885</v>
      </c>
      <c r="I5" s="657">
        <v>43255</v>
      </c>
      <c r="K5" s="659">
        <f>L4+1</f>
        <v>36313</v>
      </c>
      <c r="L5" s="659">
        <f>EOMONTH(K5,11)+1</f>
        <v>36678</v>
      </c>
      <c r="M5" s="658">
        <f t="shared" ref="M5:M31" si="1">_xlfn.XLOOKUP(L5,$H:$H,$I:$I)</f>
        <v>171490</v>
      </c>
      <c r="N5">
        <f t="shared" ref="N5:N31" si="2">SUMIFS($I:$I,$H:$H,"&gt;="&amp;K5,$H:$H,"&lt;="&amp;L5)</f>
        <v>689935</v>
      </c>
      <c r="P5">
        <v>689935</v>
      </c>
      <c r="Q5">
        <v>13313.548970858999</v>
      </c>
      <c r="R5" s="656">
        <f t="shared" ref="R5:R29" si="3">Q5/P5</f>
        <v>1.9296816324521876E-2</v>
      </c>
    </row>
    <row r="6" spans="2:18" x14ac:dyDescent="0.25">
      <c r="B6" s="653">
        <v>26724</v>
      </c>
      <c r="C6" s="654">
        <v>7.93</v>
      </c>
      <c r="E6" s="205">
        <f t="shared" ref="E6:E31" si="4">EOMONTH(E5,11)+1</f>
        <v>37043</v>
      </c>
      <c r="F6">
        <f t="shared" si="0"/>
        <v>51.73</v>
      </c>
      <c r="H6" s="653">
        <v>21976</v>
      </c>
      <c r="I6" s="657">
        <v>40365</v>
      </c>
      <c r="K6" s="659">
        <f t="shared" ref="K6:K31" si="5">L5+1</f>
        <v>36679</v>
      </c>
      <c r="L6" s="659">
        <f t="shared" ref="L6:L31" si="6">EOMONTH(K6,11)+1</f>
        <v>37043</v>
      </c>
      <c r="M6" s="658">
        <f t="shared" si="1"/>
        <v>177080</v>
      </c>
      <c r="N6">
        <f t="shared" si="2"/>
        <v>712878</v>
      </c>
      <c r="P6">
        <v>712878</v>
      </c>
      <c r="Q6">
        <v>14349.129712</v>
      </c>
      <c r="R6" s="656">
        <f t="shared" si="3"/>
        <v>2.0128450747533239E-2</v>
      </c>
    </row>
    <row r="7" spans="2:18" x14ac:dyDescent="0.25">
      <c r="B7" s="653">
        <v>26816</v>
      </c>
      <c r="C7" s="654">
        <v>8.1999999999999993</v>
      </c>
      <c r="E7" s="205">
        <f t="shared" si="4"/>
        <v>37408</v>
      </c>
      <c r="F7">
        <f t="shared" si="0"/>
        <v>53.2</v>
      </c>
      <c r="H7" s="653">
        <v>22068</v>
      </c>
      <c r="I7" s="657">
        <v>41901</v>
      </c>
      <c r="K7" s="659">
        <f t="shared" si="5"/>
        <v>37044</v>
      </c>
      <c r="L7" s="659">
        <f t="shared" si="6"/>
        <v>37408</v>
      </c>
      <c r="M7" s="658">
        <f t="shared" si="1"/>
        <v>184138</v>
      </c>
      <c r="N7">
        <f t="shared" si="2"/>
        <v>733728</v>
      </c>
      <c r="P7">
        <v>733728</v>
      </c>
      <c r="Q7">
        <v>15002.362820662</v>
      </c>
      <c r="R7" s="656">
        <f t="shared" si="3"/>
        <v>2.0446763406414912E-2</v>
      </c>
    </row>
    <row r="8" spans="2:18" x14ac:dyDescent="0.25">
      <c r="B8" s="653">
        <v>26908</v>
      </c>
      <c r="C8" s="654">
        <v>8.4700000000000006</v>
      </c>
      <c r="E8" s="205">
        <f t="shared" si="4"/>
        <v>37773</v>
      </c>
      <c r="F8">
        <f t="shared" si="0"/>
        <v>54.62</v>
      </c>
      <c r="H8" s="653">
        <v>22160</v>
      </c>
      <c r="I8" s="657">
        <v>41802</v>
      </c>
      <c r="K8" s="659">
        <f t="shared" si="5"/>
        <v>37409</v>
      </c>
      <c r="L8" s="659">
        <f t="shared" si="6"/>
        <v>37773</v>
      </c>
      <c r="M8" s="658">
        <f t="shared" si="1"/>
        <v>190186</v>
      </c>
      <c r="N8">
        <f t="shared" si="2"/>
        <v>765144</v>
      </c>
      <c r="P8">
        <v>765144</v>
      </c>
      <c r="Q8">
        <v>15442.358</v>
      </c>
      <c r="R8" s="656">
        <f t="shared" si="3"/>
        <v>2.0182289869619313E-2</v>
      </c>
    </row>
    <row r="9" spans="2:18" x14ac:dyDescent="0.25">
      <c r="B9" s="653">
        <v>26999</v>
      </c>
      <c r="C9" s="654">
        <v>8.7799999999999994</v>
      </c>
      <c r="E9" s="205">
        <f t="shared" si="4"/>
        <v>38139</v>
      </c>
      <c r="F9">
        <f t="shared" si="0"/>
        <v>55.97</v>
      </c>
      <c r="H9" s="653">
        <v>22251</v>
      </c>
      <c r="I9" s="657">
        <v>44647</v>
      </c>
      <c r="K9" s="659">
        <f t="shared" si="5"/>
        <v>37774</v>
      </c>
      <c r="L9" s="659">
        <f t="shared" si="6"/>
        <v>38139</v>
      </c>
      <c r="M9" s="658">
        <f t="shared" si="1"/>
        <v>202249</v>
      </c>
      <c r="N9">
        <f t="shared" si="2"/>
        <v>805692</v>
      </c>
      <c r="P9">
        <v>805692</v>
      </c>
      <c r="Q9">
        <v>16246.819</v>
      </c>
      <c r="R9" s="656">
        <f t="shared" si="3"/>
        <v>2.0165049423352843E-2</v>
      </c>
    </row>
    <row r="10" spans="2:18" x14ac:dyDescent="0.25">
      <c r="B10" s="653">
        <v>27089</v>
      </c>
      <c r="C10" s="654">
        <v>9.01</v>
      </c>
      <c r="E10" s="205">
        <f t="shared" si="4"/>
        <v>38504</v>
      </c>
      <c r="F10">
        <f t="shared" si="0"/>
        <v>57.35</v>
      </c>
      <c r="H10" s="653">
        <v>22341</v>
      </c>
      <c r="I10" s="657">
        <v>40525</v>
      </c>
      <c r="K10" s="659">
        <f t="shared" si="5"/>
        <v>38140</v>
      </c>
      <c r="L10" s="659">
        <f t="shared" si="6"/>
        <v>38504</v>
      </c>
      <c r="M10" s="658">
        <f t="shared" si="1"/>
        <v>211294</v>
      </c>
      <c r="N10">
        <f t="shared" si="2"/>
        <v>842257</v>
      </c>
      <c r="P10">
        <v>842257</v>
      </c>
      <c r="Q10">
        <v>16914.222000000002</v>
      </c>
      <c r="R10" s="656">
        <f t="shared" si="3"/>
        <v>2.0082020096003954E-2</v>
      </c>
    </row>
    <row r="11" spans="2:18" x14ac:dyDescent="0.25">
      <c r="B11" s="653">
        <v>27181</v>
      </c>
      <c r="C11" s="654">
        <v>9.39</v>
      </c>
      <c r="E11" s="205">
        <f t="shared" si="4"/>
        <v>38869</v>
      </c>
      <c r="F11">
        <f t="shared" si="0"/>
        <v>59.65</v>
      </c>
      <c r="H11" s="653">
        <v>22433</v>
      </c>
      <c r="I11" s="657">
        <v>41848</v>
      </c>
      <c r="K11" s="659">
        <f t="shared" si="5"/>
        <v>38505</v>
      </c>
      <c r="L11" s="659">
        <f t="shared" si="6"/>
        <v>38869</v>
      </c>
      <c r="M11" s="658">
        <f t="shared" si="1"/>
        <v>219055</v>
      </c>
      <c r="N11">
        <f t="shared" si="2"/>
        <v>870170</v>
      </c>
      <c r="P11">
        <v>870170</v>
      </c>
      <c r="Q11">
        <v>17617.06666543</v>
      </c>
      <c r="R11" s="656">
        <f t="shared" si="3"/>
        <v>2.0245545888079339E-2</v>
      </c>
    </row>
    <row r="12" spans="2:18" x14ac:dyDescent="0.25">
      <c r="B12" s="653">
        <v>27273</v>
      </c>
      <c r="C12" s="654">
        <v>9.86</v>
      </c>
      <c r="E12" s="205">
        <f t="shared" si="4"/>
        <v>39234</v>
      </c>
      <c r="F12">
        <f t="shared" si="0"/>
        <v>60.9</v>
      </c>
      <c r="H12" s="653">
        <v>22525</v>
      </c>
      <c r="I12" s="657">
        <v>41611</v>
      </c>
      <c r="K12" s="659">
        <f t="shared" si="5"/>
        <v>38870</v>
      </c>
      <c r="L12" s="659">
        <f t="shared" si="6"/>
        <v>39234</v>
      </c>
      <c r="M12" s="658">
        <f t="shared" si="1"/>
        <v>231241</v>
      </c>
      <c r="N12">
        <f t="shared" si="2"/>
        <v>916339</v>
      </c>
      <c r="P12">
        <v>916339</v>
      </c>
      <c r="Q12">
        <v>18212.837572730001</v>
      </c>
      <c r="R12" s="656">
        <f t="shared" si="3"/>
        <v>1.987565472246625E-2</v>
      </c>
    </row>
    <row r="13" spans="2:18" x14ac:dyDescent="0.25">
      <c r="B13" s="653">
        <v>27364</v>
      </c>
      <c r="C13" s="654">
        <v>10.210000000000001</v>
      </c>
      <c r="E13" s="205">
        <f t="shared" si="4"/>
        <v>39600</v>
      </c>
      <c r="F13">
        <f t="shared" si="0"/>
        <v>63.63</v>
      </c>
      <c r="H13" s="653">
        <v>22616</v>
      </c>
      <c r="I13" s="657">
        <v>45077</v>
      </c>
      <c r="K13" s="659">
        <f t="shared" si="5"/>
        <v>39235</v>
      </c>
      <c r="L13" s="659">
        <f t="shared" si="6"/>
        <v>39600</v>
      </c>
      <c r="M13" s="658">
        <f t="shared" si="1"/>
        <v>238868</v>
      </c>
      <c r="N13">
        <f t="shared" si="2"/>
        <v>960936</v>
      </c>
      <c r="P13">
        <v>960936</v>
      </c>
      <c r="Q13">
        <v>18100.05549441</v>
      </c>
      <c r="R13" s="656">
        <f t="shared" si="3"/>
        <v>1.8835859510321188E-2</v>
      </c>
    </row>
    <row r="14" spans="2:18" x14ac:dyDescent="0.25">
      <c r="B14" s="653">
        <v>27454</v>
      </c>
      <c r="C14" s="654">
        <v>10.59</v>
      </c>
      <c r="E14" s="205">
        <f t="shared" si="4"/>
        <v>39965</v>
      </c>
      <c r="F14">
        <f t="shared" si="0"/>
        <v>64.55</v>
      </c>
      <c r="H14" s="653">
        <v>22706</v>
      </c>
      <c r="I14" s="657">
        <v>42180</v>
      </c>
      <c r="K14" s="659">
        <f t="shared" si="5"/>
        <v>39601</v>
      </c>
      <c r="L14" s="659">
        <f t="shared" si="6"/>
        <v>39965</v>
      </c>
      <c r="M14" s="658">
        <f t="shared" si="1"/>
        <v>242235</v>
      </c>
      <c r="N14">
        <f t="shared" si="2"/>
        <v>964978</v>
      </c>
      <c r="P14">
        <v>964978</v>
      </c>
      <c r="Q14">
        <v>19039.163398569999</v>
      </c>
      <c r="R14" s="656">
        <f t="shared" si="3"/>
        <v>1.9730152810292046E-2</v>
      </c>
    </row>
    <row r="15" spans="2:18" x14ac:dyDescent="0.25">
      <c r="B15" s="653">
        <v>27546</v>
      </c>
      <c r="C15" s="654">
        <v>10.98</v>
      </c>
      <c r="E15" s="205">
        <f t="shared" si="4"/>
        <v>40330</v>
      </c>
      <c r="F15">
        <f t="shared" si="0"/>
        <v>66.52</v>
      </c>
      <c r="H15" s="653">
        <v>22798</v>
      </c>
      <c r="I15" s="657">
        <v>44196</v>
      </c>
      <c r="K15" s="659">
        <f t="shared" si="5"/>
        <v>39966</v>
      </c>
      <c r="L15" s="659">
        <f t="shared" si="6"/>
        <v>40330</v>
      </c>
      <c r="M15" s="658">
        <f t="shared" si="1"/>
        <v>251514</v>
      </c>
      <c r="N15">
        <f t="shared" si="2"/>
        <v>998599</v>
      </c>
      <c r="P15">
        <v>998599</v>
      </c>
      <c r="Q15">
        <v>18456.086997584</v>
      </c>
      <c r="R15" s="656">
        <f t="shared" si="3"/>
        <v>1.8481980251916934E-2</v>
      </c>
    </row>
    <row r="16" spans="2:18" x14ac:dyDescent="0.25">
      <c r="B16" s="653">
        <v>27638</v>
      </c>
      <c r="C16" s="654">
        <v>11.06</v>
      </c>
      <c r="E16" s="205">
        <f t="shared" si="4"/>
        <v>40695</v>
      </c>
      <c r="F16">
        <f t="shared" si="0"/>
        <v>68.930000000000007</v>
      </c>
      <c r="H16" s="653">
        <v>22890</v>
      </c>
      <c r="I16" s="657">
        <v>44091</v>
      </c>
      <c r="K16" s="659">
        <f t="shared" si="5"/>
        <v>40331</v>
      </c>
      <c r="L16" s="659">
        <f t="shared" si="6"/>
        <v>40695</v>
      </c>
      <c r="M16" s="658">
        <f t="shared" si="1"/>
        <v>260327</v>
      </c>
      <c r="N16">
        <f t="shared" si="2"/>
        <v>1038750</v>
      </c>
      <c r="P16">
        <v>1038750</v>
      </c>
      <c r="Q16">
        <v>19421.405542</v>
      </c>
      <c r="R16" s="656">
        <f t="shared" si="3"/>
        <v>1.8696900642117931E-2</v>
      </c>
    </row>
    <row r="17" spans="2:18" x14ac:dyDescent="0.25">
      <c r="B17" s="653">
        <v>27729</v>
      </c>
      <c r="C17" s="654">
        <v>11.68</v>
      </c>
      <c r="E17" s="205">
        <f t="shared" si="4"/>
        <v>41061</v>
      </c>
      <c r="F17">
        <f t="shared" si="0"/>
        <v>69.739999999999995</v>
      </c>
      <c r="H17" s="653">
        <v>22981</v>
      </c>
      <c r="I17" s="657">
        <v>47840</v>
      </c>
      <c r="K17" s="659">
        <f t="shared" si="5"/>
        <v>40696</v>
      </c>
      <c r="L17" s="659">
        <f t="shared" si="6"/>
        <v>41061</v>
      </c>
      <c r="M17" s="658">
        <f t="shared" si="1"/>
        <v>268304</v>
      </c>
      <c r="N17">
        <f t="shared" si="2"/>
        <v>1069419</v>
      </c>
      <c r="P17">
        <v>1069419</v>
      </c>
      <c r="Q17">
        <v>20548.763305</v>
      </c>
      <c r="R17" s="656">
        <f t="shared" si="3"/>
        <v>1.921488518999569E-2</v>
      </c>
    </row>
    <row r="18" spans="2:18" x14ac:dyDescent="0.25">
      <c r="B18" s="653">
        <v>27820</v>
      </c>
      <c r="C18" s="654">
        <v>11.98</v>
      </c>
      <c r="E18" s="205">
        <f t="shared" si="4"/>
        <v>41426</v>
      </c>
      <c r="F18">
        <f t="shared" si="0"/>
        <v>71.38</v>
      </c>
      <c r="H18" s="653">
        <v>23071</v>
      </c>
      <c r="I18" s="657">
        <v>44373</v>
      </c>
      <c r="K18" s="659">
        <f t="shared" si="5"/>
        <v>41062</v>
      </c>
      <c r="L18" s="659">
        <f t="shared" si="6"/>
        <v>41426</v>
      </c>
      <c r="M18" s="658">
        <f t="shared" si="1"/>
        <v>272256</v>
      </c>
      <c r="N18">
        <f t="shared" si="2"/>
        <v>1091019</v>
      </c>
      <c r="P18">
        <v>1091019</v>
      </c>
      <c r="Q18">
        <v>20795.546355999999</v>
      </c>
      <c r="R18" s="656">
        <f t="shared" si="3"/>
        <v>1.9060663797789038E-2</v>
      </c>
    </row>
    <row r="19" spans="2:18" x14ac:dyDescent="0.25">
      <c r="B19" s="653">
        <v>27912</v>
      </c>
      <c r="C19" s="654">
        <v>12.29</v>
      </c>
      <c r="E19" s="205">
        <f t="shared" si="4"/>
        <v>41791</v>
      </c>
      <c r="F19">
        <f t="shared" si="0"/>
        <v>73.569999999999993</v>
      </c>
      <c r="H19" s="653">
        <v>23163</v>
      </c>
      <c r="I19" s="657">
        <v>46189</v>
      </c>
      <c r="K19" s="659">
        <f t="shared" si="5"/>
        <v>41427</v>
      </c>
      <c r="L19" s="659">
        <f t="shared" si="6"/>
        <v>41791</v>
      </c>
      <c r="M19" s="658">
        <f t="shared" si="1"/>
        <v>279166</v>
      </c>
      <c r="N19">
        <f t="shared" si="2"/>
        <v>1116103</v>
      </c>
      <c r="P19">
        <v>1116103</v>
      </c>
      <c r="Q19">
        <v>21281.647616679798</v>
      </c>
      <c r="R19" s="656">
        <f t="shared" si="3"/>
        <v>1.9067816874141365E-2</v>
      </c>
    </row>
    <row r="20" spans="2:18" x14ac:dyDescent="0.25">
      <c r="B20" s="653">
        <v>28004</v>
      </c>
      <c r="C20" s="654">
        <v>12.6</v>
      </c>
      <c r="E20" s="205">
        <f t="shared" si="4"/>
        <v>42156</v>
      </c>
      <c r="F20">
        <f t="shared" si="0"/>
        <v>74.69</v>
      </c>
      <c r="H20" s="653">
        <v>23255</v>
      </c>
      <c r="I20" s="657">
        <v>47332</v>
      </c>
      <c r="K20" s="659">
        <f t="shared" si="5"/>
        <v>41792</v>
      </c>
      <c r="L20" s="659">
        <f t="shared" si="6"/>
        <v>42156</v>
      </c>
      <c r="M20" s="658">
        <f t="shared" si="1"/>
        <v>286250</v>
      </c>
      <c r="N20">
        <f t="shared" si="2"/>
        <v>1145101</v>
      </c>
      <c r="P20">
        <v>1145101</v>
      </c>
      <c r="Q20">
        <v>22908.270370570001</v>
      </c>
      <c r="R20" s="656">
        <f t="shared" si="3"/>
        <v>2.0005458357446198E-2</v>
      </c>
    </row>
    <row r="21" spans="2:18" x14ac:dyDescent="0.25">
      <c r="B21" s="653">
        <v>28095</v>
      </c>
      <c r="C21" s="654">
        <v>13.34</v>
      </c>
      <c r="E21" s="205">
        <f t="shared" si="4"/>
        <v>42522</v>
      </c>
      <c r="F21">
        <f t="shared" si="0"/>
        <v>75.45</v>
      </c>
      <c r="H21" s="653">
        <v>23346</v>
      </c>
      <c r="I21" s="657">
        <v>51443</v>
      </c>
      <c r="K21" s="659">
        <f t="shared" si="5"/>
        <v>42157</v>
      </c>
      <c r="L21" s="659">
        <f t="shared" si="6"/>
        <v>42522</v>
      </c>
      <c r="M21" s="658">
        <f t="shared" si="1"/>
        <v>294765</v>
      </c>
      <c r="N21">
        <f t="shared" si="2"/>
        <v>1175667</v>
      </c>
      <c r="P21">
        <v>1175667</v>
      </c>
      <c r="Q21">
        <v>23804.650738550001</v>
      </c>
      <c r="R21" s="656">
        <f t="shared" si="3"/>
        <v>2.0247783376202616E-2</v>
      </c>
    </row>
    <row r="22" spans="2:18" x14ac:dyDescent="0.25">
      <c r="B22" s="653">
        <v>28185</v>
      </c>
      <c r="C22" s="654">
        <v>13.65</v>
      </c>
      <c r="E22" s="205">
        <f t="shared" si="4"/>
        <v>42887</v>
      </c>
      <c r="F22">
        <f t="shared" si="0"/>
        <v>76.88</v>
      </c>
      <c r="H22" s="653">
        <v>23437</v>
      </c>
      <c r="I22" s="657">
        <v>47248</v>
      </c>
      <c r="K22" s="659">
        <f t="shared" si="5"/>
        <v>42523</v>
      </c>
      <c r="L22" s="659">
        <f t="shared" si="6"/>
        <v>42887</v>
      </c>
      <c r="M22" s="658">
        <f t="shared" si="1"/>
        <v>301711</v>
      </c>
      <c r="N22">
        <f t="shared" si="2"/>
        <v>1204735</v>
      </c>
      <c r="P22">
        <v>1204735</v>
      </c>
      <c r="Q22">
        <v>23697.611293314902</v>
      </c>
      <c r="R22" s="656">
        <f t="shared" si="3"/>
        <v>1.9670393317463924E-2</v>
      </c>
    </row>
    <row r="23" spans="2:18" x14ac:dyDescent="0.25">
      <c r="B23" s="653">
        <v>28277</v>
      </c>
      <c r="C23" s="654">
        <v>13.96</v>
      </c>
      <c r="E23" s="205">
        <f t="shared" si="4"/>
        <v>43252</v>
      </c>
      <c r="F23">
        <f t="shared" si="0"/>
        <v>78.489999999999995</v>
      </c>
      <c r="H23" s="653">
        <v>23529</v>
      </c>
      <c r="I23" s="657">
        <v>49318</v>
      </c>
      <c r="K23" s="659">
        <f t="shared" si="5"/>
        <v>42888</v>
      </c>
      <c r="L23" s="659">
        <f t="shared" si="6"/>
        <v>43252</v>
      </c>
      <c r="M23" s="658">
        <f t="shared" si="1"/>
        <v>311050</v>
      </c>
      <c r="N23">
        <f t="shared" si="2"/>
        <v>1238725</v>
      </c>
      <c r="P23">
        <v>1238725</v>
      </c>
      <c r="Q23">
        <v>25052.364683665699</v>
      </c>
      <c r="R23" s="656">
        <f t="shared" si="3"/>
        <v>2.022431506885362E-2</v>
      </c>
    </row>
    <row r="24" spans="2:18" x14ac:dyDescent="0.25">
      <c r="B24" s="653">
        <v>28369</v>
      </c>
      <c r="C24" s="654">
        <v>14.23</v>
      </c>
      <c r="E24" s="205">
        <f t="shared" si="4"/>
        <v>43617</v>
      </c>
      <c r="F24">
        <f t="shared" si="0"/>
        <v>79.7</v>
      </c>
      <c r="H24" s="653">
        <v>23621</v>
      </c>
      <c r="I24" s="657">
        <v>49629</v>
      </c>
      <c r="K24" s="659">
        <f t="shared" si="5"/>
        <v>43253</v>
      </c>
      <c r="L24" s="659">
        <f t="shared" si="6"/>
        <v>43617</v>
      </c>
      <c r="M24" s="658">
        <f t="shared" si="1"/>
        <v>314344</v>
      </c>
      <c r="N24">
        <f t="shared" si="2"/>
        <v>1259713</v>
      </c>
      <c r="P24">
        <v>1259713</v>
      </c>
      <c r="Q24">
        <v>25582.228798312899</v>
      </c>
      <c r="R24" s="656">
        <f t="shared" si="3"/>
        <v>2.0307981896124674E-2</v>
      </c>
    </row>
    <row r="25" spans="2:18" x14ac:dyDescent="0.25">
      <c r="B25" s="653">
        <v>28460</v>
      </c>
      <c r="C25" s="654">
        <v>14.57</v>
      </c>
      <c r="E25" s="205">
        <f t="shared" si="4"/>
        <v>43983</v>
      </c>
      <c r="F25">
        <f t="shared" si="0"/>
        <v>79.44</v>
      </c>
      <c r="H25" s="653">
        <v>23712</v>
      </c>
      <c r="I25" s="657">
        <v>54218</v>
      </c>
      <c r="K25" s="659">
        <f t="shared" si="5"/>
        <v>43618</v>
      </c>
      <c r="L25" s="659">
        <f t="shared" si="6"/>
        <v>43983</v>
      </c>
      <c r="M25" s="658">
        <f t="shared" si="1"/>
        <v>270736</v>
      </c>
      <c r="N25">
        <f t="shared" si="2"/>
        <v>1218467</v>
      </c>
      <c r="P25">
        <v>1218467</v>
      </c>
      <c r="Q25">
        <v>21259.409567838298</v>
      </c>
      <c r="R25" s="656">
        <f t="shared" si="3"/>
        <v>1.744766954528789E-2</v>
      </c>
    </row>
    <row r="26" spans="2:18" x14ac:dyDescent="0.25">
      <c r="B26" s="653">
        <v>28550</v>
      </c>
      <c r="C26" s="654">
        <v>14.77</v>
      </c>
      <c r="E26" s="205">
        <f t="shared" si="4"/>
        <v>44348</v>
      </c>
      <c r="F26">
        <f t="shared" si="0"/>
        <v>82.47</v>
      </c>
      <c r="H26" s="653">
        <v>23802</v>
      </c>
      <c r="I26" s="657">
        <v>49457</v>
      </c>
      <c r="K26" s="659">
        <f t="shared" si="5"/>
        <v>43984</v>
      </c>
      <c r="L26" s="659">
        <f t="shared" si="6"/>
        <v>44348</v>
      </c>
      <c r="M26" s="658">
        <f t="shared" si="1"/>
        <v>312190</v>
      </c>
      <c r="N26">
        <f t="shared" si="2"/>
        <v>1227246</v>
      </c>
      <c r="P26">
        <v>1227246</v>
      </c>
      <c r="Q26">
        <v>24012.558588007902</v>
      </c>
      <c r="R26" s="656">
        <f t="shared" si="3"/>
        <v>1.9566214587790794E-2</v>
      </c>
    </row>
    <row r="27" spans="2:18" x14ac:dyDescent="0.25">
      <c r="B27" s="653">
        <v>28642</v>
      </c>
      <c r="C27" s="654">
        <v>15.08</v>
      </c>
      <c r="E27" s="205">
        <f t="shared" si="4"/>
        <v>44713</v>
      </c>
      <c r="F27">
        <f t="shared" si="0"/>
        <v>87.59</v>
      </c>
      <c r="H27" s="653">
        <v>23894</v>
      </c>
      <c r="I27" s="657">
        <v>51791</v>
      </c>
      <c r="K27" s="659">
        <f t="shared" si="5"/>
        <v>44349</v>
      </c>
      <c r="L27" s="659">
        <f t="shared" si="6"/>
        <v>44713</v>
      </c>
      <c r="M27" s="658">
        <f t="shared" si="1"/>
        <v>330173</v>
      </c>
      <c r="N27">
        <f t="shared" si="2"/>
        <v>1280030</v>
      </c>
      <c r="P27">
        <v>1280030</v>
      </c>
      <c r="Q27">
        <v>27553.936505433201</v>
      </c>
      <c r="R27" s="656">
        <f t="shared" si="3"/>
        <v>2.1526008379048306E-2</v>
      </c>
    </row>
    <row r="28" spans="2:18" x14ac:dyDescent="0.25">
      <c r="B28" s="653">
        <v>28734</v>
      </c>
      <c r="C28" s="654">
        <v>15.35</v>
      </c>
      <c r="E28" s="205">
        <f t="shared" si="4"/>
        <v>45078</v>
      </c>
      <c r="F28">
        <f t="shared" si="0"/>
        <v>92.87</v>
      </c>
      <c r="H28" s="653">
        <v>23986</v>
      </c>
      <c r="I28" s="657">
        <v>51419</v>
      </c>
      <c r="K28" s="659">
        <f t="shared" si="5"/>
        <v>44714</v>
      </c>
      <c r="L28" s="659">
        <f t="shared" si="6"/>
        <v>45078</v>
      </c>
      <c r="M28" s="658">
        <f t="shared" si="1"/>
        <v>340720</v>
      </c>
      <c r="N28">
        <f t="shared" si="2"/>
        <v>1364272</v>
      </c>
      <c r="P28">
        <v>1364272</v>
      </c>
      <c r="Q28">
        <v>31466.184344130801</v>
      </c>
      <c r="R28" s="656">
        <f t="shared" si="3"/>
        <v>2.3064450743056224E-2</v>
      </c>
    </row>
    <row r="29" spans="2:18" x14ac:dyDescent="0.25">
      <c r="B29" s="653">
        <v>28825</v>
      </c>
      <c r="C29" s="654">
        <v>15.7</v>
      </c>
      <c r="E29" s="205">
        <f t="shared" si="4"/>
        <v>45444</v>
      </c>
      <c r="F29">
        <f t="shared" si="0"/>
        <v>96.41</v>
      </c>
      <c r="H29" s="653">
        <v>24077</v>
      </c>
      <c r="I29" s="657">
        <v>55695</v>
      </c>
      <c r="K29" s="659">
        <f t="shared" si="5"/>
        <v>45079</v>
      </c>
      <c r="L29" s="659">
        <f t="shared" si="6"/>
        <v>45444</v>
      </c>
      <c r="M29" s="658">
        <f t="shared" si="1"/>
        <v>341968</v>
      </c>
      <c r="N29">
        <f t="shared" si="2"/>
        <v>1378415</v>
      </c>
      <c r="P29">
        <v>1378415</v>
      </c>
      <c r="Q29">
        <v>32184.514239944401</v>
      </c>
      <c r="R29" s="656">
        <f t="shared" si="3"/>
        <v>2.3348929197625098E-2</v>
      </c>
    </row>
    <row r="30" spans="2:18" x14ac:dyDescent="0.25">
      <c r="B30" s="653">
        <v>28915</v>
      </c>
      <c r="C30" s="654">
        <v>15.97</v>
      </c>
      <c r="E30" s="205">
        <f t="shared" si="4"/>
        <v>45809</v>
      </c>
      <c r="F30">
        <f t="shared" si="0"/>
        <v>98.43</v>
      </c>
      <c r="H30" s="653">
        <v>24167</v>
      </c>
      <c r="I30" s="657">
        <v>50750</v>
      </c>
      <c r="K30" s="659">
        <f t="shared" si="5"/>
        <v>45445</v>
      </c>
      <c r="L30" s="659">
        <f t="shared" si="6"/>
        <v>45809</v>
      </c>
      <c r="M30" s="658">
        <f t="shared" si="1"/>
        <v>349501</v>
      </c>
      <c r="N30">
        <f t="shared" si="2"/>
        <v>1394446</v>
      </c>
      <c r="P30">
        <v>1394446</v>
      </c>
    </row>
    <row r="31" spans="2:18" x14ac:dyDescent="0.25">
      <c r="B31" s="653">
        <v>29007</v>
      </c>
      <c r="C31" s="654">
        <v>16.39</v>
      </c>
      <c r="E31" s="205">
        <f t="shared" si="4"/>
        <v>46174</v>
      </c>
      <c r="F31" s="655">
        <v>102.5</v>
      </c>
      <c r="H31" s="653">
        <v>24259</v>
      </c>
      <c r="I31" s="657">
        <v>53254</v>
      </c>
      <c r="K31" s="659">
        <f t="shared" si="5"/>
        <v>45810</v>
      </c>
      <c r="L31" s="659">
        <f t="shared" si="6"/>
        <v>46174</v>
      </c>
      <c r="M31" s="658" t="e">
        <f t="shared" si="1"/>
        <v>#N/A</v>
      </c>
      <c r="N31">
        <f t="shared" si="2"/>
        <v>1072027</v>
      </c>
    </row>
    <row r="32" spans="2:18" x14ac:dyDescent="0.25">
      <c r="B32" s="653">
        <v>29099</v>
      </c>
      <c r="C32" s="654">
        <v>16.78</v>
      </c>
      <c r="H32" s="653">
        <v>24351</v>
      </c>
      <c r="I32" s="657">
        <v>53593</v>
      </c>
    </row>
    <row r="33" spans="2:9" x14ac:dyDescent="0.25">
      <c r="B33" s="653">
        <v>29190</v>
      </c>
      <c r="C33" s="654">
        <v>17.28</v>
      </c>
      <c r="H33" s="653">
        <v>24442</v>
      </c>
      <c r="I33" s="657">
        <v>58481</v>
      </c>
    </row>
    <row r="34" spans="2:9" x14ac:dyDescent="0.25">
      <c r="B34" s="653">
        <v>29281</v>
      </c>
      <c r="C34" s="654">
        <v>17.670000000000002</v>
      </c>
      <c r="H34" s="653">
        <v>24532</v>
      </c>
      <c r="I34" s="657">
        <v>53947</v>
      </c>
    </row>
    <row r="35" spans="2:9" x14ac:dyDescent="0.25">
      <c r="B35" s="653">
        <v>29373</v>
      </c>
      <c r="C35" s="654">
        <v>18.170000000000002</v>
      </c>
      <c r="H35" s="653">
        <v>24624</v>
      </c>
      <c r="I35" s="657">
        <v>55913</v>
      </c>
    </row>
    <row r="36" spans="2:9" x14ac:dyDescent="0.25">
      <c r="B36" s="653">
        <v>29465</v>
      </c>
      <c r="C36" s="654">
        <v>18.48</v>
      </c>
      <c r="H36" s="653">
        <v>24716</v>
      </c>
      <c r="I36" s="657">
        <v>56175</v>
      </c>
    </row>
    <row r="37" spans="2:9" x14ac:dyDescent="0.25">
      <c r="B37" s="653">
        <v>29556</v>
      </c>
      <c r="C37" s="654">
        <v>18.87</v>
      </c>
      <c r="H37" s="653">
        <v>24807</v>
      </c>
      <c r="I37" s="657">
        <v>61105</v>
      </c>
    </row>
    <row r="38" spans="2:9" x14ac:dyDescent="0.25">
      <c r="B38" s="653">
        <v>29646</v>
      </c>
      <c r="C38" s="654">
        <v>19.329999999999998</v>
      </c>
      <c r="H38" s="653">
        <v>24898</v>
      </c>
      <c r="I38" s="657">
        <v>56924</v>
      </c>
    </row>
    <row r="39" spans="2:9" x14ac:dyDescent="0.25">
      <c r="B39" s="653">
        <v>29738</v>
      </c>
      <c r="C39" s="654">
        <v>19.760000000000002</v>
      </c>
      <c r="H39" s="653">
        <v>24990</v>
      </c>
      <c r="I39" s="657">
        <v>58754</v>
      </c>
    </row>
    <row r="40" spans="2:9" x14ac:dyDescent="0.25">
      <c r="B40" s="653">
        <v>29830</v>
      </c>
      <c r="C40" s="654">
        <v>20.14</v>
      </c>
      <c r="H40" s="653">
        <v>25082</v>
      </c>
      <c r="I40" s="657">
        <v>59104</v>
      </c>
    </row>
    <row r="41" spans="2:9" x14ac:dyDescent="0.25">
      <c r="B41" s="653">
        <v>29921</v>
      </c>
      <c r="C41" s="654">
        <v>20.99</v>
      </c>
      <c r="H41" s="653">
        <v>25173</v>
      </c>
      <c r="I41" s="657">
        <v>64427</v>
      </c>
    </row>
    <row r="42" spans="2:9" x14ac:dyDescent="0.25">
      <c r="B42" s="653">
        <v>30011</v>
      </c>
      <c r="C42" s="654">
        <v>21.38</v>
      </c>
      <c r="H42" s="653">
        <v>25263</v>
      </c>
      <c r="I42" s="657">
        <v>59567</v>
      </c>
    </row>
    <row r="43" spans="2:9" x14ac:dyDescent="0.25">
      <c r="B43" s="653">
        <v>30103</v>
      </c>
      <c r="C43" s="654">
        <v>21.88</v>
      </c>
      <c r="H43" s="653">
        <v>25355</v>
      </c>
      <c r="I43" s="657">
        <v>62274</v>
      </c>
    </row>
    <row r="44" spans="2:9" x14ac:dyDescent="0.25">
      <c r="B44" s="653">
        <v>30195</v>
      </c>
      <c r="C44" s="654">
        <v>22.65</v>
      </c>
      <c r="H44" s="653">
        <v>25447</v>
      </c>
      <c r="I44" s="657">
        <v>63183</v>
      </c>
    </row>
    <row r="45" spans="2:9" x14ac:dyDescent="0.25">
      <c r="B45" s="653">
        <v>30286</v>
      </c>
      <c r="C45" s="654">
        <v>23.31</v>
      </c>
      <c r="H45" s="653">
        <v>25538</v>
      </c>
      <c r="I45" s="657">
        <v>68387</v>
      </c>
    </row>
    <row r="46" spans="2:9" x14ac:dyDescent="0.25">
      <c r="B46" s="653">
        <v>30376</v>
      </c>
      <c r="C46" s="654">
        <v>23.81</v>
      </c>
      <c r="H46" s="653">
        <v>25628</v>
      </c>
      <c r="I46" s="657">
        <v>63085</v>
      </c>
    </row>
    <row r="47" spans="2:9" x14ac:dyDescent="0.25">
      <c r="B47" s="653">
        <v>30468</v>
      </c>
      <c r="C47" s="654">
        <v>24.32</v>
      </c>
      <c r="H47" s="653">
        <v>25720</v>
      </c>
      <c r="I47" s="657">
        <v>65738</v>
      </c>
    </row>
    <row r="48" spans="2:9" x14ac:dyDescent="0.25">
      <c r="B48" s="653">
        <v>30560</v>
      </c>
      <c r="C48" s="654">
        <v>24.74</v>
      </c>
      <c r="H48" s="653">
        <v>25812</v>
      </c>
      <c r="I48" s="657">
        <v>66186</v>
      </c>
    </row>
    <row r="49" spans="2:9" x14ac:dyDescent="0.25">
      <c r="B49" s="653">
        <v>30651</v>
      </c>
      <c r="C49" s="654">
        <v>25.32</v>
      </c>
      <c r="H49" s="653">
        <v>25903</v>
      </c>
      <c r="I49" s="657">
        <v>71682</v>
      </c>
    </row>
    <row r="50" spans="2:9" x14ac:dyDescent="0.25">
      <c r="B50" s="653">
        <v>30742</v>
      </c>
      <c r="C50" s="654">
        <v>25.21</v>
      </c>
      <c r="H50" s="653">
        <v>25993</v>
      </c>
      <c r="I50" s="657">
        <v>64945</v>
      </c>
    </row>
    <row r="51" spans="2:9" x14ac:dyDescent="0.25">
      <c r="B51" s="653">
        <v>30834</v>
      </c>
      <c r="C51" s="654">
        <v>25.28</v>
      </c>
      <c r="H51" s="653">
        <v>26085</v>
      </c>
      <c r="I51" s="657">
        <v>67695</v>
      </c>
    </row>
    <row r="52" spans="2:9" x14ac:dyDescent="0.25">
      <c r="B52" s="653">
        <v>30926</v>
      </c>
      <c r="C52" s="654">
        <v>25.59</v>
      </c>
      <c r="H52" s="653">
        <v>26177</v>
      </c>
      <c r="I52" s="657">
        <v>69132</v>
      </c>
    </row>
    <row r="53" spans="2:9" x14ac:dyDescent="0.25">
      <c r="B53" s="653">
        <v>31017</v>
      </c>
      <c r="C53" s="654">
        <v>25.98</v>
      </c>
      <c r="H53" s="653">
        <v>26268</v>
      </c>
      <c r="I53" s="657">
        <v>73625</v>
      </c>
    </row>
    <row r="54" spans="2:9" x14ac:dyDescent="0.25">
      <c r="B54" s="653">
        <v>31107</v>
      </c>
      <c r="C54" s="654">
        <v>26.33</v>
      </c>
      <c r="H54" s="653">
        <v>26359</v>
      </c>
      <c r="I54" s="657">
        <v>67556</v>
      </c>
    </row>
    <row r="55" spans="2:9" x14ac:dyDescent="0.25">
      <c r="B55" s="653">
        <v>31199</v>
      </c>
      <c r="C55" s="654">
        <v>26.95</v>
      </c>
      <c r="H55" s="653">
        <v>26451</v>
      </c>
      <c r="I55" s="657">
        <v>69920</v>
      </c>
    </row>
    <row r="56" spans="2:9" x14ac:dyDescent="0.25">
      <c r="B56" s="653">
        <v>31291</v>
      </c>
      <c r="C56" s="654">
        <v>27.56</v>
      </c>
      <c r="H56" s="653">
        <v>26543</v>
      </c>
      <c r="I56" s="657">
        <v>70611</v>
      </c>
    </row>
    <row r="57" spans="2:9" x14ac:dyDescent="0.25">
      <c r="B57" s="653">
        <v>31382</v>
      </c>
      <c r="C57" s="654">
        <v>28.11</v>
      </c>
      <c r="H57" s="653">
        <v>26634</v>
      </c>
      <c r="I57" s="657">
        <v>76771</v>
      </c>
    </row>
    <row r="58" spans="2:9" x14ac:dyDescent="0.25">
      <c r="B58" s="653">
        <v>31472</v>
      </c>
      <c r="C58" s="654">
        <v>28.76</v>
      </c>
      <c r="H58" s="653">
        <v>26724</v>
      </c>
      <c r="I58" s="657">
        <v>71183</v>
      </c>
    </row>
    <row r="59" spans="2:9" x14ac:dyDescent="0.25">
      <c r="B59" s="653">
        <v>31564</v>
      </c>
      <c r="C59" s="654">
        <v>29.23</v>
      </c>
      <c r="H59" s="653">
        <v>26816</v>
      </c>
      <c r="I59" s="657">
        <v>74813</v>
      </c>
    </row>
    <row r="60" spans="2:9" x14ac:dyDescent="0.25">
      <c r="B60" s="653">
        <v>31656</v>
      </c>
      <c r="C60" s="654">
        <v>30</v>
      </c>
      <c r="H60" s="653">
        <v>26908</v>
      </c>
      <c r="I60" s="657">
        <v>75490</v>
      </c>
    </row>
    <row r="61" spans="2:9" x14ac:dyDescent="0.25">
      <c r="B61" s="653">
        <v>31747</v>
      </c>
      <c r="C61" s="654">
        <v>30.85</v>
      </c>
      <c r="H61" s="653">
        <v>26999</v>
      </c>
      <c r="I61" s="657">
        <v>81831</v>
      </c>
    </row>
    <row r="62" spans="2:9" x14ac:dyDescent="0.25">
      <c r="B62" s="653">
        <v>31837</v>
      </c>
      <c r="C62" s="654">
        <v>31.47</v>
      </c>
      <c r="H62" s="653">
        <v>27089</v>
      </c>
      <c r="I62" s="657">
        <v>75760</v>
      </c>
    </row>
    <row r="63" spans="2:9" x14ac:dyDescent="0.25">
      <c r="B63" s="653">
        <v>31929</v>
      </c>
      <c r="C63" s="654">
        <v>31.93</v>
      </c>
      <c r="H63" s="653">
        <v>27181</v>
      </c>
      <c r="I63" s="657">
        <v>78715</v>
      </c>
    </row>
    <row r="64" spans="2:9" x14ac:dyDescent="0.25">
      <c r="B64" s="653">
        <v>32021</v>
      </c>
      <c r="C64" s="654">
        <v>32.47</v>
      </c>
      <c r="H64" s="653">
        <v>27273</v>
      </c>
      <c r="I64" s="657">
        <v>80360</v>
      </c>
    </row>
    <row r="65" spans="2:9" x14ac:dyDescent="0.25">
      <c r="B65" s="653">
        <v>32112</v>
      </c>
      <c r="C65" s="654">
        <v>33.049999999999997</v>
      </c>
      <c r="H65" s="653">
        <v>27364</v>
      </c>
      <c r="I65" s="657">
        <v>85458</v>
      </c>
    </row>
    <row r="66" spans="2:9" x14ac:dyDescent="0.25">
      <c r="B66" s="653">
        <v>32203</v>
      </c>
      <c r="C66" s="654">
        <v>33.630000000000003</v>
      </c>
      <c r="H66" s="653">
        <v>27454</v>
      </c>
      <c r="I66" s="657">
        <v>78803</v>
      </c>
    </row>
    <row r="67" spans="2:9" x14ac:dyDescent="0.25">
      <c r="B67" s="653">
        <v>32295</v>
      </c>
      <c r="C67" s="654">
        <v>34.21</v>
      </c>
      <c r="H67" s="653">
        <v>27546</v>
      </c>
      <c r="I67" s="657">
        <v>82263</v>
      </c>
    </row>
    <row r="68" spans="2:9" x14ac:dyDescent="0.25">
      <c r="B68" s="653">
        <v>32387</v>
      </c>
      <c r="C68" s="654">
        <v>34.869999999999997</v>
      </c>
      <c r="H68" s="653">
        <v>27638</v>
      </c>
      <c r="I68" s="657">
        <v>81750</v>
      </c>
    </row>
    <row r="69" spans="2:9" x14ac:dyDescent="0.25">
      <c r="B69" s="653">
        <v>32478</v>
      </c>
      <c r="C69" s="654">
        <v>35.57</v>
      </c>
      <c r="H69" s="653">
        <v>27729</v>
      </c>
      <c r="I69" s="657">
        <v>85698</v>
      </c>
    </row>
    <row r="70" spans="2:9" x14ac:dyDescent="0.25">
      <c r="B70" s="653">
        <v>32568</v>
      </c>
      <c r="C70" s="654">
        <v>35.909999999999997</v>
      </c>
      <c r="H70" s="653">
        <v>27820</v>
      </c>
      <c r="I70" s="657">
        <v>78997</v>
      </c>
    </row>
    <row r="71" spans="2:9" x14ac:dyDescent="0.25">
      <c r="B71" s="653">
        <v>32660</v>
      </c>
      <c r="C71" s="654">
        <v>36.799999999999997</v>
      </c>
      <c r="H71" s="653">
        <v>27912</v>
      </c>
      <c r="I71" s="657">
        <v>82968</v>
      </c>
    </row>
    <row r="72" spans="2:9" x14ac:dyDescent="0.25">
      <c r="B72" s="653">
        <v>32752</v>
      </c>
      <c r="C72" s="654">
        <v>37.65</v>
      </c>
      <c r="H72" s="653">
        <v>28004</v>
      </c>
      <c r="I72" s="657">
        <v>84987</v>
      </c>
    </row>
    <row r="73" spans="2:9" x14ac:dyDescent="0.25">
      <c r="B73" s="653">
        <v>32843</v>
      </c>
      <c r="C73" s="654">
        <v>38.35</v>
      </c>
      <c r="H73" s="653">
        <v>28095</v>
      </c>
      <c r="I73" s="657">
        <v>91892</v>
      </c>
    </row>
    <row r="74" spans="2:9" x14ac:dyDescent="0.25">
      <c r="B74" s="653">
        <v>32933</v>
      </c>
      <c r="C74" s="654">
        <v>39.01</v>
      </c>
      <c r="H74" s="653">
        <v>28185</v>
      </c>
      <c r="I74" s="657">
        <v>83204</v>
      </c>
    </row>
    <row r="75" spans="2:9" x14ac:dyDescent="0.25">
      <c r="B75" s="653">
        <v>33025</v>
      </c>
      <c r="C75" s="654">
        <v>39.630000000000003</v>
      </c>
      <c r="H75" s="653">
        <v>28277</v>
      </c>
      <c r="I75" s="657">
        <v>86773</v>
      </c>
    </row>
    <row r="76" spans="2:9" x14ac:dyDescent="0.25">
      <c r="B76" s="653">
        <v>33117</v>
      </c>
      <c r="C76" s="654">
        <v>39.94</v>
      </c>
      <c r="H76" s="653">
        <v>28369</v>
      </c>
      <c r="I76" s="657">
        <v>87126</v>
      </c>
    </row>
    <row r="77" spans="2:9" x14ac:dyDescent="0.25">
      <c r="B77" s="653">
        <v>33208</v>
      </c>
      <c r="C77" s="654">
        <v>40.98</v>
      </c>
      <c r="H77" s="653">
        <v>28460</v>
      </c>
      <c r="I77" s="657">
        <v>92652</v>
      </c>
    </row>
    <row r="78" spans="2:9" x14ac:dyDescent="0.25">
      <c r="B78" s="653">
        <v>33298</v>
      </c>
      <c r="C78" s="654">
        <v>40.9</v>
      </c>
      <c r="H78" s="653">
        <v>28550</v>
      </c>
      <c r="I78" s="657">
        <v>84509</v>
      </c>
    </row>
    <row r="79" spans="2:9" x14ac:dyDescent="0.25">
      <c r="B79" s="653">
        <v>33390</v>
      </c>
      <c r="C79" s="654">
        <v>40.98</v>
      </c>
      <c r="H79" s="653">
        <v>28642</v>
      </c>
      <c r="I79" s="657">
        <v>89379</v>
      </c>
    </row>
    <row r="80" spans="2:9" x14ac:dyDescent="0.25">
      <c r="B80" s="653">
        <v>33482</v>
      </c>
      <c r="C80" s="654">
        <v>41.21</v>
      </c>
      <c r="H80" s="653">
        <v>28734</v>
      </c>
      <c r="I80" s="657">
        <v>89388</v>
      </c>
    </row>
    <row r="81" spans="2:9" x14ac:dyDescent="0.25">
      <c r="B81" s="653">
        <v>33573</v>
      </c>
      <c r="C81" s="654">
        <v>41.6</v>
      </c>
      <c r="H81" s="653">
        <v>28825</v>
      </c>
      <c r="I81" s="657">
        <v>93920</v>
      </c>
    </row>
    <row r="82" spans="2:9" x14ac:dyDescent="0.25">
      <c r="B82" s="653">
        <v>33664</v>
      </c>
      <c r="C82" s="654">
        <v>41.6</v>
      </c>
      <c r="H82" s="653">
        <v>28915</v>
      </c>
      <c r="I82" s="657">
        <v>86443</v>
      </c>
    </row>
    <row r="83" spans="2:9" x14ac:dyDescent="0.25">
      <c r="B83" s="653">
        <v>33756</v>
      </c>
      <c r="C83" s="654">
        <v>41.48</v>
      </c>
      <c r="H83" s="653">
        <v>29007</v>
      </c>
      <c r="I83" s="657">
        <v>89265</v>
      </c>
    </row>
    <row r="84" spans="2:9" x14ac:dyDescent="0.25">
      <c r="B84" s="653">
        <v>33848</v>
      </c>
      <c r="C84" s="654">
        <v>41.52</v>
      </c>
      <c r="H84" s="653">
        <v>29099</v>
      </c>
      <c r="I84" s="657">
        <v>90423</v>
      </c>
    </row>
    <row r="85" spans="2:9" x14ac:dyDescent="0.25">
      <c r="B85" s="653">
        <v>33939</v>
      </c>
      <c r="C85" s="654">
        <v>41.71</v>
      </c>
      <c r="H85" s="653">
        <v>29190</v>
      </c>
      <c r="I85" s="657">
        <v>95388</v>
      </c>
    </row>
    <row r="86" spans="2:9" x14ac:dyDescent="0.25">
      <c r="B86" s="653">
        <v>34029</v>
      </c>
      <c r="C86" s="654">
        <v>42.1</v>
      </c>
      <c r="H86" s="653">
        <v>29281</v>
      </c>
      <c r="I86" s="657">
        <v>88484</v>
      </c>
    </row>
    <row r="87" spans="2:9" x14ac:dyDescent="0.25">
      <c r="B87" s="653">
        <v>34121</v>
      </c>
      <c r="C87" s="654">
        <v>42.25</v>
      </c>
      <c r="H87" s="653">
        <v>29373</v>
      </c>
      <c r="I87" s="657">
        <v>91154</v>
      </c>
    </row>
    <row r="88" spans="2:9" x14ac:dyDescent="0.25">
      <c r="B88" s="653">
        <v>34213</v>
      </c>
      <c r="C88" s="654">
        <v>42.45</v>
      </c>
      <c r="H88" s="653">
        <v>29465</v>
      </c>
      <c r="I88" s="657">
        <v>92697</v>
      </c>
    </row>
    <row r="89" spans="2:9" x14ac:dyDescent="0.25">
      <c r="B89" s="653">
        <v>34304</v>
      </c>
      <c r="C89" s="654">
        <v>42.53</v>
      </c>
      <c r="H89" s="653">
        <v>29556</v>
      </c>
      <c r="I89" s="657">
        <v>98753</v>
      </c>
    </row>
    <row r="90" spans="2:9" x14ac:dyDescent="0.25">
      <c r="B90" s="653">
        <v>34394</v>
      </c>
      <c r="C90" s="654">
        <v>42.68</v>
      </c>
      <c r="H90" s="653">
        <v>29646</v>
      </c>
      <c r="I90" s="657">
        <v>90722</v>
      </c>
    </row>
    <row r="91" spans="2:9" x14ac:dyDescent="0.25">
      <c r="B91" s="653">
        <v>34486</v>
      </c>
      <c r="C91" s="654">
        <v>42.99</v>
      </c>
      <c r="H91" s="653">
        <v>29738</v>
      </c>
      <c r="I91" s="657">
        <v>95209</v>
      </c>
    </row>
    <row r="92" spans="2:9" x14ac:dyDescent="0.25">
      <c r="B92" s="653">
        <v>34578</v>
      </c>
      <c r="C92" s="654">
        <v>43.26</v>
      </c>
      <c r="H92" s="653">
        <v>29830</v>
      </c>
      <c r="I92" s="657">
        <v>98229</v>
      </c>
    </row>
    <row r="93" spans="2:9" x14ac:dyDescent="0.25">
      <c r="B93" s="653">
        <v>34669</v>
      </c>
      <c r="C93" s="654">
        <v>43.61</v>
      </c>
      <c r="H93" s="653">
        <v>29921</v>
      </c>
      <c r="I93" s="657">
        <v>104020</v>
      </c>
    </row>
    <row r="94" spans="2:9" x14ac:dyDescent="0.25">
      <c r="B94" s="653">
        <v>34759</v>
      </c>
      <c r="C94" s="654">
        <v>44.34</v>
      </c>
      <c r="H94" s="653">
        <v>30011</v>
      </c>
      <c r="I94" s="657">
        <v>95633</v>
      </c>
    </row>
    <row r="95" spans="2:9" x14ac:dyDescent="0.25">
      <c r="B95" s="653">
        <v>34851</v>
      </c>
      <c r="C95" s="654">
        <v>44.92</v>
      </c>
      <c r="H95" s="653">
        <v>30103</v>
      </c>
      <c r="I95" s="657">
        <v>100521</v>
      </c>
    </row>
    <row r="96" spans="2:9" x14ac:dyDescent="0.25">
      <c r="B96" s="653">
        <v>34943</v>
      </c>
      <c r="C96" s="654">
        <v>45.46</v>
      </c>
      <c r="H96" s="653">
        <v>30195</v>
      </c>
      <c r="I96" s="657">
        <v>101209</v>
      </c>
    </row>
    <row r="97" spans="2:9" x14ac:dyDescent="0.25">
      <c r="B97" s="653">
        <v>35034</v>
      </c>
      <c r="C97" s="654">
        <v>45.81</v>
      </c>
      <c r="H97" s="653">
        <v>30286</v>
      </c>
      <c r="I97" s="657">
        <v>107707</v>
      </c>
    </row>
    <row r="98" spans="2:9" x14ac:dyDescent="0.25">
      <c r="B98" s="653">
        <v>35125</v>
      </c>
      <c r="C98" s="654">
        <v>46</v>
      </c>
      <c r="H98" s="653">
        <v>30376</v>
      </c>
      <c r="I98" s="657">
        <v>98766</v>
      </c>
    </row>
    <row r="99" spans="2:9" x14ac:dyDescent="0.25">
      <c r="B99" s="653">
        <v>35217</v>
      </c>
      <c r="C99" s="654">
        <v>46.31</v>
      </c>
      <c r="H99" s="653">
        <v>30468</v>
      </c>
      <c r="I99" s="657">
        <v>100247</v>
      </c>
    </row>
    <row r="100" spans="2:9" x14ac:dyDescent="0.25">
      <c r="B100" s="653">
        <v>35309</v>
      </c>
      <c r="C100" s="654">
        <v>46.43</v>
      </c>
      <c r="H100" s="653">
        <v>30560</v>
      </c>
      <c r="I100" s="657">
        <v>102138</v>
      </c>
    </row>
    <row r="101" spans="2:9" x14ac:dyDescent="0.25">
      <c r="B101" s="653">
        <v>35400</v>
      </c>
      <c r="C101" s="654">
        <v>46.51</v>
      </c>
      <c r="H101" s="653">
        <v>30651</v>
      </c>
      <c r="I101" s="657">
        <v>108596</v>
      </c>
    </row>
    <row r="102" spans="2:9" x14ac:dyDescent="0.25">
      <c r="B102" s="653">
        <v>35490</v>
      </c>
      <c r="C102" s="654">
        <v>46.58</v>
      </c>
      <c r="H102" s="653">
        <v>30742</v>
      </c>
      <c r="I102" s="657">
        <v>99685</v>
      </c>
    </row>
    <row r="103" spans="2:9" x14ac:dyDescent="0.25">
      <c r="B103" s="653">
        <v>35582</v>
      </c>
      <c r="C103" s="654">
        <v>46.47</v>
      </c>
      <c r="H103" s="653">
        <v>30834</v>
      </c>
      <c r="I103" s="657">
        <v>101676</v>
      </c>
    </row>
    <row r="104" spans="2:9" x14ac:dyDescent="0.25">
      <c r="B104" s="653">
        <v>35674</v>
      </c>
      <c r="C104" s="654">
        <v>46.28</v>
      </c>
      <c r="H104" s="653">
        <v>30926</v>
      </c>
      <c r="I104" s="657">
        <v>101591</v>
      </c>
    </row>
    <row r="105" spans="2:9" x14ac:dyDescent="0.25">
      <c r="B105" s="653">
        <v>35765</v>
      </c>
      <c r="C105" s="654">
        <v>46.39</v>
      </c>
      <c r="H105" s="653">
        <v>31017</v>
      </c>
      <c r="I105" s="657">
        <v>108494</v>
      </c>
    </row>
    <row r="106" spans="2:9" x14ac:dyDescent="0.25">
      <c r="B106" s="653">
        <v>35855</v>
      </c>
      <c r="C106" s="654">
        <v>46.51</v>
      </c>
      <c r="H106" s="653">
        <v>31107</v>
      </c>
      <c r="I106" s="657">
        <v>100138</v>
      </c>
    </row>
    <row r="107" spans="2:9" x14ac:dyDescent="0.25">
      <c r="B107" s="653">
        <v>35947</v>
      </c>
      <c r="C107" s="654">
        <v>46.78</v>
      </c>
      <c r="H107" s="653">
        <v>31199</v>
      </c>
      <c r="I107" s="657">
        <v>103574</v>
      </c>
    </row>
    <row r="108" spans="2:9" x14ac:dyDescent="0.25">
      <c r="B108" s="653">
        <v>36039</v>
      </c>
      <c r="C108" s="654">
        <v>46.91</v>
      </c>
      <c r="H108" s="653">
        <v>31291</v>
      </c>
      <c r="I108" s="657">
        <v>107789</v>
      </c>
    </row>
    <row r="109" spans="2:9" x14ac:dyDescent="0.25">
      <c r="B109" s="653">
        <v>36130</v>
      </c>
      <c r="C109" s="654">
        <v>47.11</v>
      </c>
      <c r="H109" s="653">
        <v>31382</v>
      </c>
      <c r="I109" s="657">
        <v>115711</v>
      </c>
    </row>
    <row r="110" spans="2:9" x14ac:dyDescent="0.25">
      <c r="B110" s="653">
        <v>36220</v>
      </c>
      <c r="C110" s="654">
        <v>47.08</v>
      </c>
      <c r="H110" s="653">
        <v>31472</v>
      </c>
      <c r="I110" s="657">
        <v>102951</v>
      </c>
    </row>
    <row r="111" spans="2:9" x14ac:dyDescent="0.25">
      <c r="B111" s="653">
        <v>36312</v>
      </c>
      <c r="C111" s="654">
        <v>47.29</v>
      </c>
      <c r="H111" s="653">
        <v>31564</v>
      </c>
      <c r="I111" s="657">
        <v>107858</v>
      </c>
    </row>
    <row r="112" spans="2:9" x14ac:dyDescent="0.25">
      <c r="B112" s="653">
        <v>36404</v>
      </c>
      <c r="C112" s="654">
        <v>47.72</v>
      </c>
      <c r="H112" s="653">
        <v>31656</v>
      </c>
      <c r="I112" s="657">
        <v>110618</v>
      </c>
    </row>
    <row r="113" spans="2:9" x14ac:dyDescent="0.25">
      <c r="B113" s="653">
        <v>36495</v>
      </c>
      <c r="C113" s="654">
        <v>47.97</v>
      </c>
      <c r="H113" s="653">
        <v>31747</v>
      </c>
      <c r="I113" s="657">
        <v>116843</v>
      </c>
    </row>
    <row r="114" spans="2:9" x14ac:dyDescent="0.25">
      <c r="B114" s="653">
        <v>36586</v>
      </c>
      <c r="C114" s="654">
        <v>48.4</v>
      </c>
      <c r="H114" s="653">
        <v>31837</v>
      </c>
      <c r="I114" s="657">
        <v>106202</v>
      </c>
    </row>
    <row r="115" spans="2:9" x14ac:dyDescent="0.25">
      <c r="B115" s="653">
        <v>36678</v>
      </c>
      <c r="C115" s="654">
        <v>48.77</v>
      </c>
      <c r="H115" s="653">
        <v>31929</v>
      </c>
      <c r="I115" s="657">
        <v>109408</v>
      </c>
    </row>
    <row r="116" spans="2:9" x14ac:dyDescent="0.25">
      <c r="B116" s="653">
        <v>36770</v>
      </c>
      <c r="C116" s="654">
        <v>50.59</v>
      </c>
      <c r="H116" s="653">
        <v>32021</v>
      </c>
      <c r="I116" s="657">
        <v>113022</v>
      </c>
    </row>
    <row r="117" spans="2:9" x14ac:dyDescent="0.25">
      <c r="B117" s="653">
        <v>36861</v>
      </c>
      <c r="C117" s="654">
        <v>50.76</v>
      </c>
      <c r="H117" s="653">
        <v>32112</v>
      </c>
      <c r="I117" s="657">
        <v>120829</v>
      </c>
    </row>
    <row r="118" spans="2:9" x14ac:dyDescent="0.25">
      <c r="B118" s="653">
        <v>36951</v>
      </c>
      <c r="C118" s="654">
        <v>51.3</v>
      </c>
      <c r="H118" s="653">
        <v>32203</v>
      </c>
      <c r="I118" s="657">
        <v>110554</v>
      </c>
    </row>
    <row r="119" spans="2:9" x14ac:dyDescent="0.25">
      <c r="B119" s="653">
        <v>37043</v>
      </c>
      <c r="C119" s="654">
        <v>51.73</v>
      </c>
      <c r="H119" s="653">
        <v>32295</v>
      </c>
      <c r="I119" s="657">
        <v>112919</v>
      </c>
    </row>
    <row r="120" spans="2:9" x14ac:dyDescent="0.25">
      <c r="B120" s="653">
        <v>37135</v>
      </c>
      <c r="C120" s="654">
        <v>51.87</v>
      </c>
      <c r="H120" s="653">
        <v>32387</v>
      </c>
      <c r="I120" s="657">
        <v>116742</v>
      </c>
    </row>
    <row r="121" spans="2:9" x14ac:dyDescent="0.25">
      <c r="B121" s="653">
        <v>37226</v>
      </c>
      <c r="C121" s="654">
        <v>52.35</v>
      </c>
      <c r="H121" s="653">
        <v>32478</v>
      </c>
      <c r="I121" s="657">
        <v>125313</v>
      </c>
    </row>
    <row r="122" spans="2:9" x14ac:dyDescent="0.25">
      <c r="B122" s="653">
        <v>37316</v>
      </c>
      <c r="C122" s="654">
        <v>52.82</v>
      </c>
      <c r="H122" s="653">
        <v>32568</v>
      </c>
      <c r="I122" s="657">
        <v>116301</v>
      </c>
    </row>
    <row r="123" spans="2:9" x14ac:dyDescent="0.25">
      <c r="B123" s="653">
        <v>37408</v>
      </c>
      <c r="C123" s="654">
        <v>53.2</v>
      </c>
      <c r="H123" s="653">
        <v>32660</v>
      </c>
      <c r="I123" s="657">
        <v>120204</v>
      </c>
    </row>
    <row r="124" spans="2:9" x14ac:dyDescent="0.25">
      <c r="B124" s="653">
        <v>37500</v>
      </c>
      <c r="C124" s="654">
        <v>53.56</v>
      </c>
      <c r="H124" s="653">
        <v>32752</v>
      </c>
      <c r="I124" s="657">
        <v>123580</v>
      </c>
    </row>
    <row r="125" spans="2:9" x14ac:dyDescent="0.25">
      <c r="B125" s="653">
        <v>37591</v>
      </c>
      <c r="C125" s="654">
        <v>53.92</v>
      </c>
      <c r="H125" s="653">
        <v>32843</v>
      </c>
      <c r="I125" s="657">
        <v>131048</v>
      </c>
    </row>
    <row r="126" spans="2:9" x14ac:dyDescent="0.25">
      <c r="B126" s="653">
        <v>37681</v>
      </c>
      <c r="C126" s="654">
        <v>54.62</v>
      </c>
      <c r="H126" s="653">
        <v>32933</v>
      </c>
      <c r="I126" s="657">
        <v>120744</v>
      </c>
    </row>
    <row r="127" spans="2:9" x14ac:dyDescent="0.25">
      <c r="B127" s="653">
        <v>37773</v>
      </c>
      <c r="C127" s="654">
        <v>54.62</v>
      </c>
      <c r="H127" s="653">
        <v>33025</v>
      </c>
      <c r="I127" s="657">
        <v>123880</v>
      </c>
    </row>
    <row r="128" spans="2:9" x14ac:dyDescent="0.25">
      <c r="B128" s="653">
        <v>37865</v>
      </c>
      <c r="C128" s="654">
        <v>54.93</v>
      </c>
      <c r="H128" s="653">
        <v>33117</v>
      </c>
      <c r="I128" s="657">
        <v>126500</v>
      </c>
    </row>
    <row r="129" spans="2:9" x14ac:dyDescent="0.25">
      <c r="B129" s="653">
        <v>37956</v>
      </c>
      <c r="C129" s="654">
        <v>55.22</v>
      </c>
      <c r="H129" s="653">
        <v>33208</v>
      </c>
      <c r="I129" s="657">
        <v>132305</v>
      </c>
    </row>
    <row r="130" spans="2:9" x14ac:dyDescent="0.25">
      <c r="B130" s="653">
        <v>38047</v>
      </c>
      <c r="C130" s="654">
        <v>55.71</v>
      </c>
      <c r="H130" s="653">
        <v>33298</v>
      </c>
      <c r="I130" s="657">
        <v>121060</v>
      </c>
    </row>
    <row r="131" spans="2:9" x14ac:dyDescent="0.25">
      <c r="B131" s="653">
        <v>38139</v>
      </c>
      <c r="C131" s="654">
        <v>55.97</v>
      </c>
      <c r="H131" s="653">
        <v>33390</v>
      </c>
      <c r="I131" s="657">
        <v>124301</v>
      </c>
    </row>
    <row r="132" spans="2:9" x14ac:dyDescent="0.25">
      <c r="B132" s="653">
        <v>38231</v>
      </c>
      <c r="C132" s="654">
        <v>56.2</v>
      </c>
      <c r="H132" s="653">
        <v>33482</v>
      </c>
      <c r="I132" s="657">
        <v>127972</v>
      </c>
    </row>
    <row r="133" spans="2:9" x14ac:dyDescent="0.25">
      <c r="B133" s="653">
        <v>38322</v>
      </c>
      <c r="C133" s="654">
        <v>56.63</v>
      </c>
      <c r="H133" s="653">
        <v>33573</v>
      </c>
      <c r="I133" s="657">
        <v>134879</v>
      </c>
    </row>
    <row r="134" spans="2:9" x14ac:dyDescent="0.25">
      <c r="B134" s="653">
        <v>38412</v>
      </c>
      <c r="C134" s="654">
        <v>57.01</v>
      </c>
      <c r="H134" s="653">
        <v>33664</v>
      </c>
      <c r="I134" s="657">
        <v>124748</v>
      </c>
    </row>
    <row r="135" spans="2:9" x14ac:dyDescent="0.25">
      <c r="B135" s="653">
        <v>38504</v>
      </c>
      <c r="C135" s="654">
        <v>57.35</v>
      </c>
      <c r="H135" s="653">
        <v>33756</v>
      </c>
      <c r="I135" s="657">
        <v>128533</v>
      </c>
    </row>
    <row r="136" spans="2:9" x14ac:dyDescent="0.25">
      <c r="B136" s="653">
        <v>38596</v>
      </c>
      <c r="C136" s="654">
        <v>57.92</v>
      </c>
      <c r="H136" s="653">
        <v>33848</v>
      </c>
      <c r="I136" s="657">
        <v>131056</v>
      </c>
    </row>
    <row r="137" spans="2:9" x14ac:dyDescent="0.25">
      <c r="B137" s="653">
        <v>38687</v>
      </c>
      <c r="C137" s="654">
        <v>58.22</v>
      </c>
      <c r="H137" s="653">
        <v>33939</v>
      </c>
      <c r="I137" s="657">
        <v>138346</v>
      </c>
    </row>
    <row r="138" spans="2:9" x14ac:dyDescent="0.25">
      <c r="B138" s="653">
        <v>38777</v>
      </c>
      <c r="C138" s="654">
        <v>58.72</v>
      </c>
      <c r="H138" s="653">
        <v>34029</v>
      </c>
      <c r="I138" s="657">
        <v>126400</v>
      </c>
    </row>
    <row r="139" spans="2:9" x14ac:dyDescent="0.25">
      <c r="B139" s="653">
        <v>38869</v>
      </c>
      <c r="C139" s="654">
        <v>59.65</v>
      </c>
      <c r="H139" s="653">
        <v>34121</v>
      </c>
      <c r="I139" s="657">
        <v>130160</v>
      </c>
    </row>
    <row r="140" spans="2:9" x14ac:dyDescent="0.25">
      <c r="B140" s="653">
        <v>38961</v>
      </c>
      <c r="C140" s="654">
        <v>60.18</v>
      </c>
      <c r="H140" s="653">
        <v>34213</v>
      </c>
      <c r="I140" s="657">
        <v>132148</v>
      </c>
    </row>
    <row r="141" spans="2:9" x14ac:dyDescent="0.25">
      <c r="B141" s="653">
        <v>39052</v>
      </c>
      <c r="C141" s="654">
        <v>60.11</v>
      </c>
      <c r="H141" s="653">
        <v>34304</v>
      </c>
      <c r="I141" s="657">
        <v>141464</v>
      </c>
    </row>
    <row r="142" spans="2:9" x14ac:dyDescent="0.25">
      <c r="B142" s="653">
        <v>39142</v>
      </c>
      <c r="C142" s="654">
        <v>60.16</v>
      </c>
      <c r="H142" s="653">
        <v>34394</v>
      </c>
      <c r="I142" s="657">
        <v>130245</v>
      </c>
    </row>
    <row r="143" spans="2:9" x14ac:dyDescent="0.25">
      <c r="B143" s="653">
        <v>39234</v>
      </c>
      <c r="C143" s="654">
        <v>60.9</v>
      </c>
      <c r="H143" s="653">
        <v>34486</v>
      </c>
      <c r="I143" s="657">
        <v>133464</v>
      </c>
    </row>
    <row r="144" spans="2:9" x14ac:dyDescent="0.25">
      <c r="B144" s="653">
        <v>39326</v>
      </c>
      <c r="C144" s="654">
        <v>61.32</v>
      </c>
      <c r="H144" s="653">
        <v>34578</v>
      </c>
      <c r="I144" s="657">
        <v>138468</v>
      </c>
    </row>
    <row r="145" spans="2:9" x14ac:dyDescent="0.25">
      <c r="B145" s="653">
        <v>39417</v>
      </c>
      <c r="C145" s="654">
        <v>61.89</v>
      </c>
      <c r="H145" s="653">
        <v>34669</v>
      </c>
      <c r="I145" s="657">
        <v>146550</v>
      </c>
    </row>
    <row r="146" spans="2:9" x14ac:dyDescent="0.25">
      <c r="B146" s="653">
        <v>39508</v>
      </c>
      <c r="C146" s="654">
        <v>62.72</v>
      </c>
      <c r="H146" s="653">
        <v>34759</v>
      </c>
      <c r="I146" s="657">
        <v>135620</v>
      </c>
    </row>
    <row r="147" spans="2:9" x14ac:dyDescent="0.25">
      <c r="B147" s="653">
        <v>39600</v>
      </c>
      <c r="C147" s="654">
        <v>63.63</v>
      </c>
      <c r="H147" s="653">
        <v>34851</v>
      </c>
      <c r="I147" s="657">
        <v>140400</v>
      </c>
    </row>
    <row r="148" spans="2:9" x14ac:dyDescent="0.25">
      <c r="B148" s="653">
        <v>39692</v>
      </c>
      <c r="C148" s="654">
        <v>64.37</v>
      </c>
      <c r="H148" s="653">
        <v>34943</v>
      </c>
      <c r="I148" s="657">
        <v>142898</v>
      </c>
    </row>
    <row r="149" spans="2:9" x14ac:dyDescent="0.25">
      <c r="B149" s="653">
        <v>39783</v>
      </c>
      <c r="C149" s="654">
        <v>64.16</v>
      </c>
      <c r="H149" s="653">
        <v>35034</v>
      </c>
      <c r="I149" s="657">
        <v>152231</v>
      </c>
    </row>
    <row r="150" spans="2:9" x14ac:dyDescent="0.25">
      <c r="B150" s="653">
        <v>39873</v>
      </c>
      <c r="C150" s="654">
        <v>64.23</v>
      </c>
      <c r="H150" s="653">
        <v>35125</v>
      </c>
      <c r="I150" s="657">
        <v>140370</v>
      </c>
    </row>
    <row r="151" spans="2:9" x14ac:dyDescent="0.25">
      <c r="B151" s="653">
        <v>39965</v>
      </c>
      <c r="C151" s="654">
        <v>64.55</v>
      </c>
      <c r="H151" s="653">
        <v>35217</v>
      </c>
      <c r="I151" s="657">
        <v>144514</v>
      </c>
    </row>
    <row r="152" spans="2:9" x14ac:dyDescent="0.25">
      <c r="B152" s="653">
        <v>40057</v>
      </c>
      <c r="C152" s="654">
        <v>65.16</v>
      </c>
      <c r="H152" s="653">
        <v>35309</v>
      </c>
      <c r="I152" s="657">
        <v>146976</v>
      </c>
    </row>
    <row r="153" spans="2:9" x14ac:dyDescent="0.25">
      <c r="B153" s="653">
        <v>40148</v>
      </c>
      <c r="C153" s="654">
        <v>65.510000000000005</v>
      </c>
      <c r="H153" s="653">
        <v>35400</v>
      </c>
      <c r="I153" s="657">
        <v>155903</v>
      </c>
    </row>
    <row r="154" spans="2:9" x14ac:dyDescent="0.25">
      <c r="B154" s="653">
        <v>40238</v>
      </c>
      <c r="C154" s="654">
        <v>66.12</v>
      </c>
      <c r="H154" s="653">
        <v>35490</v>
      </c>
      <c r="I154" s="657">
        <v>143976</v>
      </c>
    </row>
    <row r="155" spans="2:9" x14ac:dyDescent="0.25">
      <c r="B155" s="653">
        <v>40330</v>
      </c>
      <c r="C155" s="654">
        <v>66.52</v>
      </c>
      <c r="H155" s="653">
        <v>35582</v>
      </c>
      <c r="I155" s="657">
        <v>149811</v>
      </c>
    </row>
    <row r="156" spans="2:9" x14ac:dyDescent="0.25">
      <c r="B156" s="653">
        <v>40422</v>
      </c>
      <c r="C156" s="654">
        <v>67</v>
      </c>
      <c r="H156" s="653">
        <v>35674</v>
      </c>
      <c r="I156" s="657">
        <v>154347</v>
      </c>
    </row>
    <row r="157" spans="2:9" x14ac:dyDescent="0.25">
      <c r="B157" s="653">
        <v>40513</v>
      </c>
      <c r="C157" s="654">
        <v>67.260000000000005</v>
      </c>
      <c r="H157" s="653">
        <v>35765</v>
      </c>
      <c r="I157" s="657">
        <v>164565</v>
      </c>
    </row>
    <row r="158" spans="2:9" x14ac:dyDescent="0.25">
      <c r="B158" s="653">
        <v>40603</v>
      </c>
      <c r="C158" s="654">
        <v>68.3</v>
      </c>
      <c r="H158" s="653">
        <v>35855</v>
      </c>
      <c r="I158" s="657">
        <v>151375</v>
      </c>
    </row>
    <row r="159" spans="2:9" x14ac:dyDescent="0.25">
      <c r="B159" s="653">
        <v>40695</v>
      </c>
      <c r="C159" s="654">
        <v>68.930000000000007</v>
      </c>
      <c r="H159" s="653">
        <v>35947</v>
      </c>
      <c r="I159" s="657">
        <v>156972</v>
      </c>
    </row>
    <row r="160" spans="2:9" x14ac:dyDescent="0.25">
      <c r="B160" s="653">
        <v>40787</v>
      </c>
      <c r="C160" s="654">
        <v>69.34</v>
      </c>
      <c r="H160" s="653">
        <v>36039</v>
      </c>
      <c r="I160" s="657">
        <v>162586</v>
      </c>
    </row>
    <row r="161" spans="2:9" x14ac:dyDescent="0.25">
      <c r="B161" s="653">
        <v>40878</v>
      </c>
      <c r="C161" s="654">
        <v>69.34</v>
      </c>
      <c r="H161" s="653">
        <v>36130</v>
      </c>
      <c r="I161" s="657">
        <v>172644</v>
      </c>
    </row>
    <row r="162" spans="2:9" x14ac:dyDescent="0.25">
      <c r="B162" s="653">
        <v>40969</v>
      </c>
      <c r="C162" s="654">
        <v>69.38</v>
      </c>
      <c r="H162" s="653">
        <v>36220</v>
      </c>
      <c r="I162" s="657">
        <v>161399</v>
      </c>
    </row>
    <row r="163" spans="2:9" x14ac:dyDescent="0.25">
      <c r="B163" s="653">
        <v>41061</v>
      </c>
      <c r="C163" s="654">
        <v>69.739999999999995</v>
      </c>
      <c r="H163" s="653">
        <v>36312</v>
      </c>
      <c r="I163" s="657">
        <v>165519</v>
      </c>
    </row>
    <row r="164" spans="2:9" x14ac:dyDescent="0.25">
      <c r="B164" s="653">
        <v>41153</v>
      </c>
      <c r="C164" s="654">
        <v>70.69</v>
      </c>
      <c r="H164" s="653">
        <v>36404</v>
      </c>
      <c r="I164" s="657">
        <v>170068</v>
      </c>
    </row>
    <row r="165" spans="2:9" x14ac:dyDescent="0.25">
      <c r="B165" s="653">
        <v>41244</v>
      </c>
      <c r="C165" s="654">
        <v>70.87</v>
      </c>
      <c r="H165" s="653">
        <v>36495</v>
      </c>
      <c r="I165" s="657">
        <v>181315</v>
      </c>
    </row>
    <row r="166" spans="2:9" x14ac:dyDescent="0.25">
      <c r="B166" s="653">
        <v>41334</v>
      </c>
      <c r="C166" s="654">
        <v>71.11</v>
      </c>
      <c r="H166" s="653">
        <v>36586</v>
      </c>
      <c r="I166" s="657">
        <v>167062</v>
      </c>
    </row>
    <row r="167" spans="2:9" x14ac:dyDescent="0.25">
      <c r="B167" s="653">
        <v>41426</v>
      </c>
      <c r="C167" s="654">
        <v>71.38</v>
      </c>
      <c r="H167" s="653">
        <v>36678</v>
      </c>
      <c r="I167" s="657">
        <v>171490</v>
      </c>
    </row>
    <row r="168" spans="2:9" x14ac:dyDescent="0.25">
      <c r="B168" s="653">
        <v>41518</v>
      </c>
      <c r="C168" s="654">
        <v>72.25</v>
      </c>
      <c r="H168" s="653">
        <v>36770</v>
      </c>
      <c r="I168" s="657">
        <v>176252</v>
      </c>
    </row>
    <row r="169" spans="2:9" x14ac:dyDescent="0.25">
      <c r="B169" s="653">
        <v>41609</v>
      </c>
      <c r="C169" s="654">
        <v>72.77</v>
      </c>
      <c r="H169" s="653">
        <v>36861</v>
      </c>
      <c r="I169" s="657">
        <v>186588</v>
      </c>
    </row>
    <row r="170" spans="2:9" x14ac:dyDescent="0.25">
      <c r="B170" s="653">
        <v>41699</v>
      </c>
      <c r="C170" s="654">
        <v>73.2</v>
      </c>
      <c r="H170" s="653">
        <v>36951</v>
      </c>
      <c r="I170" s="657">
        <v>172958</v>
      </c>
    </row>
    <row r="171" spans="2:9" x14ac:dyDescent="0.25">
      <c r="B171" s="653">
        <v>41791</v>
      </c>
      <c r="C171" s="654">
        <v>73.569999999999993</v>
      </c>
      <c r="H171" s="653">
        <v>37043</v>
      </c>
      <c r="I171" s="657">
        <v>177080</v>
      </c>
    </row>
    <row r="172" spans="2:9" x14ac:dyDescent="0.25">
      <c r="B172" s="653">
        <v>41883</v>
      </c>
      <c r="C172" s="654">
        <v>73.88</v>
      </c>
      <c r="H172" s="653">
        <v>37135</v>
      </c>
      <c r="I172" s="657">
        <v>180466</v>
      </c>
    </row>
    <row r="173" spans="2:9" x14ac:dyDescent="0.25">
      <c r="B173" s="653">
        <v>41974</v>
      </c>
      <c r="C173" s="654">
        <v>74.02</v>
      </c>
      <c r="H173" s="653">
        <v>37226</v>
      </c>
      <c r="I173" s="657">
        <v>191330</v>
      </c>
    </row>
    <row r="174" spans="2:9" x14ac:dyDescent="0.25">
      <c r="B174" s="653">
        <v>42064</v>
      </c>
      <c r="C174" s="654">
        <v>74.16</v>
      </c>
      <c r="H174" s="653">
        <v>37316</v>
      </c>
      <c r="I174" s="657">
        <v>177794</v>
      </c>
    </row>
    <row r="175" spans="2:9" x14ac:dyDescent="0.25">
      <c r="B175" s="653">
        <v>42156</v>
      </c>
      <c r="C175" s="654">
        <v>74.69</v>
      </c>
      <c r="H175" s="653">
        <v>37408</v>
      </c>
      <c r="I175" s="657">
        <v>184138</v>
      </c>
    </row>
    <row r="176" spans="2:9" x14ac:dyDescent="0.25">
      <c r="B176" s="653">
        <v>42248</v>
      </c>
      <c r="C176" s="654">
        <v>74.98</v>
      </c>
      <c r="H176" s="653">
        <v>37500</v>
      </c>
      <c r="I176" s="657">
        <v>189630</v>
      </c>
    </row>
    <row r="177" spans="2:9" x14ac:dyDescent="0.25">
      <c r="B177" s="653">
        <v>42339</v>
      </c>
      <c r="C177" s="654">
        <v>75.27</v>
      </c>
      <c r="H177" s="653">
        <v>37591</v>
      </c>
      <c r="I177" s="657">
        <v>200672</v>
      </c>
    </row>
    <row r="178" spans="2:9" x14ac:dyDescent="0.25">
      <c r="B178" s="653">
        <v>42430</v>
      </c>
      <c r="C178" s="654">
        <v>75.12</v>
      </c>
      <c r="H178" s="653">
        <v>37681</v>
      </c>
      <c r="I178" s="657">
        <v>184656</v>
      </c>
    </row>
    <row r="179" spans="2:9" x14ac:dyDescent="0.25">
      <c r="B179" s="653">
        <v>42522</v>
      </c>
      <c r="C179" s="654">
        <v>75.45</v>
      </c>
      <c r="H179" s="653">
        <v>37773</v>
      </c>
      <c r="I179" s="657">
        <v>190186</v>
      </c>
    </row>
    <row r="180" spans="2:9" x14ac:dyDescent="0.25">
      <c r="B180" s="653">
        <v>42614</v>
      </c>
      <c r="C180" s="654">
        <v>75.98</v>
      </c>
      <c r="H180" s="653">
        <v>37865</v>
      </c>
      <c r="I180" s="657">
        <v>195911</v>
      </c>
    </row>
    <row r="181" spans="2:9" x14ac:dyDescent="0.25">
      <c r="B181" s="653">
        <v>42705</v>
      </c>
      <c r="C181" s="654">
        <v>76.38</v>
      </c>
      <c r="H181" s="653">
        <v>37956</v>
      </c>
      <c r="I181" s="657">
        <v>210855</v>
      </c>
    </row>
    <row r="182" spans="2:9" x14ac:dyDescent="0.25">
      <c r="B182" s="653">
        <v>42795</v>
      </c>
      <c r="C182" s="654">
        <v>76.73</v>
      </c>
      <c r="H182" s="653">
        <v>38047</v>
      </c>
      <c r="I182" s="657">
        <v>196677</v>
      </c>
    </row>
    <row r="183" spans="2:9" x14ac:dyDescent="0.25">
      <c r="B183" s="653">
        <v>42887</v>
      </c>
      <c r="C183" s="654">
        <v>76.88</v>
      </c>
      <c r="H183" s="653">
        <v>38139</v>
      </c>
      <c r="I183" s="657">
        <v>202249</v>
      </c>
    </row>
    <row r="184" spans="2:9" x14ac:dyDescent="0.25">
      <c r="B184" s="653">
        <v>42979</v>
      </c>
      <c r="C184" s="654">
        <v>77.349999999999994</v>
      </c>
      <c r="H184" s="653">
        <v>38231</v>
      </c>
      <c r="I184" s="657">
        <v>207904</v>
      </c>
    </row>
    <row r="185" spans="2:9" x14ac:dyDescent="0.25">
      <c r="B185" s="653">
        <v>43070</v>
      </c>
      <c r="C185" s="654">
        <v>77.87</v>
      </c>
      <c r="H185" s="653">
        <v>38322</v>
      </c>
      <c r="I185" s="657">
        <v>221293</v>
      </c>
    </row>
    <row r="186" spans="2:9" x14ac:dyDescent="0.25">
      <c r="B186" s="653">
        <v>43160</v>
      </c>
      <c r="C186" s="654">
        <v>78.209999999999994</v>
      </c>
      <c r="H186" s="653">
        <v>38412</v>
      </c>
      <c r="I186" s="657">
        <v>201766</v>
      </c>
    </row>
    <row r="187" spans="2:9" x14ac:dyDescent="0.25">
      <c r="B187" s="653">
        <v>43252</v>
      </c>
      <c r="C187" s="654">
        <v>78.489999999999995</v>
      </c>
      <c r="H187" s="653">
        <v>38504</v>
      </c>
      <c r="I187" s="657">
        <v>211294</v>
      </c>
    </row>
    <row r="188" spans="2:9" x14ac:dyDescent="0.25">
      <c r="B188" s="653">
        <v>43344</v>
      </c>
      <c r="C188" s="654">
        <v>78.83</v>
      </c>
      <c r="H188" s="653">
        <v>38596</v>
      </c>
      <c r="I188" s="657">
        <v>214899</v>
      </c>
    </row>
    <row r="189" spans="2:9" x14ac:dyDescent="0.25">
      <c r="B189" s="653">
        <v>43435</v>
      </c>
      <c r="C189" s="654">
        <v>79.239999999999995</v>
      </c>
      <c r="H189" s="653">
        <v>38687</v>
      </c>
      <c r="I189" s="657">
        <v>226314</v>
      </c>
    </row>
    <row r="190" spans="2:9" x14ac:dyDescent="0.25">
      <c r="B190" s="653">
        <v>43525</v>
      </c>
      <c r="C190" s="654">
        <v>79.23</v>
      </c>
      <c r="H190" s="653">
        <v>38777</v>
      </c>
      <c r="I190" s="657">
        <v>209902</v>
      </c>
    </row>
    <row r="191" spans="2:9" x14ac:dyDescent="0.25">
      <c r="B191" s="653">
        <v>43617</v>
      </c>
      <c r="C191" s="654">
        <v>79.7</v>
      </c>
      <c r="H191" s="653">
        <v>38869</v>
      </c>
      <c r="I191" s="657">
        <v>219055</v>
      </c>
    </row>
    <row r="192" spans="2:9" x14ac:dyDescent="0.25">
      <c r="B192" s="653">
        <v>43709</v>
      </c>
      <c r="C192" s="654">
        <v>80.150000000000006</v>
      </c>
      <c r="H192" s="653">
        <v>38961</v>
      </c>
      <c r="I192" s="657">
        <v>224092</v>
      </c>
    </row>
    <row r="193" spans="2:9" x14ac:dyDescent="0.25">
      <c r="B193" s="653">
        <v>43800</v>
      </c>
      <c r="C193" s="654">
        <v>80.7</v>
      </c>
      <c r="H193" s="653">
        <v>39052</v>
      </c>
      <c r="I193" s="657">
        <v>237989</v>
      </c>
    </row>
    <row r="194" spans="2:9" x14ac:dyDescent="0.25">
      <c r="B194" s="653">
        <v>43891</v>
      </c>
      <c r="C194" s="654">
        <v>81</v>
      </c>
      <c r="H194" s="653">
        <v>39142</v>
      </c>
      <c r="I194" s="657">
        <v>223017</v>
      </c>
    </row>
    <row r="195" spans="2:9" x14ac:dyDescent="0.25">
      <c r="B195" s="653">
        <v>43983</v>
      </c>
      <c r="C195" s="654">
        <v>79.44</v>
      </c>
      <c r="H195" s="653">
        <v>39234</v>
      </c>
      <c r="I195" s="657">
        <v>231241</v>
      </c>
    </row>
    <row r="196" spans="2:9" x14ac:dyDescent="0.25">
      <c r="B196" s="653">
        <v>44075</v>
      </c>
      <c r="C196" s="654">
        <v>80.67</v>
      </c>
      <c r="H196" s="653">
        <v>39326</v>
      </c>
      <c r="I196" s="657">
        <v>237886</v>
      </c>
    </row>
    <row r="197" spans="2:9" x14ac:dyDescent="0.25">
      <c r="B197" s="653">
        <v>44166</v>
      </c>
      <c r="C197" s="654">
        <v>81.400000000000006</v>
      </c>
      <c r="H197" s="653">
        <v>39417</v>
      </c>
      <c r="I197" s="657">
        <v>251238</v>
      </c>
    </row>
    <row r="198" spans="2:9" x14ac:dyDescent="0.25">
      <c r="B198" s="653">
        <v>44256</v>
      </c>
      <c r="C198" s="654">
        <v>81.87</v>
      </c>
      <c r="H198" s="653">
        <v>39508</v>
      </c>
      <c r="I198" s="657">
        <v>232944</v>
      </c>
    </row>
    <row r="199" spans="2:9" x14ac:dyDescent="0.25">
      <c r="B199" s="653">
        <v>44348</v>
      </c>
      <c r="C199" s="654">
        <v>82.47</v>
      </c>
      <c r="H199" s="653">
        <v>39600</v>
      </c>
      <c r="I199" s="657">
        <v>238868</v>
      </c>
    </row>
    <row r="200" spans="2:9" x14ac:dyDescent="0.25">
      <c r="B200" s="653">
        <v>44440</v>
      </c>
      <c r="C200" s="654">
        <v>83.17</v>
      </c>
      <c r="H200" s="653">
        <v>39692</v>
      </c>
      <c r="I200" s="657">
        <v>240404</v>
      </c>
    </row>
    <row r="201" spans="2:9" x14ac:dyDescent="0.25">
      <c r="B201" s="653">
        <v>44531</v>
      </c>
      <c r="C201" s="654">
        <v>84.23</v>
      </c>
      <c r="H201" s="653">
        <v>39783</v>
      </c>
      <c r="I201" s="657">
        <v>250058</v>
      </c>
    </row>
    <row r="202" spans="2:9" x14ac:dyDescent="0.25">
      <c r="B202" s="653">
        <v>44621</v>
      </c>
      <c r="C202" s="654">
        <v>86.05</v>
      </c>
      <c r="H202" s="653">
        <v>39873</v>
      </c>
      <c r="I202" s="657">
        <v>232281</v>
      </c>
    </row>
    <row r="203" spans="2:9" x14ac:dyDescent="0.25">
      <c r="B203" s="653">
        <v>44713</v>
      </c>
      <c r="C203" s="654">
        <v>87.59</v>
      </c>
      <c r="H203" s="653">
        <v>39965</v>
      </c>
      <c r="I203" s="657">
        <v>242235</v>
      </c>
    </row>
    <row r="204" spans="2:9" x14ac:dyDescent="0.25">
      <c r="B204" s="653">
        <v>44805</v>
      </c>
      <c r="C204" s="654">
        <v>89.2</v>
      </c>
      <c r="H204" s="653">
        <v>40057</v>
      </c>
      <c r="I204" s="657">
        <v>246013</v>
      </c>
    </row>
    <row r="205" spans="2:9" x14ac:dyDescent="0.25">
      <c r="B205" s="653">
        <v>44896</v>
      </c>
      <c r="C205" s="654">
        <v>90.85</v>
      </c>
      <c r="H205" s="653">
        <v>40148</v>
      </c>
      <c r="I205" s="657">
        <v>259486</v>
      </c>
    </row>
    <row r="206" spans="2:9" x14ac:dyDescent="0.25">
      <c r="B206" s="653">
        <v>44986</v>
      </c>
      <c r="C206" s="654">
        <v>92.08</v>
      </c>
      <c r="H206" s="653">
        <v>40238</v>
      </c>
      <c r="I206" s="657">
        <v>241586</v>
      </c>
    </row>
    <row r="207" spans="2:9" x14ac:dyDescent="0.25">
      <c r="B207" s="653">
        <v>45078</v>
      </c>
      <c r="C207" s="654">
        <v>92.87</v>
      </c>
      <c r="H207" s="653">
        <v>40330</v>
      </c>
      <c r="I207" s="657">
        <v>251514</v>
      </c>
    </row>
    <row r="208" spans="2:9" x14ac:dyDescent="0.25">
      <c r="B208" s="653">
        <v>45170</v>
      </c>
      <c r="C208" s="654">
        <v>93.94</v>
      </c>
      <c r="H208" s="653">
        <v>40422</v>
      </c>
      <c r="I208" s="657">
        <v>256864</v>
      </c>
    </row>
    <row r="209" spans="2:9" x14ac:dyDescent="0.25">
      <c r="B209" s="653">
        <v>45261</v>
      </c>
      <c r="C209" s="654">
        <v>94.53</v>
      </c>
      <c r="H209" s="653">
        <v>40513</v>
      </c>
      <c r="I209" s="657">
        <v>269911</v>
      </c>
    </row>
    <row r="210" spans="2:9" x14ac:dyDescent="0.25">
      <c r="B210" s="653">
        <v>45352</v>
      </c>
      <c r="C210" s="654">
        <v>95.41</v>
      </c>
      <c r="H210" s="653">
        <v>40603</v>
      </c>
      <c r="I210" s="657">
        <v>251648</v>
      </c>
    </row>
    <row r="211" spans="2:9" x14ac:dyDescent="0.25">
      <c r="B211" s="653">
        <v>45444</v>
      </c>
      <c r="C211" s="654">
        <v>96.41</v>
      </c>
      <c r="H211" s="653">
        <v>40695</v>
      </c>
      <c r="I211" s="657">
        <v>260327</v>
      </c>
    </row>
    <row r="212" spans="2:9" x14ac:dyDescent="0.25">
      <c r="B212" s="653">
        <v>45536</v>
      </c>
      <c r="C212" s="654">
        <v>96.62</v>
      </c>
      <c r="H212" s="653">
        <v>40787</v>
      </c>
      <c r="I212" s="657">
        <v>265011</v>
      </c>
    </row>
    <row r="213" spans="2:9" x14ac:dyDescent="0.25">
      <c r="B213" s="653">
        <v>45627</v>
      </c>
      <c r="C213" s="654">
        <v>96.81</v>
      </c>
      <c r="H213" s="653">
        <v>40878</v>
      </c>
      <c r="I213" s="657">
        <v>276053</v>
      </c>
    </row>
    <row r="214" spans="2:9" x14ac:dyDescent="0.25">
      <c r="B214" s="653">
        <v>45717</v>
      </c>
      <c r="C214" s="654">
        <v>97.7</v>
      </c>
      <c r="H214" s="653">
        <v>40969</v>
      </c>
      <c r="I214" s="657">
        <v>260051</v>
      </c>
    </row>
    <row r="215" spans="2:9" x14ac:dyDescent="0.25">
      <c r="B215" s="653">
        <v>45809</v>
      </c>
      <c r="C215" s="654">
        <v>98.43</v>
      </c>
      <c r="H215" s="653">
        <v>41061</v>
      </c>
      <c r="I215" s="657">
        <v>268304</v>
      </c>
    </row>
    <row r="216" spans="2:9" x14ac:dyDescent="0.25">
      <c r="B216" s="653">
        <v>45901</v>
      </c>
      <c r="C216" s="654">
        <v>99.73</v>
      </c>
      <c r="H216" s="653">
        <v>41153</v>
      </c>
      <c r="I216" s="657">
        <v>272178</v>
      </c>
    </row>
    <row r="217" spans="2:9" x14ac:dyDescent="0.25">
      <c r="B217" s="653">
        <v>45992</v>
      </c>
      <c r="C217" s="654">
        <v>100.32</v>
      </c>
      <c r="H217" s="653">
        <v>41244</v>
      </c>
      <c r="I217" s="657">
        <v>282325</v>
      </c>
    </row>
    <row r="218" spans="2:9" x14ac:dyDescent="0.25">
      <c r="B218" s="653">
        <v>46082</v>
      </c>
      <c r="C218" s="654">
        <v>101.7</v>
      </c>
      <c r="H218" s="653">
        <v>41334</v>
      </c>
      <c r="I218" s="657">
        <v>264260</v>
      </c>
    </row>
    <row r="219" spans="2:9" x14ac:dyDescent="0.25">
      <c r="H219" s="653">
        <v>41426</v>
      </c>
      <c r="I219" s="657">
        <v>272256</v>
      </c>
    </row>
    <row r="220" spans="2:9" x14ac:dyDescent="0.25">
      <c r="H220" s="653">
        <v>41518</v>
      </c>
      <c r="I220" s="657">
        <v>277613</v>
      </c>
    </row>
    <row r="221" spans="2:9" x14ac:dyDescent="0.25">
      <c r="H221" s="653">
        <v>41609</v>
      </c>
      <c r="I221" s="657">
        <v>288427</v>
      </c>
    </row>
    <row r="222" spans="2:9" x14ac:dyDescent="0.25">
      <c r="H222" s="653">
        <v>41699</v>
      </c>
      <c r="I222" s="657">
        <v>270897</v>
      </c>
    </row>
    <row r="223" spans="2:9" x14ac:dyDescent="0.25">
      <c r="H223" s="653">
        <v>41791</v>
      </c>
      <c r="I223" s="657">
        <v>279166</v>
      </c>
    </row>
    <row r="224" spans="2:9" x14ac:dyDescent="0.25">
      <c r="H224" s="653">
        <v>41883</v>
      </c>
      <c r="I224" s="657">
        <v>284873</v>
      </c>
    </row>
    <row r="225" spans="8:9" x14ac:dyDescent="0.25">
      <c r="H225" s="653">
        <v>41974</v>
      </c>
      <c r="I225" s="657">
        <v>296639</v>
      </c>
    </row>
    <row r="226" spans="8:9" x14ac:dyDescent="0.25">
      <c r="H226" s="653">
        <v>42064</v>
      </c>
      <c r="I226" s="657">
        <v>277339</v>
      </c>
    </row>
    <row r="227" spans="8:9" x14ac:dyDescent="0.25">
      <c r="H227" s="653">
        <v>42156</v>
      </c>
      <c r="I227" s="657">
        <v>286250</v>
      </c>
    </row>
    <row r="228" spans="8:9" x14ac:dyDescent="0.25">
      <c r="H228" s="653">
        <v>42248</v>
      </c>
      <c r="I228" s="657">
        <v>291871</v>
      </c>
    </row>
    <row r="229" spans="8:9" x14ac:dyDescent="0.25">
      <c r="H229" s="653">
        <v>42339</v>
      </c>
      <c r="I229" s="657">
        <v>304208</v>
      </c>
    </row>
    <row r="230" spans="8:9" x14ac:dyDescent="0.25">
      <c r="H230" s="653">
        <v>42430</v>
      </c>
      <c r="I230" s="657">
        <v>284823</v>
      </c>
    </row>
    <row r="231" spans="8:9" x14ac:dyDescent="0.25">
      <c r="H231" s="653">
        <v>42522</v>
      </c>
      <c r="I231" s="657">
        <v>294765</v>
      </c>
    </row>
    <row r="232" spans="8:9" x14ac:dyDescent="0.25">
      <c r="H232" s="653">
        <v>42614</v>
      </c>
      <c r="I232" s="657">
        <v>298869</v>
      </c>
    </row>
    <row r="233" spans="8:9" x14ac:dyDescent="0.25">
      <c r="H233" s="653">
        <v>42705</v>
      </c>
      <c r="I233" s="657">
        <v>312514</v>
      </c>
    </row>
    <row r="234" spans="8:9" x14ac:dyDescent="0.25">
      <c r="H234" s="653">
        <v>42795</v>
      </c>
      <c r="I234" s="657">
        <v>291641</v>
      </c>
    </row>
    <row r="235" spans="8:9" x14ac:dyDescent="0.25">
      <c r="H235" s="653">
        <v>42887</v>
      </c>
      <c r="I235" s="657">
        <v>301711</v>
      </c>
    </row>
    <row r="236" spans="8:9" x14ac:dyDescent="0.25">
      <c r="H236" s="653">
        <v>42979</v>
      </c>
      <c r="I236" s="657">
        <v>306188</v>
      </c>
    </row>
    <row r="237" spans="8:9" x14ac:dyDescent="0.25">
      <c r="H237" s="653">
        <v>43070</v>
      </c>
      <c r="I237" s="657">
        <v>321526</v>
      </c>
    </row>
    <row r="238" spans="8:9" x14ac:dyDescent="0.25">
      <c r="H238" s="653">
        <v>43160</v>
      </c>
      <c r="I238" s="657">
        <v>299961</v>
      </c>
    </row>
    <row r="239" spans="8:9" x14ac:dyDescent="0.25">
      <c r="H239" s="653">
        <v>43252</v>
      </c>
      <c r="I239" s="657">
        <v>311050</v>
      </c>
    </row>
    <row r="240" spans="8:9" x14ac:dyDescent="0.25">
      <c r="H240" s="653">
        <v>43344</v>
      </c>
      <c r="I240" s="657">
        <v>313922</v>
      </c>
    </row>
    <row r="241" spans="8:9" x14ac:dyDescent="0.25">
      <c r="H241" s="653">
        <v>43435</v>
      </c>
      <c r="I241" s="657">
        <v>327148</v>
      </c>
    </row>
    <row r="242" spans="8:9" x14ac:dyDescent="0.25">
      <c r="H242" s="653">
        <v>43525</v>
      </c>
      <c r="I242" s="657">
        <v>304299</v>
      </c>
    </row>
    <row r="243" spans="8:9" x14ac:dyDescent="0.25">
      <c r="H243" s="653">
        <v>43617</v>
      </c>
      <c r="I243" s="657">
        <v>314344</v>
      </c>
    </row>
    <row r="244" spans="8:9" x14ac:dyDescent="0.25">
      <c r="H244" s="653">
        <v>43709</v>
      </c>
      <c r="I244" s="657">
        <v>316299</v>
      </c>
    </row>
    <row r="245" spans="8:9" x14ac:dyDescent="0.25">
      <c r="H245" s="653">
        <v>43800</v>
      </c>
      <c r="I245" s="657">
        <v>329681</v>
      </c>
    </row>
    <row r="246" spans="8:9" x14ac:dyDescent="0.25">
      <c r="H246" s="653">
        <v>43891</v>
      </c>
      <c r="I246" s="657">
        <v>301751</v>
      </c>
    </row>
    <row r="247" spans="8:9" x14ac:dyDescent="0.25">
      <c r="H247" s="653">
        <v>43983</v>
      </c>
      <c r="I247" s="657">
        <v>270736</v>
      </c>
    </row>
    <row r="248" spans="8:9" x14ac:dyDescent="0.25">
      <c r="H248" s="653">
        <v>44075</v>
      </c>
      <c r="I248" s="657">
        <v>293655</v>
      </c>
    </row>
    <row r="249" spans="8:9" x14ac:dyDescent="0.25">
      <c r="H249" s="653">
        <v>44166</v>
      </c>
      <c r="I249" s="657">
        <v>320215</v>
      </c>
    </row>
    <row r="250" spans="8:9" x14ac:dyDescent="0.25">
      <c r="H250" s="653">
        <v>44256</v>
      </c>
      <c r="I250" s="657">
        <v>301186</v>
      </c>
    </row>
    <row r="251" spans="8:9" x14ac:dyDescent="0.25">
      <c r="H251" s="653">
        <v>44348</v>
      </c>
      <c r="I251" s="657">
        <v>312190</v>
      </c>
    </row>
    <row r="252" spans="8:9" x14ac:dyDescent="0.25">
      <c r="H252" s="653">
        <v>44440</v>
      </c>
      <c r="I252" s="657">
        <v>300207</v>
      </c>
    </row>
    <row r="253" spans="8:9" x14ac:dyDescent="0.25">
      <c r="H253" s="653">
        <v>44531</v>
      </c>
      <c r="I253" s="657">
        <v>333547</v>
      </c>
    </row>
    <row r="254" spans="8:9" x14ac:dyDescent="0.25">
      <c r="H254" s="653">
        <v>44621</v>
      </c>
      <c r="I254" s="657">
        <v>316103</v>
      </c>
    </row>
    <row r="255" spans="8:9" x14ac:dyDescent="0.25">
      <c r="H255" s="653">
        <v>44713</v>
      </c>
      <c r="I255" s="657">
        <v>330173</v>
      </c>
    </row>
    <row r="256" spans="8:9" x14ac:dyDescent="0.25">
      <c r="H256" s="653">
        <v>44805</v>
      </c>
      <c r="I256" s="657">
        <v>337238</v>
      </c>
    </row>
    <row r="257" spans="8:9" x14ac:dyDescent="0.25">
      <c r="H257" s="653">
        <v>44896</v>
      </c>
      <c r="I257" s="657">
        <v>355236</v>
      </c>
    </row>
    <row r="258" spans="8:9" x14ac:dyDescent="0.25">
      <c r="H258" s="653">
        <v>44986</v>
      </c>
      <c r="I258" s="657">
        <v>331078</v>
      </c>
    </row>
    <row r="259" spans="8:9" x14ac:dyDescent="0.25">
      <c r="H259" s="653">
        <v>45078</v>
      </c>
      <c r="I259" s="657">
        <v>340720</v>
      </c>
    </row>
    <row r="260" spans="8:9" x14ac:dyDescent="0.25">
      <c r="H260" s="653">
        <v>45170</v>
      </c>
      <c r="I260" s="657">
        <v>344158</v>
      </c>
    </row>
    <row r="261" spans="8:9" x14ac:dyDescent="0.25">
      <c r="H261" s="653">
        <v>45261</v>
      </c>
      <c r="I261" s="657">
        <v>358548</v>
      </c>
    </row>
    <row r="262" spans="8:9" x14ac:dyDescent="0.25">
      <c r="H262" s="653">
        <v>45352</v>
      </c>
      <c r="I262" s="657">
        <v>333741</v>
      </c>
    </row>
    <row r="263" spans="8:9" x14ac:dyDescent="0.25">
      <c r="H263" s="653">
        <v>45444</v>
      </c>
      <c r="I263" s="657">
        <v>341968</v>
      </c>
    </row>
    <row r="264" spans="8:9" x14ac:dyDescent="0.25">
      <c r="H264" s="653">
        <v>45536</v>
      </c>
      <c r="I264" s="657">
        <v>345687</v>
      </c>
    </row>
    <row r="265" spans="8:9" x14ac:dyDescent="0.25">
      <c r="H265" s="653">
        <v>45627</v>
      </c>
      <c r="I265" s="657">
        <v>361930</v>
      </c>
    </row>
    <row r="266" spans="8:9" x14ac:dyDescent="0.25">
      <c r="H266" s="653">
        <v>45717</v>
      </c>
      <c r="I266" s="657">
        <v>337328</v>
      </c>
    </row>
    <row r="267" spans="8:9" x14ac:dyDescent="0.25">
      <c r="H267" s="653">
        <v>45809</v>
      </c>
      <c r="I267" s="657">
        <v>349501</v>
      </c>
    </row>
    <row r="268" spans="8:9" x14ac:dyDescent="0.25">
      <c r="H268" s="653">
        <v>45901</v>
      </c>
      <c r="I268" s="657">
        <v>355176</v>
      </c>
    </row>
    <row r="269" spans="8:9" x14ac:dyDescent="0.25">
      <c r="H269" s="653">
        <v>45992</v>
      </c>
      <c r="I269" s="657">
        <v>371048</v>
      </c>
    </row>
    <row r="270" spans="8:9" x14ac:dyDescent="0.25">
      <c r="H270" s="653">
        <v>46082</v>
      </c>
      <c r="I270" s="657">
        <v>345803</v>
      </c>
    </row>
  </sheetData>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8B06-0326-41F1-8B1B-06B3221C2333}">
  <dimension ref="B2:M26"/>
  <sheetViews>
    <sheetView showGridLines="0" workbookViewId="0">
      <selection activeCell="N16" sqref="N16"/>
    </sheetView>
  </sheetViews>
  <sheetFormatPr defaultRowHeight="15" x14ac:dyDescent="0.25"/>
  <cols>
    <col min="2" max="2" width="12.28515625" customWidth="1"/>
  </cols>
  <sheetData>
    <row r="2" spans="3:13" x14ac:dyDescent="0.25">
      <c r="D2" t="s">
        <v>1295</v>
      </c>
    </row>
    <row r="3" spans="3:13" x14ac:dyDescent="0.25">
      <c r="D3" t="s">
        <v>1296</v>
      </c>
      <c r="J3" s="51"/>
      <c r="K3" s="51"/>
      <c r="L3" s="51"/>
      <c r="M3" s="51"/>
    </row>
    <row r="4" spans="3:13" x14ac:dyDescent="0.25">
      <c r="D4" s="57">
        <v>18932.871008412618</v>
      </c>
    </row>
    <row r="5" spans="3:13" x14ac:dyDescent="0.25">
      <c r="D5" s="57">
        <v>8219.5153722706855</v>
      </c>
    </row>
    <row r="10" spans="3:13" x14ac:dyDescent="0.25">
      <c r="D10" t="s">
        <v>1294</v>
      </c>
    </row>
    <row r="11" spans="3:13" x14ac:dyDescent="0.25">
      <c r="D11" s="51">
        <v>0.05</v>
      </c>
      <c r="E11" s="51">
        <v>0.1</v>
      </c>
      <c r="F11" s="51">
        <v>0.15</v>
      </c>
      <c r="G11" s="51">
        <v>0.2</v>
      </c>
      <c r="H11" s="51">
        <v>0.25</v>
      </c>
      <c r="I11" s="51">
        <v>0.3</v>
      </c>
    </row>
    <row r="12" spans="3:13" x14ac:dyDescent="0.25">
      <c r="C12" s="51">
        <v>0.05</v>
      </c>
      <c r="D12" s="442">
        <f t="shared" ref="D12:I17" si="0">D$11*$C12*$D$4</f>
        <v>47.332177521031554</v>
      </c>
      <c r="E12" s="442">
        <f t="shared" si="0"/>
        <v>94.664355042063107</v>
      </c>
      <c r="F12" s="442">
        <f t="shared" si="0"/>
        <v>141.99653256309463</v>
      </c>
      <c r="G12" s="442">
        <f t="shared" si="0"/>
        <v>189.32871008412621</v>
      </c>
      <c r="H12" s="442">
        <f t="shared" si="0"/>
        <v>236.66088760515774</v>
      </c>
      <c r="I12" s="442">
        <f t="shared" si="0"/>
        <v>283.99306512618926</v>
      </c>
    </row>
    <row r="13" spans="3:13" x14ac:dyDescent="0.25">
      <c r="C13" s="51">
        <v>0.1</v>
      </c>
      <c r="D13" s="442">
        <f t="shared" si="0"/>
        <v>94.664355042063107</v>
      </c>
      <c r="E13" s="442">
        <f t="shared" si="0"/>
        <v>189.32871008412621</v>
      </c>
      <c r="F13" s="442">
        <f t="shared" si="0"/>
        <v>283.99306512618926</v>
      </c>
      <c r="G13" s="442">
        <f t="shared" si="0"/>
        <v>378.65742016825243</v>
      </c>
      <c r="H13" s="442">
        <f t="shared" si="0"/>
        <v>473.32177521031548</v>
      </c>
      <c r="I13" s="442">
        <f t="shared" si="0"/>
        <v>567.98613025237853</v>
      </c>
    </row>
    <row r="14" spans="3:13" x14ac:dyDescent="0.25">
      <c r="C14" s="51">
        <v>0.15</v>
      </c>
      <c r="D14" s="442">
        <f t="shared" si="0"/>
        <v>141.99653256309463</v>
      </c>
      <c r="E14" s="442">
        <f t="shared" si="0"/>
        <v>283.99306512618926</v>
      </c>
      <c r="F14" s="442">
        <f t="shared" si="0"/>
        <v>425.98959768928387</v>
      </c>
      <c r="G14" s="442">
        <f t="shared" si="0"/>
        <v>567.98613025237853</v>
      </c>
      <c r="H14" s="442">
        <f t="shared" si="0"/>
        <v>709.98266281547319</v>
      </c>
      <c r="I14" s="442">
        <f t="shared" si="0"/>
        <v>851.97919537856774</v>
      </c>
    </row>
    <row r="15" spans="3:13" x14ac:dyDescent="0.25">
      <c r="C15" s="51">
        <v>0.2</v>
      </c>
      <c r="D15" s="442">
        <f t="shared" si="0"/>
        <v>189.32871008412621</v>
      </c>
      <c r="E15" s="442">
        <f t="shared" si="0"/>
        <v>378.65742016825243</v>
      </c>
      <c r="F15" s="442">
        <f t="shared" si="0"/>
        <v>567.98613025237853</v>
      </c>
      <c r="G15" s="442">
        <f t="shared" si="0"/>
        <v>757.31484033650486</v>
      </c>
      <c r="H15" s="442">
        <f t="shared" si="0"/>
        <v>946.64355042063096</v>
      </c>
      <c r="I15" s="442">
        <f t="shared" si="0"/>
        <v>1135.9722605047571</v>
      </c>
    </row>
    <row r="16" spans="3:13" x14ac:dyDescent="0.25">
      <c r="C16" s="51">
        <v>0.25</v>
      </c>
      <c r="D16" s="442">
        <f t="shared" si="0"/>
        <v>236.66088760515774</v>
      </c>
      <c r="E16" s="442">
        <f t="shared" si="0"/>
        <v>473.32177521031548</v>
      </c>
      <c r="F16" s="442">
        <f t="shared" si="0"/>
        <v>709.98266281547319</v>
      </c>
      <c r="G16" s="442">
        <f t="shared" si="0"/>
        <v>946.64355042063096</v>
      </c>
      <c r="H16" s="442">
        <f t="shared" si="0"/>
        <v>1183.3044380257886</v>
      </c>
      <c r="I16" s="442">
        <f t="shared" si="0"/>
        <v>1419.9653256309464</v>
      </c>
    </row>
    <row r="17" spans="2:9" x14ac:dyDescent="0.25">
      <c r="C17" s="51">
        <v>0.3</v>
      </c>
      <c r="D17" s="442">
        <f t="shared" si="0"/>
        <v>283.99306512618926</v>
      </c>
      <c r="E17" s="442">
        <f t="shared" si="0"/>
        <v>567.98613025237853</v>
      </c>
      <c r="F17" s="442">
        <f t="shared" si="0"/>
        <v>851.97919537856774</v>
      </c>
      <c r="G17" s="442">
        <f t="shared" si="0"/>
        <v>1135.9722605047571</v>
      </c>
      <c r="H17" s="442">
        <f t="shared" si="0"/>
        <v>1419.9653256309464</v>
      </c>
      <c r="I17" s="442">
        <f t="shared" si="0"/>
        <v>1703.9583907571355</v>
      </c>
    </row>
    <row r="19" spans="2:9" x14ac:dyDescent="0.25">
      <c r="B19" s="405"/>
      <c r="C19" s="606"/>
      <c r="D19" s="615" t="s">
        <v>1294</v>
      </c>
      <c r="E19" s="607"/>
      <c r="F19" s="607"/>
      <c r="G19" s="607"/>
      <c r="H19" s="607"/>
      <c r="I19" s="607"/>
    </row>
    <row r="20" spans="2:9" x14ac:dyDescent="0.25">
      <c r="B20" s="405"/>
      <c r="C20" s="612"/>
      <c r="D20" s="613">
        <v>0.05</v>
      </c>
      <c r="E20" s="613">
        <v>0.1</v>
      </c>
      <c r="F20" s="613">
        <v>0.15</v>
      </c>
      <c r="G20" s="613">
        <v>0.2</v>
      </c>
      <c r="H20" s="613">
        <v>0.25</v>
      </c>
      <c r="I20" s="613">
        <v>0.3</v>
      </c>
    </row>
    <row r="21" spans="2:9" x14ac:dyDescent="0.25">
      <c r="B21" s="701" t="s">
        <v>1295</v>
      </c>
      <c r="C21" s="614">
        <v>0.05</v>
      </c>
      <c r="D21" s="608">
        <f t="shared" ref="D21:I26" si="1">D12/$D$5</f>
        <v>5.7585119532364577E-3</v>
      </c>
      <c r="E21" s="609">
        <f t="shared" si="1"/>
        <v>1.1517023906472915E-2</v>
      </c>
      <c r="F21" s="609">
        <f t="shared" si="1"/>
        <v>1.7275535859709368E-2</v>
      </c>
      <c r="G21" s="609">
        <f t="shared" si="1"/>
        <v>2.3034047812945831E-2</v>
      </c>
      <c r="H21" s="609">
        <f t="shared" si="1"/>
        <v>2.8792559766182283E-2</v>
      </c>
      <c r="I21" s="609">
        <f t="shared" si="1"/>
        <v>3.4551071719418736E-2</v>
      </c>
    </row>
    <row r="22" spans="2:9" x14ac:dyDescent="0.25">
      <c r="B22" s="701"/>
      <c r="C22" s="614">
        <v>0.1</v>
      </c>
      <c r="D22" s="610">
        <f t="shared" si="1"/>
        <v>1.1517023906472915E-2</v>
      </c>
      <c r="E22" s="611">
        <f t="shared" si="1"/>
        <v>2.3034047812945831E-2</v>
      </c>
      <c r="F22" s="611">
        <f t="shared" si="1"/>
        <v>3.4551071719418736E-2</v>
      </c>
      <c r="G22" s="611">
        <f t="shared" si="1"/>
        <v>4.6068095625891661E-2</v>
      </c>
      <c r="H22" s="611">
        <f t="shared" si="1"/>
        <v>5.7585119532364566E-2</v>
      </c>
      <c r="I22" s="611">
        <f t="shared" si="1"/>
        <v>6.9102143438837471E-2</v>
      </c>
    </row>
    <row r="23" spans="2:9" x14ac:dyDescent="0.25">
      <c r="B23" s="701"/>
      <c r="C23" s="614">
        <v>0.15</v>
      </c>
      <c r="D23" s="610">
        <f t="shared" si="1"/>
        <v>1.7275535859709368E-2</v>
      </c>
      <c r="E23" s="611">
        <f t="shared" si="1"/>
        <v>3.4551071719418736E-2</v>
      </c>
      <c r="F23" s="611">
        <f t="shared" si="1"/>
        <v>5.1826607579128103E-2</v>
      </c>
      <c r="G23" s="611">
        <f t="shared" si="1"/>
        <v>6.9102143438837471E-2</v>
      </c>
      <c r="H23" s="611">
        <f t="shared" si="1"/>
        <v>8.6377679298546853E-2</v>
      </c>
      <c r="I23" s="611">
        <f t="shared" si="1"/>
        <v>0.10365321515825621</v>
      </c>
    </row>
    <row r="24" spans="2:9" x14ac:dyDescent="0.25">
      <c r="B24" s="701"/>
      <c r="C24" s="614">
        <v>0.2</v>
      </c>
      <c r="D24" s="610">
        <f t="shared" si="1"/>
        <v>2.3034047812945831E-2</v>
      </c>
      <c r="E24" s="611">
        <f t="shared" si="1"/>
        <v>4.6068095625891661E-2</v>
      </c>
      <c r="F24" s="611">
        <f t="shared" si="1"/>
        <v>6.9102143438837471E-2</v>
      </c>
      <c r="G24" s="611">
        <f t="shared" si="1"/>
        <v>9.2136191251783323E-2</v>
      </c>
      <c r="H24" s="611">
        <f t="shared" si="1"/>
        <v>0.11517023906472913</v>
      </c>
      <c r="I24" s="611">
        <f t="shared" si="1"/>
        <v>0.13820428687767494</v>
      </c>
    </row>
    <row r="25" spans="2:9" x14ac:dyDescent="0.25">
      <c r="B25" s="701"/>
      <c r="C25" s="614">
        <v>0.25</v>
      </c>
      <c r="D25" s="610">
        <f t="shared" si="1"/>
        <v>2.8792559766182283E-2</v>
      </c>
      <c r="E25" s="611">
        <f t="shared" si="1"/>
        <v>5.7585119532364566E-2</v>
      </c>
      <c r="F25" s="611">
        <f t="shared" si="1"/>
        <v>8.6377679298546853E-2</v>
      </c>
      <c r="G25" s="611">
        <f t="shared" si="1"/>
        <v>0.11517023906472913</v>
      </c>
      <c r="H25" s="611">
        <f t="shared" si="1"/>
        <v>0.1439627988309114</v>
      </c>
      <c r="I25" s="611">
        <f t="shared" si="1"/>
        <v>0.17275535859709371</v>
      </c>
    </row>
    <row r="26" spans="2:9" x14ac:dyDescent="0.25">
      <c r="B26" s="701"/>
      <c r="C26" s="614">
        <v>0.3</v>
      </c>
      <c r="D26" s="610">
        <f t="shared" si="1"/>
        <v>3.4551071719418736E-2</v>
      </c>
      <c r="E26" s="611">
        <f t="shared" si="1"/>
        <v>6.9102143438837471E-2</v>
      </c>
      <c r="F26" s="611">
        <f t="shared" si="1"/>
        <v>0.10365321515825621</v>
      </c>
      <c r="G26" s="611">
        <f t="shared" si="1"/>
        <v>0.13820428687767494</v>
      </c>
      <c r="H26" s="611">
        <f t="shared" si="1"/>
        <v>0.17275535859709371</v>
      </c>
      <c r="I26" s="611">
        <f t="shared" si="1"/>
        <v>0.20730643031651241</v>
      </c>
    </row>
  </sheetData>
  <mergeCells count="1">
    <mergeCell ref="B21:B26"/>
  </mergeCell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0A89B-F514-42E2-9EDD-8451D2CB32AE}">
  <dimension ref="B1:N46"/>
  <sheetViews>
    <sheetView showGridLines="0" workbookViewId="0">
      <selection activeCell="N35" sqref="N35"/>
    </sheetView>
  </sheetViews>
  <sheetFormatPr defaultColWidth="9" defaultRowHeight="15" x14ac:dyDescent="0.25"/>
  <cols>
    <col min="2" max="2" width="10.7109375" bestFit="1" customWidth="1"/>
    <col min="4" max="4" width="26.5703125" customWidth="1"/>
    <col min="5" max="5" width="10" bestFit="1" customWidth="1"/>
    <col min="6" max="7" width="12.28515625" customWidth="1"/>
  </cols>
  <sheetData>
    <row r="1" spans="2:9" s="617" customFormat="1" ht="20.25" x14ac:dyDescent="0.2">
      <c r="D1" s="616" t="s">
        <v>1297</v>
      </c>
      <c r="E1" s="618"/>
      <c r="F1" s="618"/>
      <c r="G1" s="618"/>
    </row>
    <row r="2" spans="2:9" s="617" customFormat="1" ht="20.25" x14ac:dyDescent="0.2">
      <c r="D2" s="616" t="s">
        <v>1298</v>
      </c>
      <c r="E2" s="619"/>
      <c r="F2" s="619"/>
      <c r="G2" s="619"/>
    </row>
    <row r="3" spans="2:9" s="620" customFormat="1" ht="20.25" x14ac:dyDescent="0.25">
      <c r="D3" s="621"/>
      <c r="E3" s="619"/>
      <c r="F3" s="619"/>
      <c r="G3" s="619"/>
    </row>
    <row r="4" spans="2:9" s="617" customFormat="1" ht="20.25" x14ac:dyDescent="0.2">
      <c r="D4" s="622"/>
      <c r="E4" s="619"/>
      <c r="F4" s="619"/>
      <c r="G4" s="619"/>
    </row>
    <row r="5" spans="2:9" s="617" customFormat="1" ht="30.75" thickBot="1" x14ac:dyDescent="0.25">
      <c r="D5" s="623">
        <v>1</v>
      </c>
      <c r="E5" s="624"/>
      <c r="F5" s="624"/>
      <c r="G5" s="619"/>
    </row>
    <row r="6" spans="2:9" ht="15.75" thickBot="1" x14ac:dyDescent="0.3"/>
    <row r="7" spans="2:9" s="625" customFormat="1" thickBot="1" x14ac:dyDescent="0.25">
      <c r="E7" s="626"/>
      <c r="F7" s="626"/>
      <c r="G7" s="627"/>
    </row>
    <row r="8" spans="2:9" ht="26.25" thickBot="1" x14ac:dyDescent="0.3">
      <c r="D8" s="628" t="s">
        <v>1299</v>
      </c>
      <c r="E8" s="629" t="s">
        <v>1300</v>
      </c>
      <c r="F8" s="629" t="s">
        <v>1301</v>
      </c>
      <c r="G8" s="630"/>
    </row>
    <row r="9" spans="2:9" x14ac:dyDescent="0.25">
      <c r="B9" s="205">
        <v>39903</v>
      </c>
      <c r="D9" s="631" t="s">
        <v>1302</v>
      </c>
      <c r="E9" s="632">
        <v>783.31</v>
      </c>
      <c r="F9" s="632">
        <v>33.08</v>
      </c>
      <c r="G9" s="633"/>
    </row>
    <row r="10" spans="2:9" x14ac:dyDescent="0.25">
      <c r="B10" s="205">
        <v>40268</v>
      </c>
      <c r="D10" s="634" t="s">
        <v>1303</v>
      </c>
      <c r="E10" s="635">
        <v>607.76</v>
      </c>
      <c r="F10" s="635">
        <v>22.95</v>
      </c>
      <c r="G10" s="635"/>
      <c r="H10" s="51">
        <f>E10/E9-1</f>
        <v>-0.22411305868685449</v>
      </c>
      <c r="I10" s="51">
        <f>F10/F9-1</f>
        <v>-0.30622732769044736</v>
      </c>
    </row>
    <row r="11" spans="2:9" x14ac:dyDescent="0.25">
      <c r="B11" s="205">
        <f>EOMONTH(B10,12)</f>
        <v>40633</v>
      </c>
      <c r="D11" s="634" t="s">
        <v>1304</v>
      </c>
      <c r="E11" s="635">
        <v>638.18000000000006</v>
      </c>
      <c r="F11" s="635">
        <v>12.69</v>
      </c>
      <c r="G11" s="635"/>
      <c r="H11" s="51">
        <f t="shared" ref="H11:H25" si="0">E11/E10-1</f>
        <v>5.0052652362774896E-2</v>
      </c>
      <c r="I11" s="51">
        <f t="shared" ref="I11:I25" si="1">F11/F10-1</f>
        <v>-0.44705882352941173</v>
      </c>
    </row>
    <row r="12" spans="2:9" x14ac:dyDescent="0.25">
      <c r="B12" s="205">
        <f t="shared" ref="B12:B25" si="2">EOMONTH(B11,12)</f>
        <v>40999</v>
      </c>
      <c r="D12" s="634" t="s">
        <v>1305</v>
      </c>
      <c r="E12" s="635">
        <v>687.92</v>
      </c>
      <c r="F12" s="635">
        <v>20.239999999999998</v>
      </c>
      <c r="G12" s="635"/>
      <c r="H12" s="51">
        <f t="shared" si="0"/>
        <v>7.7940392992572383E-2</v>
      </c>
      <c r="I12" s="51">
        <f t="shared" si="1"/>
        <v>0.59495665878644588</v>
      </c>
    </row>
    <row r="13" spans="2:9" x14ac:dyDescent="0.25">
      <c r="B13" s="205">
        <f t="shared" si="2"/>
        <v>41364</v>
      </c>
      <c r="D13" s="634" t="s">
        <v>1306</v>
      </c>
      <c r="E13" s="635">
        <v>887.66000000000008</v>
      </c>
      <c r="F13" s="635">
        <v>42.49</v>
      </c>
      <c r="G13" s="635"/>
      <c r="H13" s="51">
        <f t="shared" si="0"/>
        <v>0.29035352948017223</v>
      </c>
      <c r="I13" s="51">
        <f t="shared" si="1"/>
        <v>1.0993083003952573</v>
      </c>
    </row>
    <row r="14" spans="2:9" x14ac:dyDescent="0.25">
      <c r="B14" s="205">
        <f t="shared" si="2"/>
        <v>41729</v>
      </c>
      <c r="D14" s="634" t="s">
        <v>1307</v>
      </c>
      <c r="E14" s="635">
        <v>1102.8499999999999</v>
      </c>
      <c r="F14" s="635">
        <v>27.49</v>
      </c>
      <c r="G14" s="635"/>
      <c r="H14" s="51">
        <f t="shared" si="0"/>
        <v>0.24242390104319189</v>
      </c>
      <c r="I14" s="51">
        <f t="shared" si="1"/>
        <v>-0.35302424099788188</v>
      </c>
    </row>
    <row r="15" spans="2:9" x14ac:dyDescent="0.25">
      <c r="B15" s="205">
        <f t="shared" si="2"/>
        <v>42094</v>
      </c>
      <c r="D15" s="634" t="s">
        <v>1308</v>
      </c>
      <c r="E15" s="635">
        <v>1251.3925760878753</v>
      </c>
      <c r="F15" s="635">
        <v>915.37932435938751</v>
      </c>
      <c r="G15" s="635"/>
      <c r="H15" s="51">
        <f t="shared" si="0"/>
        <v>0.13468973667123851</v>
      </c>
      <c r="I15" s="51">
        <f t="shared" si="1"/>
        <v>32.298629478333488</v>
      </c>
    </row>
    <row r="16" spans="2:9" x14ac:dyDescent="0.25">
      <c r="B16" s="205">
        <f t="shared" si="2"/>
        <v>42460</v>
      </c>
      <c r="D16" s="634" t="s">
        <v>1309</v>
      </c>
      <c r="E16" s="635">
        <v>1743.9130597481492</v>
      </c>
      <c r="F16" s="635">
        <v>2364.4358893444723</v>
      </c>
      <c r="G16" s="635"/>
      <c r="H16" s="51">
        <f t="shared" si="0"/>
        <v>0.39357791717128432</v>
      </c>
      <c r="I16" s="51">
        <f t="shared" si="1"/>
        <v>1.5830121201384815</v>
      </c>
    </row>
    <row r="17" spans="2:10" x14ac:dyDescent="0.25">
      <c r="B17" s="205">
        <f t="shared" si="2"/>
        <v>42825</v>
      </c>
      <c r="D17" s="637" t="s">
        <v>1310</v>
      </c>
      <c r="E17" s="635">
        <v>1952.9929745037095</v>
      </c>
      <c r="F17" s="635">
        <v>2661.0391678523406</v>
      </c>
      <c r="G17" s="635"/>
      <c r="H17" s="51">
        <f t="shared" si="0"/>
        <v>0.11989124892828951</v>
      </c>
      <c r="I17" s="51">
        <f t="shared" si="1"/>
        <v>0.12544356979376592</v>
      </c>
    </row>
    <row r="18" spans="2:10" x14ac:dyDescent="0.25">
      <c r="B18" s="205">
        <f t="shared" si="2"/>
        <v>43190</v>
      </c>
      <c r="D18" s="637" t="s">
        <v>1311</v>
      </c>
      <c r="E18" s="638">
        <v>2251.6105419999999</v>
      </c>
      <c r="F18" s="639">
        <v>2931.125219</v>
      </c>
      <c r="G18" s="639"/>
      <c r="H18" s="51">
        <f t="shared" si="0"/>
        <v>0.15290253031871481</v>
      </c>
      <c r="I18" s="51">
        <f t="shared" si="1"/>
        <v>0.10149645838006927</v>
      </c>
    </row>
    <row r="19" spans="2:10" x14ac:dyDescent="0.25">
      <c r="B19" s="205">
        <f t="shared" si="2"/>
        <v>43555</v>
      </c>
      <c r="D19" s="637" t="s">
        <v>1312</v>
      </c>
      <c r="E19" s="638">
        <v>2020.857424</v>
      </c>
      <c r="F19" s="639">
        <v>3108.4326600000004</v>
      </c>
      <c r="G19" s="639"/>
      <c r="H19" s="51">
        <f t="shared" si="0"/>
        <v>-0.10248358394832913</v>
      </c>
      <c r="I19" s="51">
        <f t="shared" si="1"/>
        <v>6.0491254297382557E-2</v>
      </c>
    </row>
    <row r="20" spans="2:10" x14ac:dyDescent="0.25">
      <c r="B20" s="205">
        <f t="shared" si="2"/>
        <v>43921</v>
      </c>
      <c r="D20" s="637" t="s">
        <v>1313</v>
      </c>
      <c r="E20" s="638">
        <v>2325.8148958739976</v>
      </c>
      <c r="F20" s="639">
        <v>3232.1454956631646</v>
      </c>
      <c r="G20" s="639"/>
      <c r="H20" s="51">
        <f t="shared" si="0"/>
        <v>0.15090499124395307</v>
      </c>
      <c r="I20" s="51">
        <f t="shared" si="1"/>
        <v>3.9799104305886512E-2</v>
      </c>
    </row>
    <row r="21" spans="2:10" x14ac:dyDescent="0.25">
      <c r="B21" s="205">
        <f t="shared" si="2"/>
        <v>44286</v>
      </c>
      <c r="D21" s="637" t="s">
        <v>1314</v>
      </c>
      <c r="E21" s="638">
        <v>2639.5186691569397</v>
      </c>
      <c r="F21" s="639">
        <v>4014.1247796119897</v>
      </c>
      <c r="G21" s="639"/>
      <c r="H21" s="51">
        <f t="shared" si="0"/>
        <v>0.13487907994718484</v>
      </c>
      <c r="I21" s="51">
        <f t="shared" si="1"/>
        <v>0.24193814449197015</v>
      </c>
    </row>
    <row r="22" spans="2:10" x14ac:dyDescent="0.25">
      <c r="B22" s="205">
        <f t="shared" si="2"/>
        <v>44651</v>
      </c>
      <c r="D22" s="637" t="s">
        <v>1315</v>
      </c>
      <c r="E22" s="638">
        <v>2284.4768206091203</v>
      </c>
      <c r="F22" s="639">
        <v>3830.2696640149597</v>
      </c>
      <c r="G22" s="639"/>
      <c r="H22" s="51">
        <f t="shared" si="0"/>
        <v>-0.13451007287674144</v>
      </c>
      <c r="I22" s="51">
        <f t="shared" si="1"/>
        <v>-4.5802042958615119E-2</v>
      </c>
    </row>
    <row r="23" spans="2:10" ht="17.25" x14ac:dyDescent="0.25">
      <c r="B23" s="205">
        <f t="shared" si="2"/>
        <v>45016</v>
      </c>
      <c r="D23" s="637" t="s">
        <v>1316</v>
      </c>
      <c r="E23" s="638">
        <v>2314.8013667754299</v>
      </c>
      <c r="F23" s="639">
        <v>3972.2724227577501</v>
      </c>
      <c r="G23" s="639"/>
      <c r="H23" s="51">
        <f t="shared" si="0"/>
        <v>1.3274175466671645E-2</v>
      </c>
      <c r="I23" s="51">
        <f t="shared" si="1"/>
        <v>3.7073828006652709E-2</v>
      </c>
    </row>
    <row r="24" spans="2:10" ht="18" thickBot="1" x14ac:dyDescent="0.3">
      <c r="B24" s="205">
        <f t="shared" si="2"/>
        <v>45382</v>
      </c>
      <c r="D24" s="640" t="s">
        <v>1317</v>
      </c>
      <c r="E24" s="641">
        <v>2373.0804248398299</v>
      </c>
      <c r="F24" s="642">
        <v>4356.7130067581702</v>
      </c>
      <c r="G24" s="639"/>
      <c r="H24" s="51">
        <f t="shared" si="0"/>
        <v>2.5176699349190423E-2</v>
      </c>
      <c r="I24" s="51">
        <f t="shared" si="1"/>
        <v>9.6781021814591917E-2</v>
      </c>
    </row>
    <row r="25" spans="2:10" ht="18" thickBot="1" x14ac:dyDescent="0.3">
      <c r="B25" s="205">
        <f t="shared" si="2"/>
        <v>45747</v>
      </c>
      <c r="D25" s="643" t="s">
        <v>1318</v>
      </c>
      <c r="E25" s="644">
        <v>2630.6931355186798</v>
      </c>
      <c r="F25" s="645">
        <v>5005.3246340737287</v>
      </c>
      <c r="G25" s="639"/>
      <c r="H25" s="51">
        <f t="shared" si="0"/>
        <v>0.10855624949847087</v>
      </c>
      <c r="I25" s="51">
        <f t="shared" si="1"/>
        <v>0.14887637223508343</v>
      </c>
    </row>
    <row r="26" spans="2:10" x14ac:dyDescent="0.25">
      <c r="D26" s="646"/>
      <c r="E26" s="638"/>
      <c r="F26" s="639"/>
      <c r="G26" s="639"/>
    </row>
    <row r="27" spans="2:10" x14ac:dyDescent="0.25">
      <c r="D27" s="646"/>
      <c r="E27" s="647"/>
      <c r="F27" s="647"/>
      <c r="G27" s="647"/>
    </row>
    <row r="28" spans="2:10" x14ac:dyDescent="0.25">
      <c r="E28" s="648"/>
      <c r="F28" s="649"/>
      <c r="G28" s="649"/>
      <c r="J28" s="649"/>
    </row>
    <row r="29" spans="2:10" x14ac:dyDescent="0.25">
      <c r="E29" s="649"/>
      <c r="F29" s="649"/>
      <c r="G29" s="649"/>
      <c r="J29" s="636"/>
    </row>
    <row r="30" spans="2:10" x14ac:dyDescent="0.25">
      <c r="J30" s="636"/>
    </row>
    <row r="35" spans="4:14" x14ac:dyDescent="0.25">
      <c r="N35" s="652" t="s">
        <v>1319</v>
      </c>
    </row>
    <row r="36" spans="4:14" s="650" customFormat="1" x14ac:dyDescent="0.25">
      <c r="D36"/>
      <c r="E36"/>
      <c r="F36"/>
      <c r="G36"/>
    </row>
    <row r="37" spans="4:14" x14ac:dyDescent="0.25">
      <c r="D37" s="650"/>
      <c r="E37" s="650"/>
      <c r="F37" s="650"/>
      <c r="G37" s="650"/>
    </row>
    <row r="42" spans="4:14" x14ac:dyDescent="0.25">
      <c r="E42" s="636"/>
      <c r="F42" s="636"/>
      <c r="G42" s="636"/>
    </row>
    <row r="43" spans="4:14" x14ac:dyDescent="0.25">
      <c r="E43" s="636"/>
      <c r="F43" s="636"/>
      <c r="G43" s="636"/>
    </row>
    <row r="44" spans="4:14" x14ac:dyDescent="0.25">
      <c r="E44" s="636"/>
      <c r="F44" s="636"/>
      <c r="G44" s="636"/>
    </row>
    <row r="46" spans="4:14" x14ac:dyDescent="0.25">
      <c r="E46" s="651"/>
      <c r="F46" s="651"/>
      <c r="G46" s="651"/>
    </row>
  </sheetData>
  <pageMargins left="0.7" right="0.7" top="0.75" bottom="0.75" header="0.3" footer="0.3"/>
  <pageSetup paperSize="9" scale="96"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8FAB5-BA75-45C1-9BE3-ACF5A652ECB9}">
  <sheetPr>
    <tabColor theme="2" tint="0.59999389629810485"/>
  </sheetPr>
  <dimension ref="B3:U27"/>
  <sheetViews>
    <sheetView workbookViewId="0">
      <selection activeCell="R37" sqref="R37"/>
    </sheetView>
  </sheetViews>
  <sheetFormatPr defaultRowHeight="15" x14ac:dyDescent="0.25"/>
  <cols>
    <col min="1" max="1" width="2.7109375" customWidth="1"/>
    <col min="2" max="2" width="20.140625" bestFit="1" customWidth="1"/>
    <col min="11" max="11" width="2.7109375" customWidth="1"/>
  </cols>
  <sheetData>
    <row r="3" spans="2:21" x14ac:dyDescent="0.25">
      <c r="C3" s="98" t="s">
        <v>240</v>
      </c>
      <c r="L3" s="100" t="s">
        <v>243</v>
      </c>
    </row>
    <row r="5" spans="2:21" x14ac:dyDescent="0.25">
      <c r="C5" s="97" t="s">
        <v>183</v>
      </c>
      <c r="D5" s="97" t="s">
        <v>184</v>
      </c>
      <c r="E5" s="97" t="s">
        <v>185</v>
      </c>
      <c r="F5" s="97" t="s">
        <v>186</v>
      </c>
      <c r="G5" s="97" t="s">
        <v>187</v>
      </c>
      <c r="H5" s="97" t="s">
        <v>188</v>
      </c>
      <c r="I5" s="97" t="s">
        <v>189</v>
      </c>
      <c r="J5" s="97" t="s">
        <v>190</v>
      </c>
      <c r="L5" s="101" t="s">
        <v>183</v>
      </c>
      <c r="M5" s="101" t="s">
        <v>184</v>
      </c>
      <c r="N5" s="101" t="s">
        <v>185</v>
      </c>
      <c r="O5" s="101" t="s">
        <v>186</v>
      </c>
      <c r="P5" s="101" t="s">
        <v>187</v>
      </c>
      <c r="Q5" s="101" t="s">
        <v>188</v>
      </c>
      <c r="R5" s="101" t="s">
        <v>189</v>
      </c>
      <c r="S5" s="101" t="s">
        <v>190</v>
      </c>
    </row>
    <row r="7" spans="2:21" x14ac:dyDescent="0.25">
      <c r="B7" s="103" t="s">
        <v>242</v>
      </c>
      <c r="C7" s="103"/>
      <c r="D7" s="102"/>
      <c r="E7" s="102"/>
      <c r="F7" s="102"/>
      <c r="G7" s="102"/>
      <c r="H7" s="102"/>
      <c r="I7" s="102"/>
      <c r="J7" s="102"/>
      <c r="K7" s="102"/>
      <c r="L7" s="102"/>
      <c r="M7" s="102"/>
      <c r="N7" s="102"/>
      <c r="O7" s="102"/>
      <c r="P7" s="102"/>
      <c r="Q7" s="102"/>
      <c r="R7" s="102"/>
      <c r="S7" s="102"/>
      <c r="U7" t="s">
        <v>457</v>
      </c>
    </row>
    <row r="9" spans="2:21" x14ac:dyDescent="0.25">
      <c r="B9" t="s">
        <v>244</v>
      </c>
    </row>
    <row r="10" spans="2:21" x14ac:dyDescent="0.25">
      <c r="B10" t="s">
        <v>244</v>
      </c>
    </row>
    <row r="11" spans="2:21" x14ac:dyDescent="0.25">
      <c r="B11" s="99" t="s">
        <v>241</v>
      </c>
      <c r="C11" s="99"/>
      <c r="D11" s="99"/>
      <c r="E11" s="99"/>
      <c r="F11" s="99"/>
      <c r="G11" s="99"/>
      <c r="H11" s="99"/>
      <c r="I11" s="99"/>
      <c r="J11" s="99"/>
      <c r="L11" s="99"/>
      <c r="M11" s="99"/>
      <c r="N11" s="99"/>
      <c r="O11" s="99"/>
      <c r="P11" s="99"/>
      <c r="Q11" s="99"/>
      <c r="R11" s="99"/>
      <c r="S11" s="99"/>
    </row>
    <row r="13" spans="2:21" x14ac:dyDescent="0.25">
      <c r="B13" s="103" t="s">
        <v>245</v>
      </c>
      <c r="C13" s="103"/>
      <c r="D13" s="102"/>
      <c r="E13" s="102"/>
      <c r="F13" s="102"/>
      <c r="G13" s="102"/>
      <c r="H13" s="102"/>
      <c r="I13" s="102"/>
      <c r="J13" s="102"/>
      <c r="K13" s="102"/>
      <c r="L13" s="102"/>
      <c r="M13" s="102"/>
      <c r="N13" s="102"/>
      <c r="O13" s="102"/>
      <c r="P13" s="102"/>
      <c r="Q13" s="102"/>
      <c r="R13" s="102"/>
      <c r="S13" s="102"/>
    </row>
    <row r="15" spans="2:21" x14ac:dyDescent="0.25">
      <c r="B15" t="s">
        <v>244</v>
      </c>
    </row>
    <row r="16" spans="2:21" x14ac:dyDescent="0.25">
      <c r="B16" t="s">
        <v>244</v>
      </c>
    </row>
    <row r="17" spans="2:19" x14ac:dyDescent="0.25">
      <c r="B17" s="99" t="s">
        <v>241</v>
      </c>
      <c r="C17" s="99"/>
      <c r="D17" s="99"/>
      <c r="E17" s="99"/>
      <c r="F17" s="99"/>
      <c r="G17" s="99"/>
      <c r="H17" s="99"/>
      <c r="I17" s="99"/>
      <c r="J17" s="99"/>
      <c r="L17" s="99"/>
      <c r="M17" s="99"/>
      <c r="N17" s="99"/>
      <c r="O17" s="99"/>
      <c r="P17" s="99"/>
      <c r="Q17" s="99"/>
      <c r="R17" s="99"/>
      <c r="S17" s="99"/>
    </row>
    <row r="19" spans="2:19" x14ac:dyDescent="0.25">
      <c r="B19" s="103" t="s">
        <v>246</v>
      </c>
      <c r="C19" s="103"/>
      <c r="D19" s="102"/>
      <c r="E19" s="102"/>
      <c r="F19" s="102"/>
      <c r="G19" s="102"/>
      <c r="H19" s="102"/>
      <c r="I19" s="102"/>
      <c r="J19" s="102"/>
      <c r="K19" s="102"/>
      <c r="L19" s="102"/>
      <c r="M19" s="102"/>
      <c r="N19" s="102"/>
      <c r="O19" s="102"/>
      <c r="P19" s="102"/>
      <c r="Q19" s="102"/>
      <c r="R19" s="102"/>
      <c r="S19" s="102"/>
    </row>
    <row r="21" spans="2:19" x14ac:dyDescent="0.25">
      <c r="B21" t="s">
        <v>244</v>
      </c>
    </row>
    <row r="22" spans="2:19" x14ac:dyDescent="0.25">
      <c r="B22" t="s">
        <v>244</v>
      </c>
    </row>
    <row r="23" spans="2:19" x14ac:dyDescent="0.25">
      <c r="B23" s="99" t="s">
        <v>241</v>
      </c>
      <c r="C23" s="99"/>
      <c r="D23" s="99"/>
      <c r="E23" s="99"/>
      <c r="F23" s="99"/>
      <c r="G23" s="99"/>
      <c r="H23" s="99"/>
      <c r="I23" s="99"/>
      <c r="J23" s="99"/>
      <c r="L23" s="99"/>
      <c r="M23" s="99"/>
      <c r="N23" s="99"/>
      <c r="O23" s="99"/>
      <c r="P23" s="99"/>
      <c r="Q23" s="99"/>
      <c r="R23" s="99"/>
      <c r="S23" s="99"/>
    </row>
    <row r="25" spans="2:19" x14ac:dyDescent="0.25">
      <c r="B25" s="104" t="s">
        <v>247</v>
      </c>
      <c r="C25" s="104"/>
      <c r="D25" s="105"/>
      <c r="E25" s="105"/>
      <c r="F25" s="105"/>
      <c r="G25" s="105"/>
      <c r="H25" s="105"/>
      <c r="I25" s="105"/>
      <c r="J25" s="105"/>
      <c r="K25" s="105"/>
      <c r="L25" s="105"/>
      <c r="M25" s="105"/>
      <c r="N25" s="105"/>
      <c r="O25" s="105"/>
      <c r="P25" s="105"/>
      <c r="Q25" s="105"/>
      <c r="R25" s="105"/>
      <c r="S25" s="105"/>
    </row>
    <row r="27" spans="2:19" x14ac:dyDescent="0.25">
      <c r="B27" s="99" t="s">
        <v>241</v>
      </c>
      <c r="C27" s="99"/>
      <c r="D27" s="99"/>
      <c r="E27" s="99"/>
      <c r="F27" s="99"/>
      <c r="G27" s="99"/>
      <c r="H27" s="99"/>
      <c r="I27" s="99"/>
      <c r="J27" s="99"/>
      <c r="L27" s="99"/>
      <c r="M27" s="99"/>
      <c r="N27" s="99"/>
      <c r="O27" s="99"/>
      <c r="P27" s="99"/>
      <c r="Q27" s="99"/>
      <c r="R27" s="99"/>
      <c r="S27" s="99"/>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F736F-6AE8-4A9A-8389-E4C2AC835EAE}">
  <sheetPr>
    <tabColor rgb="FFFFFF00"/>
    <pageSetUpPr autoPageBreaks="0"/>
  </sheetPr>
  <dimension ref="B1:AC56"/>
  <sheetViews>
    <sheetView showGridLines="0" topLeftCell="F1" workbookViewId="0">
      <selection activeCell="V6" sqref="V6:Z6"/>
    </sheetView>
  </sheetViews>
  <sheetFormatPr defaultRowHeight="15" x14ac:dyDescent="0.25"/>
  <cols>
    <col min="2" max="2" width="25.140625" bestFit="1" customWidth="1"/>
    <col min="8" max="8" width="10.85546875" bestFit="1" customWidth="1"/>
    <col min="10" max="10" width="10.85546875" bestFit="1" customWidth="1"/>
    <col min="13" max="13" width="13.140625" bestFit="1" customWidth="1"/>
    <col min="14" max="14" width="10.85546875" bestFit="1" customWidth="1"/>
    <col min="15" max="15" width="15.42578125" bestFit="1" customWidth="1"/>
    <col min="16" max="16" width="10.85546875" bestFit="1" customWidth="1"/>
    <col min="21" max="21" width="22.28515625" customWidth="1"/>
    <col min="22" max="29" width="10.7109375" customWidth="1"/>
  </cols>
  <sheetData>
    <row r="1" spans="4:29" x14ac:dyDescent="0.25">
      <c r="V1" t="s">
        <v>308</v>
      </c>
      <c r="W1" s="161" t="s">
        <v>699</v>
      </c>
      <c r="X1" t="s">
        <v>691</v>
      </c>
      <c r="Y1" s="161" t="s">
        <v>693</v>
      </c>
      <c r="Z1" t="s">
        <v>701</v>
      </c>
      <c r="AA1" t="s">
        <v>698</v>
      </c>
      <c r="AB1" t="s">
        <v>687</v>
      </c>
    </row>
    <row r="2" spans="4:29" x14ac:dyDescent="0.25">
      <c r="V2" t="s">
        <v>696</v>
      </c>
      <c r="W2" s="161" t="s">
        <v>700</v>
      </c>
      <c r="AB2" t="s">
        <v>694</v>
      </c>
    </row>
    <row r="4" spans="4:29" x14ac:dyDescent="0.25">
      <c r="U4" s="233" t="s">
        <v>705</v>
      </c>
      <c r="V4" s="234" t="s">
        <v>183</v>
      </c>
      <c r="W4" s="234" t="s">
        <v>184</v>
      </c>
      <c r="X4" s="234" t="s">
        <v>185</v>
      </c>
      <c r="Y4" s="234" t="s">
        <v>186</v>
      </c>
      <c r="Z4" s="234" t="s">
        <v>187</v>
      </c>
      <c r="AA4" s="234" t="s">
        <v>188</v>
      </c>
      <c r="AB4" s="234" t="s">
        <v>189</v>
      </c>
      <c r="AC4" s="234" t="s">
        <v>190</v>
      </c>
    </row>
    <row r="5" spans="4:29" x14ac:dyDescent="0.25">
      <c r="U5" s="36" t="s">
        <v>302</v>
      </c>
      <c r="V5" s="227">
        <v>0.15</v>
      </c>
      <c r="W5" s="230">
        <v>0.15</v>
      </c>
      <c r="X5" s="108">
        <v>0.2</v>
      </c>
      <c r="Y5" s="227">
        <v>0.15</v>
      </c>
      <c r="Z5" s="108">
        <v>0.15</v>
      </c>
      <c r="AA5" s="108">
        <v>0.15</v>
      </c>
      <c r="AB5" s="108">
        <v>0.25</v>
      </c>
      <c r="AC5" s="40" t="s">
        <v>682</v>
      </c>
    </row>
    <row r="6" spans="4:29" x14ac:dyDescent="0.25">
      <c r="U6" s="36" t="s">
        <v>688</v>
      </c>
      <c r="V6" s="228">
        <v>44743</v>
      </c>
      <c r="W6" s="231">
        <v>45474</v>
      </c>
      <c r="X6" s="225">
        <v>44896</v>
      </c>
      <c r="Y6" s="228">
        <v>42917</v>
      </c>
      <c r="Z6" s="225">
        <v>43466</v>
      </c>
      <c r="AA6" s="225">
        <v>43831</v>
      </c>
      <c r="AB6" s="225">
        <v>45108</v>
      </c>
      <c r="AC6" s="40" t="s">
        <v>682</v>
      </c>
    </row>
    <row r="7" spans="4:29" x14ac:dyDescent="0.25">
      <c r="U7" s="36" t="s">
        <v>294</v>
      </c>
      <c r="V7" s="235">
        <v>1000000</v>
      </c>
      <c r="W7" s="236">
        <v>1000000</v>
      </c>
      <c r="X7" s="237">
        <v>300000</v>
      </c>
      <c r="Y7" s="235">
        <v>150000</v>
      </c>
      <c r="Z7" s="237">
        <v>150000</v>
      </c>
      <c r="AA7" s="237">
        <v>150000</v>
      </c>
      <c r="AB7" s="237">
        <v>150000</v>
      </c>
      <c r="AC7" s="237" t="s">
        <v>682</v>
      </c>
    </row>
    <row r="8" spans="4:29" x14ac:dyDescent="0.25">
      <c r="U8" s="36" t="s">
        <v>680</v>
      </c>
      <c r="V8" s="182" t="s">
        <v>697</v>
      </c>
      <c r="W8" s="232" t="s">
        <v>692</v>
      </c>
      <c r="X8" s="40" t="s">
        <v>692</v>
      </c>
      <c r="Y8" s="182" t="s">
        <v>697</v>
      </c>
      <c r="Z8" s="40" t="s">
        <v>682</v>
      </c>
      <c r="AA8" s="40" t="s">
        <v>692</v>
      </c>
      <c r="AB8" s="40" t="s">
        <v>692</v>
      </c>
      <c r="AC8" s="40" t="s">
        <v>682</v>
      </c>
    </row>
    <row r="9" spans="4:29" x14ac:dyDescent="0.25">
      <c r="U9" s="36" t="s">
        <v>695</v>
      </c>
      <c r="V9" s="227">
        <v>0.33</v>
      </c>
      <c r="W9" s="230">
        <v>0.5</v>
      </c>
      <c r="X9" s="108">
        <v>0.8</v>
      </c>
      <c r="Y9" s="227">
        <v>0.2</v>
      </c>
      <c r="Z9" s="108">
        <v>0.3</v>
      </c>
      <c r="AA9" s="108">
        <v>0.8</v>
      </c>
      <c r="AB9" s="108">
        <v>0.8</v>
      </c>
      <c r="AC9" s="40" t="s">
        <v>682</v>
      </c>
    </row>
    <row r="11" spans="4:29" x14ac:dyDescent="0.25">
      <c r="U11" s="229"/>
      <c r="V11" s="36" t="s">
        <v>703</v>
      </c>
      <c r="X11" s="40"/>
      <c r="Y11" s="40"/>
      <c r="Z11" s="40"/>
      <c r="AA11" s="40"/>
      <c r="AB11" s="40"/>
      <c r="AC11" s="40"/>
    </row>
    <row r="12" spans="4:29" x14ac:dyDescent="0.25">
      <c r="U12" s="182"/>
      <c r="V12" s="36" t="s">
        <v>704</v>
      </c>
    </row>
    <row r="13" spans="4:29" x14ac:dyDescent="0.25">
      <c r="V13" s="36" t="s">
        <v>706</v>
      </c>
    </row>
    <row r="15" spans="4:29" x14ac:dyDescent="0.25">
      <c r="D15" s="52"/>
      <c r="E15" s="52"/>
      <c r="F15" s="52"/>
      <c r="G15" s="52"/>
      <c r="H15" s="52"/>
      <c r="I15" s="52"/>
      <c r="J15" s="52"/>
      <c r="K15" s="52"/>
    </row>
    <row r="17" spans="2:29" ht="75" x14ac:dyDescent="0.25">
      <c r="B17" s="106"/>
      <c r="C17" s="107"/>
      <c r="D17" s="97"/>
      <c r="E17" s="97"/>
      <c r="F17" s="97"/>
      <c r="G17" s="97"/>
      <c r="H17" s="97"/>
      <c r="I17" s="97"/>
      <c r="J17" s="97"/>
      <c r="K17" s="97"/>
      <c r="M17" t="s">
        <v>313</v>
      </c>
      <c r="U17" t="s">
        <v>689</v>
      </c>
      <c r="V17" s="40"/>
      <c r="W17" s="226" t="s">
        <v>702</v>
      </c>
      <c r="X17" s="40"/>
      <c r="Y17" s="40"/>
      <c r="Z17" s="40"/>
      <c r="AA17" s="40"/>
      <c r="AB17" s="40"/>
      <c r="AC17" s="40" t="s">
        <v>690</v>
      </c>
    </row>
    <row r="18" spans="2:29" x14ac:dyDescent="0.25">
      <c r="B18" t="s">
        <v>254</v>
      </c>
      <c r="C18" s="40" t="s">
        <v>118</v>
      </c>
      <c r="D18" s="108">
        <v>0.2</v>
      </c>
      <c r="E18" s="108">
        <v>0.15</v>
      </c>
      <c r="F18" s="108">
        <v>0.1</v>
      </c>
      <c r="G18" s="108">
        <v>0.1</v>
      </c>
      <c r="H18" s="108">
        <v>0.15</v>
      </c>
      <c r="I18" s="108">
        <v>0.15</v>
      </c>
      <c r="J18" s="108">
        <v>0.15</v>
      </c>
      <c r="K18" s="108">
        <v>0</v>
      </c>
      <c r="U18" t="s">
        <v>681</v>
      </c>
      <c r="V18" s="40" t="s">
        <v>685</v>
      </c>
      <c r="W18" s="40" t="s">
        <v>685</v>
      </c>
      <c r="X18" s="40" t="s">
        <v>685</v>
      </c>
      <c r="Y18" s="40" t="s">
        <v>686</v>
      </c>
      <c r="Z18" s="40" t="s">
        <v>685</v>
      </c>
      <c r="AA18" s="40" t="s">
        <v>686</v>
      </c>
      <c r="AB18" s="40" t="s">
        <v>685</v>
      </c>
      <c r="AC18" s="40" t="s">
        <v>682</v>
      </c>
    </row>
    <row r="19" spans="2:29" x14ac:dyDescent="0.25">
      <c r="B19" s="109" t="s">
        <v>255</v>
      </c>
      <c r="C19" s="40"/>
      <c r="D19" s="47" t="s">
        <v>256</v>
      </c>
      <c r="E19" s="47" t="s">
        <v>256</v>
      </c>
      <c r="F19" s="47" t="s">
        <v>256</v>
      </c>
      <c r="G19" s="47" t="s">
        <v>256</v>
      </c>
      <c r="H19" s="47" t="s">
        <v>256</v>
      </c>
      <c r="I19" s="47" t="s">
        <v>256</v>
      </c>
      <c r="J19" s="47" t="s">
        <v>256</v>
      </c>
      <c r="K19" s="47" t="s">
        <v>257</v>
      </c>
    </row>
    <row r="20" spans="2:29" x14ac:dyDescent="0.25">
      <c r="B20" s="109" t="s">
        <v>258</v>
      </c>
      <c r="C20" s="40" t="s">
        <v>259</v>
      </c>
      <c r="D20" s="110">
        <v>44896</v>
      </c>
      <c r="E20" s="110">
        <v>43374</v>
      </c>
      <c r="F20" s="110">
        <v>44378</v>
      </c>
      <c r="G20" s="110">
        <v>43466</v>
      </c>
      <c r="H20" s="110">
        <v>43466</v>
      </c>
      <c r="I20" s="110">
        <v>42917</v>
      </c>
      <c r="J20" s="110">
        <v>43831</v>
      </c>
      <c r="K20" s="47" t="s">
        <v>257</v>
      </c>
    </row>
    <row r="21" spans="2:29" x14ac:dyDescent="0.25">
      <c r="B21" s="109" t="s">
        <v>260</v>
      </c>
      <c r="C21" s="40" t="s">
        <v>123</v>
      </c>
      <c r="D21" s="111">
        <v>0.3</v>
      </c>
      <c r="E21" s="111">
        <v>0.3</v>
      </c>
      <c r="F21" s="111">
        <v>1</v>
      </c>
      <c r="G21" s="111">
        <v>1</v>
      </c>
      <c r="H21" s="111">
        <v>0.15</v>
      </c>
      <c r="I21" s="111">
        <v>0.15</v>
      </c>
      <c r="J21" s="111">
        <v>0.15</v>
      </c>
      <c r="K21" s="47" t="s">
        <v>257</v>
      </c>
      <c r="W21" t="s">
        <v>684</v>
      </c>
    </row>
    <row r="22" spans="2:29" x14ac:dyDescent="0.25">
      <c r="W22" t="s">
        <v>683</v>
      </c>
    </row>
    <row r="23" spans="2:29" x14ac:dyDescent="0.25">
      <c r="B23" s="109" t="s">
        <v>261</v>
      </c>
      <c r="D23" s="112">
        <f>D18*80%</f>
        <v>0.16000000000000003</v>
      </c>
      <c r="E23" s="112">
        <f>E18*35%</f>
        <v>5.2499999999999998E-2</v>
      </c>
      <c r="F23" s="112">
        <v>3.5000000000000003E-2</v>
      </c>
      <c r="G23" s="112">
        <v>0.02</v>
      </c>
      <c r="H23" s="112">
        <f>H18*30%</f>
        <v>4.4999999999999998E-2</v>
      </c>
      <c r="I23" s="112">
        <f>I18*10%</f>
        <v>1.4999999999999999E-2</v>
      </c>
      <c r="J23" s="112">
        <f>J18*80%</f>
        <v>0.12</v>
      </c>
      <c r="K23" s="112">
        <v>0</v>
      </c>
    </row>
    <row r="25" spans="2:29" x14ac:dyDescent="0.25">
      <c r="B25" s="130" t="s">
        <v>294</v>
      </c>
    </row>
    <row r="27" spans="2:29" x14ac:dyDescent="0.25">
      <c r="B27" t="s">
        <v>307</v>
      </c>
    </row>
    <row r="28" spans="2:29" x14ac:dyDescent="0.25">
      <c r="O28" t="s">
        <v>301</v>
      </c>
    </row>
    <row r="29" spans="2:29" x14ac:dyDescent="0.25">
      <c r="B29" t="s">
        <v>680</v>
      </c>
      <c r="O29" t="s">
        <v>183</v>
      </c>
      <c r="P29" t="s">
        <v>299</v>
      </c>
    </row>
    <row r="30" spans="2:29" x14ac:dyDescent="0.25">
      <c r="M30" t="s">
        <v>303</v>
      </c>
      <c r="N30" t="s">
        <v>183</v>
      </c>
      <c r="O30" t="s">
        <v>300</v>
      </c>
      <c r="P30" t="s">
        <v>304</v>
      </c>
    </row>
    <row r="31" spans="2:29" x14ac:dyDescent="0.25">
      <c r="B31" s="106"/>
      <c r="C31" s="107"/>
      <c r="D31" s="97" t="s">
        <v>183</v>
      </c>
      <c r="E31" s="97" t="s">
        <v>184</v>
      </c>
      <c r="F31" s="97" t="s">
        <v>185</v>
      </c>
      <c r="G31" s="97" t="s">
        <v>186</v>
      </c>
      <c r="H31" s="97" t="s">
        <v>187</v>
      </c>
      <c r="I31" s="97" t="s">
        <v>188</v>
      </c>
      <c r="J31" s="97" t="s">
        <v>189</v>
      </c>
      <c r="K31" s="97" t="s">
        <v>190</v>
      </c>
      <c r="N31" t="s">
        <v>299</v>
      </c>
      <c r="O31" t="s">
        <v>302</v>
      </c>
    </row>
    <row r="32" spans="2:29" x14ac:dyDescent="0.25">
      <c r="B32" t="s">
        <v>254</v>
      </c>
      <c r="C32" s="40" t="s">
        <v>118</v>
      </c>
      <c r="D32" s="108">
        <v>0.15</v>
      </c>
      <c r="E32" s="108"/>
      <c r="F32" s="108">
        <v>0.2</v>
      </c>
      <c r="G32" s="108"/>
      <c r="H32" s="108"/>
      <c r="I32" s="108"/>
      <c r="J32" s="108"/>
      <c r="K32" s="108"/>
    </row>
    <row r="33" spans="2:19" x14ac:dyDescent="0.25">
      <c r="B33" s="109" t="s">
        <v>255</v>
      </c>
      <c r="C33" s="40"/>
      <c r="D33" s="47" t="s">
        <v>256</v>
      </c>
      <c r="E33" s="47"/>
      <c r="F33" s="47"/>
      <c r="G33" s="47"/>
      <c r="H33" s="47"/>
      <c r="I33" s="47"/>
      <c r="J33" s="47"/>
      <c r="K33" s="47"/>
    </row>
    <row r="34" spans="2:19" x14ac:dyDescent="0.25">
      <c r="B34" s="109" t="s">
        <v>258</v>
      </c>
      <c r="C34" s="40" t="s">
        <v>259</v>
      </c>
      <c r="D34" s="110">
        <v>44743</v>
      </c>
      <c r="E34" s="110"/>
      <c r="F34" s="110"/>
      <c r="G34" s="110"/>
      <c r="H34" s="110"/>
      <c r="I34" s="110"/>
      <c r="J34" s="110"/>
      <c r="K34" s="47"/>
    </row>
    <row r="35" spans="2:19" x14ac:dyDescent="0.25">
      <c r="B35" s="109" t="s">
        <v>294</v>
      </c>
      <c r="C35" s="40" t="s">
        <v>123</v>
      </c>
      <c r="D35" s="111">
        <v>1</v>
      </c>
      <c r="E35" s="111"/>
      <c r="F35" s="111"/>
      <c r="G35" s="111"/>
      <c r="H35" s="111"/>
      <c r="I35" s="111"/>
      <c r="J35" s="111"/>
      <c r="K35" s="47"/>
    </row>
    <row r="37" spans="2:19" x14ac:dyDescent="0.25">
      <c r="B37" s="109" t="s">
        <v>261</v>
      </c>
      <c r="F37" s="51">
        <v>0.8</v>
      </c>
    </row>
    <row r="38" spans="2:19" x14ac:dyDescent="0.25">
      <c r="B38" s="109"/>
      <c r="F38" s="51"/>
    </row>
    <row r="39" spans="2:19" x14ac:dyDescent="0.25">
      <c r="B39" s="109"/>
      <c r="F39" t="s">
        <v>312</v>
      </c>
    </row>
    <row r="40" spans="2:19" x14ac:dyDescent="0.25">
      <c r="B40" s="109"/>
      <c r="F40" s="51"/>
      <c r="S40" s="51"/>
    </row>
    <row r="41" spans="2:19" x14ac:dyDescent="0.25">
      <c r="B41" s="109"/>
      <c r="F41" s="51"/>
      <c r="S41" s="51"/>
    </row>
    <row r="42" spans="2:19" x14ac:dyDescent="0.25">
      <c r="B42" s="109"/>
      <c r="F42" s="51"/>
    </row>
    <row r="43" spans="2:19" x14ac:dyDescent="0.25">
      <c r="S43" s="51"/>
    </row>
    <row r="44" spans="2:19" ht="15" customHeight="1" x14ac:dyDescent="0.25">
      <c r="B44" s="109" t="s">
        <v>309</v>
      </c>
      <c r="D44" s="131" t="s">
        <v>308</v>
      </c>
      <c r="S44" s="51"/>
    </row>
    <row r="45" spans="2:19" x14ac:dyDescent="0.25">
      <c r="S45" s="51"/>
    </row>
    <row r="46" spans="2:19" x14ac:dyDescent="0.25">
      <c r="B46" t="s">
        <v>310</v>
      </c>
      <c r="S46" s="51"/>
    </row>
    <row r="47" spans="2:19" x14ac:dyDescent="0.25">
      <c r="B47" t="s">
        <v>311</v>
      </c>
    </row>
    <row r="48" spans="2:19" x14ac:dyDescent="0.25">
      <c r="B48" t="s">
        <v>132</v>
      </c>
    </row>
    <row r="49" spans="2:19" x14ac:dyDescent="0.25">
      <c r="B49" t="s">
        <v>131</v>
      </c>
      <c r="S49" s="51"/>
    </row>
    <row r="56" spans="2:19" x14ac:dyDescent="0.25">
      <c r="B56" t="s">
        <v>307</v>
      </c>
    </row>
  </sheetData>
  <hyperlinks>
    <hyperlink ref="D44" r:id="rId1" xr:uid="{B09F0BF9-2DA5-4732-A51B-60E1460BAF60}"/>
    <hyperlink ref="Y1" r:id="rId2" xr:uid="{21DADB1D-4031-4A6C-A971-F1CB6442E9D8}"/>
    <hyperlink ref="W1" r:id="rId3" xr:uid="{EE5A814A-D9E2-4943-AC52-8E2802E3E5BF}"/>
    <hyperlink ref="W2" r:id="rId4" xr:uid="{6D6B3B5D-06CC-479A-93E4-A8DF11CE255C}"/>
  </hyperlinks>
  <pageMargins left="0.7" right="0.7" top="0.75" bottom="0.75" header="0.3" footer="0.3"/>
  <pageSetup paperSize="9" orientation="portrait" r:id="rId5"/>
  <drawing r:id="rId6"/>
  <legacyDrawing r:id="rId7"/>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5E95-BAA7-4052-B44E-3E1BD5677095}">
  <sheetPr>
    <tabColor theme="2" tint="0.59999389629810485"/>
  </sheetPr>
  <dimension ref="B1:AD38"/>
  <sheetViews>
    <sheetView showGridLines="0" zoomScale="115" zoomScaleNormal="115" workbookViewId="0">
      <selection activeCell="L24" sqref="L24"/>
    </sheetView>
  </sheetViews>
  <sheetFormatPr defaultColWidth="8.7109375" defaultRowHeight="12.75" outlineLevelRow="1" x14ac:dyDescent="0.2"/>
  <cols>
    <col min="1" max="1" width="2.7109375" style="674" customWidth="1"/>
    <col min="2" max="2" width="24.5703125" style="674" customWidth="1"/>
    <col min="3" max="10" width="8.7109375" style="674" customWidth="1"/>
    <col min="11" max="16384" width="8.7109375" style="674"/>
  </cols>
  <sheetData>
    <row r="1" spans="2:30" x14ac:dyDescent="0.2">
      <c r="B1" s="703" t="s">
        <v>1361</v>
      </c>
      <c r="C1" s="703"/>
      <c r="D1" s="703"/>
      <c r="E1" s="703"/>
      <c r="F1" s="703"/>
      <c r="G1" s="703"/>
      <c r="H1" s="703"/>
      <c r="I1" s="703"/>
      <c r="J1" s="703"/>
    </row>
    <row r="2" spans="2:30" ht="15" customHeight="1" x14ac:dyDescent="0.2">
      <c r="B2" s="704" t="s">
        <v>1362</v>
      </c>
      <c r="C2" s="704"/>
      <c r="D2" s="704"/>
      <c r="E2" s="704"/>
      <c r="F2" s="704"/>
      <c r="G2" s="704"/>
      <c r="H2" s="704"/>
      <c r="I2" s="704"/>
      <c r="J2" s="704"/>
    </row>
    <row r="3" spans="2:30" x14ac:dyDescent="0.2">
      <c r="B3" s="705" t="s">
        <v>1363</v>
      </c>
      <c r="C3" s="705"/>
      <c r="D3" s="705"/>
      <c r="E3" s="705"/>
      <c r="F3" s="705"/>
      <c r="G3" s="705"/>
      <c r="H3" s="705"/>
      <c r="I3" s="705"/>
      <c r="J3" s="705"/>
    </row>
    <row r="5" spans="2:30" ht="15" customHeight="1" x14ac:dyDescent="0.2">
      <c r="B5" s="675"/>
      <c r="C5" s="683" t="s">
        <v>183</v>
      </c>
      <c r="D5" s="683" t="s">
        <v>184</v>
      </c>
      <c r="E5" s="683" t="s">
        <v>185</v>
      </c>
      <c r="F5" s="683" t="s">
        <v>187</v>
      </c>
      <c r="G5" s="683" t="s">
        <v>186</v>
      </c>
      <c r="H5" s="683" t="s">
        <v>188</v>
      </c>
      <c r="I5" s="683" t="s">
        <v>189</v>
      </c>
      <c r="J5" s="683" t="s">
        <v>190</v>
      </c>
      <c r="M5" s="676" t="s">
        <v>183</v>
      </c>
      <c r="N5" s="676" t="s">
        <v>184</v>
      </c>
      <c r="O5" s="676" t="s">
        <v>185</v>
      </c>
      <c r="P5" s="676" t="s">
        <v>187</v>
      </c>
      <c r="Q5" s="676" t="s">
        <v>186</v>
      </c>
      <c r="R5" s="676" t="s">
        <v>188</v>
      </c>
      <c r="S5" s="676" t="s">
        <v>189</v>
      </c>
      <c r="T5" s="676" t="s">
        <v>190</v>
      </c>
    </row>
    <row r="6" spans="2:30" ht="15" customHeight="1" x14ac:dyDescent="0.2">
      <c r="B6" s="677" t="s">
        <v>279</v>
      </c>
      <c r="C6" s="685">
        <v>0.15</v>
      </c>
      <c r="D6" s="685">
        <v>0.15</v>
      </c>
      <c r="E6" s="685">
        <v>0.2</v>
      </c>
      <c r="F6" s="685">
        <v>0.15</v>
      </c>
      <c r="G6" s="685">
        <v>0.15</v>
      </c>
      <c r="H6" s="685">
        <v>0.15</v>
      </c>
      <c r="I6" s="685">
        <v>0.25</v>
      </c>
      <c r="J6" s="686" t="s">
        <v>1364</v>
      </c>
      <c r="M6" s="678">
        <v>0.15</v>
      </c>
      <c r="N6" s="678">
        <v>0.15</v>
      </c>
      <c r="O6" s="678">
        <v>0.2</v>
      </c>
      <c r="P6" s="678">
        <v>0.15</v>
      </c>
      <c r="Q6" s="678">
        <v>0.15</v>
      </c>
      <c r="R6" s="678">
        <v>0.15</v>
      </c>
      <c r="S6" s="678">
        <v>0.25</v>
      </c>
      <c r="T6" s="679" t="s">
        <v>1364</v>
      </c>
    </row>
    <row r="7" spans="2:30" ht="15" customHeight="1" x14ac:dyDescent="0.2">
      <c r="B7" s="677" t="s">
        <v>1365</v>
      </c>
      <c r="C7" s="680">
        <v>1000000</v>
      </c>
      <c r="D7" s="680">
        <v>1000000</v>
      </c>
      <c r="E7" s="680">
        <v>300000</v>
      </c>
      <c r="F7" s="680">
        <v>150000</v>
      </c>
      <c r="G7" s="680">
        <v>150000</v>
      </c>
      <c r="H7" s="680">
        <v>150000</v>
      </c>
      <c r="I7" s="680">
        <v>150000</v>
      </c>
      <c r="J7" s="679" t="s">
        <v>257</v>
      </c>
      <c r="M7" s="680">
        <v>1000000</v>
      </c>
      <c r="N7" s="680">
        <v>1000000</v>
      </c>
      <c r="O7" s="680">
        <v>300000</v>
      </c>
      <c r="P7" s="680">
        <v>150000</v>
      </c>
      <c r="Q7" s="680">
        <v>150000</v>
      </c>
      <c r="R7" s="680">
        <v>150000</v>
      </c>
      <c r="S7" s="680">
        <v>150000</v>
      </c>
      <c r="T7" s="679" t="s">
        <v>257</v>
      </c>
    </row>
    <row r="8" spans="2:30" ht="15" hidden="1" customHeight="1" outlineLevel="1" x14ac:dyDescent="0.2">
      <c r="B8" s="677" t="s">
        <v>1367</v>
      </c>
      <c r="C8" s="679" t="s">
        <v>1368</v>
      </c>
      <c r="D8" s="679" t="s">
        <v>1368</v>
      </c>
      <c r="E8" s="679" t="s">
        <v>1369</v>
      </c>
      <c r="F8" s="679" t="s">
        <v>1368</v>
      </c>
      <c r="G8" s="679" t="s">
        <v>1370</v>
      </c>
      <c r="H8" s="679" t="s">
        <v>686</v>
      </c>
      <c r="I8" s="679" t="s">
        <v>1371</v>
      </c>
      <c r="J8" s="679" t="s">
        <v>1366</v>
      </c>
      <c r="M8" s="679" t="s">
        <v>1368</v>
      </c>
      <c r="N8" s="679" t="s">
        <v>1368</v>
      </c>
      <c r="O8" s="679" t="s">
        <v>1369</v>
      </c>
      <c r="P8" s="679" t="s">
        <v>1368</v>
      </c>
      <c r="Q8" s="679" t="s">
        <v>1370</v>
      </c>
      <c r="R8" s="679" t="s">
        <v>686</v>
      </c>
      <c r="S8" s="679" t="s">
        <v>1371</v>
      </c>
      <c r="T8" s="679" t="s">
        <v>1366</v>
      </c>
    </row>
    <row r="9" spans="2:30" ht="15" customHeight="1" collapsed="1" x14ac:dyDescent="0.2">
      <c r="B9" s="689" t="s">
        <v>1405</v>
      </c>
      <c r="C9" s="688">
        <v>44743</v>
      </c>
      <c r="D9" s="688">
        <v>45474</v>
      </c>
      <c r="E9" s="688">
        <v>44896</v>
      </c>
      <c r="F9" s="688">
        <v>43466</v>
      </c>
      <c r="G9" s="688">
        <v>42917</v>
      </c>
      <c r="H9" s="688">
        <v>43831</v>
      </c>
      <c r="I9" s="688">
        <v>45108</v>
      </c>
      <c r="J9" s="688" t="s">
        <v>257</v>
      </c>
      <c r="M9" s="687" t="s">
        <v>1372</v>
      </c>
      <c r="N9" s="687" t="s">
        <v>1373</v>
      </c>
      <c r="O9" s="687" t="s">
        <v>1374</v>
      </c>
      <c r="P9" s="687" t="s">
        <v>1375</v>
      </c>
      <c r="Q9" s="687" t="s">
        <v>1376</v>
      </c>
      <c r="R9" s="687" t="s">
        <v>1377</v>
      </c>
      <c r="S9" s="687" t="s">
        <v>1378</v>
      </c>
      <c r="T9" s="687" t="s">
        <v>257</v>
      </c>
    </row>
    <row r="10" spans="2:30" ht="15" customHeight="1" x14ac:dyDescent="0.2">
      <c r="B10" s="677" t="s">
        <v>695</v>
      </c>
      <c r="C10" s="684">
        <v>0.33</v>
      </c>
      <c r="D10" s="684">
        <v>0.5</v>
      </c>
      <c r="E10" s="684">
        <v>0.8</v>
      </c>
      <c r="F10" s="684">
        <v>0.3</v>
      </c>
      <c r="G10" s="684">
        <v>0.2</v>
      </c>
      <c r="H10" s="684">
        <v>0.8</v>
      </c>
      <c r="I10" s="684">
        <v>0</v>
      </c>
      <c r="J10" s="687" t="s">
        <v>257</v>
      </c>
      <c r="M10" s="681">
        <v>0.33</v>
      </c>
      <c r="N10" s="681">
        <v>0.5</v>
      </c>
      <c r="O10" s="681">
        <v>0.8</v>
      </c>
      <c r="P10" s="681">
        <v>0.3</v>
      </c>
      <c r="Q10" s="681">
        <v>0.2</v>
      </c>
      <c r="R10" s="681">
        <v>0.8</v>
      </c>
      <c r="S10" s="681">
        <v>0</v>
      </c>
      <c r="T10" s="679" t="s">
        <v>1366</v>
      </c>
    </row>
    <row r="11" spans="2:30" ht="15" customHeight="1" x14ac:dyDescent="0.2">
      <c r="B11" s="677" t="s">
        <v>1404</v>
      </c>
      <c r="C11" s="679" t="s">
        <v>697</v>
      </c>
      <c r="D11" s="679" t="s">
        <v>692</v>
      </c>
      <c r="E11" s="679" t="s">
        <v>692</v>
      </c>
      <c r="F11" s="679" t="s">
        <v>257</v>
      </c>
      <c r="G11" s="679" t="s">
        <v>692</v>
      </c>
      <c r="H11" s="679" t="s">
        <v>692</v>
      </c>
      <c r="I11" s="679" t="s">
        <v>692</v>
      </c>
      <c r="J11" s="687" t="s">
        <v>257</v>
      </c>
      <c r="M11" s="679"/>
      <c r="N11" s="679"/>
      <c r="O11" s="679"/>
      <c r="P11" s="679"/>
      <c r="Q11" s="679"/>
      <c r="R11" s="679"/>
      <c r="S11" s="679"/>
      <c r="T11" s="679"/>
    </row>
    <row r="12" spans="2:30" hidden="1" outlineLevel="1" x14ac:dyDescent="0.2">
      <c r="B12" s="682" t="s">
        <v>1380</v>
      </c>
      <c r="C12" s="681">
        <v>0</v>
      </c>
      <c r="D12" s="681">
        <v>0</v>
      </c>
      <c r="E12" s="681">
        <v>0</v>
      </c>
      <c r="F12" s="681">
        <v>0</v>
      </c>
      <c r="G12" s="681">
        <v>0</v>
      </c>
      <c r="H12" s="681">
        <v>0</v>
      </c>
      <c r="I12" s="681">
        <v>0</v>
      </c>
      <c r="J12" s="679" t="s">
        <v>1366</v>
      </c>
    </row>
    <row r="13" spans="2:30" outlineLevel="1" x14ac:dyDescent="0.2">
      <c r="B13" s="682"/>
      <c r="C13" s="681"/>
      <c r="D13" s="681"/>
      <c r="E13" s="681"/>
      <c r="F13" s="681"/>
      <c r="G13" s="681"/>
      <c r="H13" s="681"/>
      <c r="I13" s="681"/>
      <c r="J13" s="679"/>
    </row>
    <row r="14" spans="2:30" customFormat="1" ht="15" x14ac:dyDescent="0.25">
      <c r="V14" s="674"/>
      <c r="W14" s="674"/>
      <c r="X14" s="674"/>
      <c r="Y14" s="674"/>
      <c r="Z14" s="674"/>
      <c r="AA14" s="674"/>
      <c r="AB14" s="674"/>
      <c r="AC14" s="674"/>
      <c r="AD14" s="674"/>
    </row>
    <row r="15" spans="2:30" outlineLevel="1" x14ac:dyDescent="0.2">
      <c r="B15" s="682"/>
      <c r="C15" s="681"/>
      <c r="D15" s="681"/>
      <c r="E15" s="681"/>
      <c r="F15" s="681"/>
      <c r="G15" s="681"/>
      <c r="H15" s="681"/>
      <c r="I15" s="681"/>
      <c r="J15" s="679"/>
    </row>
    <row r="16" spans="2:30" outlineLevel="1" x14ac:dyDescent="0.2">
      <c r="B16" s="682"/>
      <c r="C16" s="681"/>
      <c r="D16" s="681"/>
      <c r="E16" s="681"/>
      <c r="F16" s="681"/>
      <c r="G16" s="681"/>
      <c r="H16" s="681"/>
      <c r="I16" s="681"/>
      <c r="J16" s="679"/>
    </row>
    <row r="17" spans="2:10" outlineLevel="1" x14ac:dyDescent="0.2">
      <c r="B17" s="682"/>
      <c r="C17" s="681"/>
      <c r="D17" s="681"/>
      <c r="E17" s="681"/>
      <c r="F17" s="681"/>
      <c r="G17" s="681"/>
      <c r="H17" s="681"/>
      <c r="I17" s="681"/>
      <c r="J17" s="679"/>
    </row>
    <row r="18" spans="2:10" outlineLevel="1" x14ac:dyDescent="0.2">
      <c r="B18" s="682"/>
      <c r="C18" s="681"/>
      <c r="D18" s="681"/>
      <c r="E18" s="681"/>
      <c r="F18" s="681"/>
      <c r="G18" s="681"/>
      <c r="H18" s="681"/>
      <c r="I18" s="681"/>
      <c r="J18" s="679"/>
    </row>
    <row r="20" spans="2:10" x14ac:dyDescent="0.2">
      <c r="B20" s="673" t="s">
        <v>1381</v>
      </c>
    </row>
    <row r="21" spans="2:10" ht="27.75" customHeight="1" x14ac:dyDescent="0.2">
      <c r="B21" s="682" t="s">
        <v>1382</v>
      </c>
      <c r="C21" s="702" t="s">
        <v>1383</v>
      </c>
      <c r="D21" s="702"/>
      <c r="E21" s="702"/>
      <c r="F21" s="702"/>
      <c r="G21" s="702"/>
      <c r="H21" s="702"/>
      <c r="I21" s="702"/>
      <c r="J21" s="702"/>
    </row>
    <row r="22" spans="2:10" x14ac:dyDescent="0.2">
      <c r="B22" s="682" t="s">
        <v>1384</v>
      </c>
      <c r="C22" s="702" t="s">
        <v>1385</v>
      </c>
      <c r="D22" s="702"/>
      <c r="E22" s="702"/>
      <c r="F22" s="702"/>
      <c r="G22" s="702"/>
      <c r="H22" s="702"/>
      <c r="I22" s="702"/>
      <c r="J22" s="702"/>
    </row>
    <row r="23" spans="2:10" x14ac:dyDescent="0.2">
      <c r="B23" s="682" t="s">
        <v>1379</v>
      </c>
      <c r="C23" s="702" t="s">
        <v>1386</v>
      </c>
      <c r="D23" s="702"/>
      <c r="E23" s="702"/>
      <c r="F23" s="702"/>
      <c r="G23" s="702"/>
      <c r="H23" s="702"/>
      <c r="I23" s="702"/>
      <c r="J23" s="702"/>
    </row>
    <row r="24" spans="2:10" x14ac:dyDescent="0.2">
      <c r="B24" s="682" t="s">
        <v>1380</v>
      </c>
      <c r="C24" s="702" t="s">
        <v>1387</v>
      </c>
      <c r="D24" s="702"/>
      <c r="E24" s="702"/>
      <c r="F24" s="702"/>
      <c r="G24" s="702"/>
      <c r="H24" s="702"/>
      <c r="I24" s="702"/>
      <c r="J24" s="702"/>
    </row>
    <row r="25" spans="2:10" ht="39" customHeight="1" x14ac:dyDescent="0.2">
      <c r="B25" s="682" t="s">
        <v>1388</v>
      </c>
      <c r="C25" s="702" t="s">
        <v>1389</v>
      </c>
      <c r="D25" s="702"/>
      <c r="E25" s="702"/>
      <c r="F25" s="702"/>
      <c r="G25" s="702"/>
      <c r="H25" s="702"/>
      <c r="I25" s="702"/>
      <c r="J25" s="702"/>
    </row>
    <row r="26" spans="2:10" x14ac:dyDescent="0.2">
      <c r="B26" s="682" t="s">
        <v>1358</v>
      </c>
      <c r="C26" s="702" t="s">
        <v>1390</v>
      </c>
      <c r="D26" s="702"/>
      <c r="E26" s="702"/>
      <c r="F26" s="702"/>
      <c r="G26" s="702"/>
      <c r="H26" s="702"/>
      <c r="I26" s="702"/>
      <c r="J26" s="702"/>
    </row>
    <row r="27" spans="2:10" ht="27.75" customHeight="1" x14ac:dyDescent="0.2">
      <c r="B27" s="682" t="s">
        <v>1391</v>
      </c>
      <c r="C27" s="702" t="s">
        <v>1392</v>
      </c>
      <c r="D27" s="702"/>
      <c r="E27" s="702"/>
      <c r="F27" s="702"/>
      <c r="G27" s="702"/>
      <c r="H27" s="702"/>
      <c r="I27" s="702"/>
      <c r="J27" s="702"/>
    </row>
    <row r="28" spans="2:10" x14ac:dyDescent="0.2">
      <c r="B28" s="682" t="s">
        <v>1393</v>
      </c>
      <c r="C28" s="702" t="s">
        <v>1394</v>
      </c>
      <c r="D28" s="702"/>
      <c r="E28" s="702"/>
      <c r="F28" s="702"/>
      <c r="G28" s="702"/>
      <c r="H28" s="702"/>
      <c r="I28" s="702"/>
      <c r="J28" s="702"/>
    </row>
    <row r="30" spans="2:10" x14ac:dyDescent="0.2">
      <c r="B30" s="673" t="s">
        <v>1395</v>
      </c>
    </row>
    <row r="31" spans="2:10" ht="24" customHeight="1" x14ac:dyDescent="0.2">
      <c r="B31" s="702" t="s">
        <v>1396</v>
      </c>
      <c r="C31" s="702"/>
      <c r="D31" s="702"/>
      <c r="E31" s="702"/>
      <c r="F31" s="702"/>
      <c r="G31" s="702"/>
      <c r="H31" s="702"/>
      <c r="I31" s="702"/>
      <c r="J31" s="702"/>
    </row>
    <row r="32" spans="2:10" ht="24" customHeight="1" x14ac:dyDescent="0.2">
      <c r="B32" s="702" t="s">
        <v>1397</v>
      </c>
      <c r="C32" s="702"/>
      <c r="D32" s="702"/>
      <c r="E32" s="702"/>
      <c r="F32" s="702"/>
      <c r="G32" s="702"/>
      <c r="H32" s="702"/>
      <c r="I32" s="702"/>
      <c r="J32" s="702"/>
    </row>
    <row r="33" spans="2:10" ht="24" customHeight="1" x14ac:dyDescent="0.2">
      <c r="B33" s="702" t="s">
        <v>1398</v>
      </c>
      <c r="C33" s="702"/>
      <c r="D33" s="702"/>
      <c r="E33" s="702"/>
      <c r="F33" s="702"/>
      <c r="G33" s="702"/>
      <c r="H33" s="702"/>
      <c r="I33" s="702"/>
      <c r="J33" s="702"/>
    </row>
    <row r="34" spans="2:10" ht="24" customHeight="1" x14ac:dyDescent="0.2">
      <c r="B34" s="702" t="s">
        <v>1399</v>
      </c>
      <c r="C34" s="702"/>
      <c r="D34" s="702"/>
      <c r="E34" s="702"/>
      <c r="F34" s="702"/>
      <c r="G34" s="702"/>
      <c r="H34" s="702"/>
      <c r="I34" s="702"/>
      <c r="J34" s="702"/>
    </row>
    <row r="35" spans="2:10" ht="24" customHeight="1" x14ac:dyDescent="0.2">
      <c r="B35" s="702" t="s">
        <v>1400</v>
      </c>
      <c r="C35" s="702"/>
      <c r="D35" s="702"/>
      <c r="E35" s="702"/>
      <c r="F35" s="702"/>
      <c r="G35" s="702"/>
      <c r="H35" s="702"/>
      <c r="I35" s="702"/>
      <c r="J35" s="702"/>
    </row>
    <row r="36" spans="2:10" ht="24" customHeight="1" x14ac:dyDescent="0.2">
      <c r="B36" s="702" t="s">
        <v>1401</v>
      </c>
      <c r="C36" s="702"/>
      <c r="D36" s="702"/>
      <c r="E36" s="702"/>
      <c r="F36" s="702"/>
      <c r="G36" s="702"/>
      <c r="H36" s="702"/>
      <c r="I36" s="702"/>
      <c r="J36" s="702"/>
    </row>
    <row r="37" spans="2:10" ht="24" customHeight="1" x14ac:dyDescent="0.2">
      <c r="B37" s="702" t="s">
        <v>1402</v>
      </c>
      <c r="C37" s="702"/>
      <c r="D37" s="702"/>
      <c r="E37" s="702"/>
      <c r="F37" s="702"/>
      <c r="G37" s="702"/>
      <c r="H37" s="702"/>
      <c r="I37" s="702"/>
      <c r="J37" s="702"/>
    </row>
    <row r="38" spans="2:10" ht="24" customHeight="1" x14ac:dyDescent="0.2">
      <c r="B38" s="702" t="s">
        <v>1403</v>
      </c>
      <c r="C38" s="702"/>
      <c r="D38" s="702"/>
      <c r="E38" s="702"/>
      <c r="F38" s="702"/>
      <c r="G38" s="702"/>
      <c r="H38" s="702"/>
      <c r="I38" s="702"/>
      <c r="J38" s="702"/>
    </row>
  </sheetData>
  <mergeCells count="19">
    <mergeCell ref="B38:J38"/>
    <mergeCell ref="B32:J32"/>
    <mergeCell ref="B33:J33"/>
    <mergeCell ref="B34:J34"/>
    <mergeCell ref="B35:J35"/>
    <mergeCell ref="B36:J36"/>
    <mergeCell ref="B37:J37"/>
    <mergeCell ref="B31:J31"/>
    <mergeCell ref="B1:J1"/>
    <mergeCell ref="B2:J2"/>
    <mergeCell ref="B3:J3"/>
    <mergeCell ref="C21:J21"/>
    <mergeCell ref="C22:J22"/>
    <mergeCell ref="C23:J23"/>
    <mergeCell ref="C24:J24"/>
    <mergeCell ref="C25:J25"/>
    <mergeCell ref="C26:J26"/>
    <mergeCell ref="C27:J27"/>
    <mergeCell ref="C28:J28"/>
  </mergeCells>
  <pageMargins left="0.7" right="0.7" top="0.75" bottom="0.75" header="0.3" footer="0.3"/>
  <pageSetup paperSize="9" orientation="portrait" r:id="rId1"/>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63817-00F6-4E00-B9B4-A23C79AE4E47}">
  <sheetPr>
    <tabColor theme="2" tint="0.59999389629810485"/>
  </sheetPr>
  <dimension ref="A2:AH81"/>
  <sheetViews>
    <sheetView workbookViewId="0">
      <pane xSplit="3" ySplit="4" topLeftCell="D73" activePane="bottomRight" state="frozen"/>
      <selection activeCell="G35" sqref="G35"/>
      <selection pane="topRight" activeCell="G35" sqref="G35"/>
      <selection pane="bottomLeft" activeCell="G35" sqref="G35"/>
      <selection pane="bottomRight" activeCell="N39" sqref="N39"/>
    </sheetView>
  </sheetViews>
  <sheetFormatPr defaultColWidth="0" defaultRowHeight="15" outlineLevelRow="1" outlineLevelCol="1" x14ac:dyDescent="0.25"/>
  <cols>
    <col min="1" max="1" width="2.7109375" customWidth="1"/>
    <col min="2" max="2" width="24.7109375" bestFit="1" customWidth="1"/>
    <col min="3" max="3" width="9.140625" customWidth="1"/>
    <col min="4" max="19" width="9.140625" customWidth="1" outlineLevel="1"/>
    <col min="20" max="34" width="9.140625" customWidth="1"/>
    <col min="35" max="16384" width="9.140625" hidden="1"/>
  </cols>
  <sheetData>
    <row r="2" spans="1:34" x14ac:dyDescent="0.25">
      <c r="D2" s="40" t="str">
        <f>D3&amp;"A"</f>
        <v>FY00A</v>
      </c>
      <c r="E2" s="40" t="str">
        <f t="shared" ref="E2:AC2" si="0">E3&amp;"A"</f>
        <v>FY01A</v>
      </c>
      <c r="F2" s="40" t="str">
        <f t="shared" si="0"/>
        <v>FY02A</v>
      </c>
      <c r="G2" s="40" t="str">
        <f t="shared" si="0"/>
        <v>FY03A</v>
      </c>
      <c r="H2" s="40" t="str">
        <f t="shared" si="0"/>
        <v>FY04A</v>
      </c>
      <c r="I2" s="40" t="str">
        <f t="shared" si="0"/>
        <v>FY05A</v>
      </c>
      <c r="J2" s="40" t="str">
        <f t="shared" si="0"/>
        <v>FY06A</v>
      </c>
      <c r="K2" s="40" t="str">
        <f t="shared" si="0"/>
        <v>FY07A</v>
      </c>
      <c r="L2" s="40" t="str">
        <f t="shared" si="0"/>
        <v>FY08A</v>
      </c>
      <c r="M2" s="40" t="str">
        <f t="shared" si="0"/>
        <v>FY09A</v>
      </c>
      <c r="N2" s="40" t="str">
        <f t="shared" si="0"/>
        <v>FY10A</v>
      </c>
      <c r="O2" s="40" t="str">
        <f t="shared" si="0"/>
        <v>FY11A</v>
      </c>
      <c r="P2" s="40" t="str">
        <f t="shared" si="0"/>
        <v>FY12A</v>
      </c>
      <c r="Q2" s="40" t="str">
        <f t="shared" si="0"/>
        <v>FY13A</v>
      </c>
      <c r="R2" s="40" t="str">
        <f t="shared" si="0"/>
        <v>FY14A</v>
      </c>
      <c r="S2" s="40" t="str">
        <f t="shared" si="0"/>
        <v>FY15A</v>
      </c>
      <c r="T2" s="40" t="str">
        <f t="shared" si="0"/>
        <v>FY16A</v>
      </c>
      <c r="U2" s="40" t="str">
        <f t="shared" si="0"/>
        <v>FY17A</v>
      </c>
      <c r="V2" s="40" t="str">
        <f t="shared" si="0"/>
        <v>FY18A</v>
      </c>
      <c r="W2" s="40" t="str">
        <f t="shared" si="0"/>
        <v>FY19A</v>
      </c>
      <c r="X2" s="40" t="str">
        <f t="shared" si="0"/>
        <v>FY20A</v>
      </c>
      <c r="Y2" s="40" t="str">
        <f t="shared" si="0"/>
        <v>FY21A</v>
      </c>
      <c r="Z2" s="40" t="str">
        <f t="shared" si="0"/>
        <v>FY22A</v>
      </c>
      <c r="AA2" s="40" t="str">
        <f t="shared" si="0"/>
        <v>FY23A</v>
      </c>
      <c r="AB2" s="40" t="str">
        <f t="shared" si="0"/>
        <v>FY24A</v>
      </c>
      <c r="AC2" s="40" t="str">
        <f t="shared" si="0"/>
        <v>FY25A</v>
      </c>
      <c r="AD2" s="40" t="str">
        <f>AD3&amp;"E"</f>
        <v>FY26E</v>
      </c>
      <c r="AE2" t="str">
        <f>AE3&amp;"E"</f>
        <v>FY27E</v>
      </c>
      <c r="AF2" t="str">
        <f>AF3&amp;"E"</f>
        <v>FY28E</v>
      </c>
      <c r="AG2" t="str">
        <f>AG3&amp;"E"</f>
        <v>FY29E</v>
      </c>
      <c r="AH2" t="str">
        <f>AH3&amp;"E"</f>
        <v>FY30E</v>
      </c>
    </row>
    <row r="3" spans="1:34" x14ac:dyDescent="0.25">
      <c r="A3" s="2"/>
      <c r="B3" s="2"/>
      <c r="C3" s="3"/>
      <c r="D3" s="63" t="s">
        <v>149</v>
      </c>
      <c r="E3" s="63" t="s">
        <v>150</v>
      </c>
      <c r="F3" s="63" t="s">
        <v>151</v>
      </c>
      <c r="G3" s="63" t="s">
        <v>152</v>
      </c>
      <c r="H3" s="63" t="s">
        <v>153</v>
      </c>
      <c r="I3" s="63" t="s">
        <v>154</v>
      </c>
      <c r="J3" s="63" t="s">
        <v>155</v>
      </c>
      <c r="K3" s="63" t="s">
        <v>156</v>
      </c>
      <c r="L3" s="63" t="s">
        <v>157</v>
      </c>
      <c r="M3" s="63" t="s">
        <v>158</v>
      </c>
      <c r="N3" s="63" t="s">
        <v>159</v>
      </c>
      <c r="O3" s="63" t="s">
        <v>160</v>
      </c>
      <c r="P3" s="63" t="s">
        <v>161</v>
      </c>
      <c r="Q3" s="63" t="s">
        <v>162</v>
      </c>
      <c r="R3" s="63" t="s">
        <v>163</v>
      </c>
      <c r="S3" s="63" t="s">
        <v>164</v>
      </c>
      <c r="T3" s="63" t="s">
        <v>165</v>
      </c>
      <c r="U3" s="63" t="s">
        <v>166</v>
      </c>
      <c r="V3" s="63" t="s">
        <v>167</v>
      </c>
      <c r="W3" s="63" t="s">
        <v>168</v>
      </c>
      <c r="X3" s="63" t="s">
        <v>169</v>
      </c>
      <c r="Y3" s="63" t="s">
        <v>170</v>
      </c>
      <c r="Z3" s="63" t="s">
        <v>171</v>
      </c>
      <c r="AA3" s="63" t="s">
        <v>172</v>
      </c>
      <c r="AB3" s="63" t="s">
        <v>173</v>
      </c>
      <c r="AC3" s="63" t="s">
        <v>174</v>
      </c>
      <c r="AD3" s="63" t="s">
        <v>200</v>
      </c>
      <c r="AE3" s="63" t="s">
        <v>201</v>
      </c>
      <c r="AF3" s="63" t="s">
        <v>202</v>
      </c>
      <c r="AG3" s="63" t="s">
        <v>203</v>
      </c>
      <c r="AH3" s="63" t="s">
        <v>204</v>
      </c>
    </row>
    <row r="4" spans="1:34" x14ac:dyDescent="0.25">
      <c r="B4" s="64"/>
      <c r="C4" s="9"/>
      <c r="D4" s="9">
        <v>36707</v>
      </c>
      <c r="E4" s="9">
        <f>EOMONTH(D4,12)</f>
        <v>37072</v>
      </c>
      <c r="F4" s="9">
        <f t="shared" ref="F4:AH4" si="1">EOMONTH(E4,12)</f>
        <v>37437</v>
      </c>
      <c r="G4" s="9">
        <f t="shared" si="1"/>
        <v>37802</v>
      </c>
      <c r="H4" s="9">
        <f t="shared" si="1"/>
        <v>38168</v>
      </c>
      <c r="I4" s="9">
        <f t="shared" si="1"/>
        <v>38533</v>
      </c>
      <c r="J4" s="9">
        <f t="shared" si="1"/>
        <v>38898</v>
      </c>
      <c r="K4" s="9">
        <f t="shared" si="1"/>
        <v>39263</v>
      </c>
      <c r="L4" s="9">
        <f t="shared" si="1"/>
        <v>39629</v>
      </c>
      <c r="M4" s="9">
        <f t="shared" si="1"/>
        <v>39994</v>
      </c>
      <c r="N4" s="9">
        <f t="shared" si="1"/>
        <v>40359</v>
      </c>
      <c r="O4" s="9">
        <f t="shared" si="1"/>
        <v>40724</v>
      </c>
      <c r="P4" s="9">
        <f t="shared" si="1"/>
        <v>41090</v>
      </c>
      <c r="Q4" s="9">
        <f t="shared" si="1"/>
        <v>41455</v>
      </c>
      <c r="R4" s="9">
        <f t="shared" si="1"/>
        <v>41820</v>
      </c>
      <c r="S4" s="9">
        <f t="shared" si="1"/>
        <v>42185</v>
      </c>
      <c r="T4" s="9">
        <f t="shared" si="1"/>
        <v>42551</v>
      </c>
      <c r="U4" s="9">
        <f t="shared" si="1"/>
        <v>42916</v>
      </c>
      <c r="V4" s="9">
        <f t="shared" si="1"/>
        <v>43281</v>
      </c>
      <c r="W4" s="9">
        <f t="shared" si="1"/>
        <v>43646</v>
      </c>
      <c r="X4" s="9">
        <f t="shared" si="1"/>
        <v>44012</v>
      </c>
      <c r="Y4" s="9">
        <f t="shared" si="1"/>
        <v>44377</v>
      </c>
      <c r="Z4" s="9">
        <f t="shared" si="1"/>
        <v>44742</v>
      </c>
      <c r="AA4" s="9">
        <f t="shared" si="1"/>
        <v>45107</v>
      </c>
      <c r="AB4" s="9">
        <f t="shared" si="1"/>
        <v>45473</v>
      </c>
      <c r="AC4" s="9">
        <f t="shared" si="1"/>
        <v>45838</v>
      </c>
      <c r="AD4" s="9">
        <f t="shared" si="1"/>
        <v>46203</v>
      </c>
      <c r="AE4" s="9">
        <f t="shared" si="1"/>
        <v>46568</v>
      </c>
      <c r="AF4" s="9">
        <f t="shared" si="1"/>
        <v>46934</v>
      </c>
      <c r="AG4" s="9">
        <f t="shared" si="1"/>
        <v>47299</v>
      </c>
      <c r="AH4" s="9">
        <f t="shared" si="1"/>
        <v>47664</v>
      </c>
    </row>
    <row r="5" spans="1:34" x14ac:dyDescent="0.25">
      <c r="C5" s="7"/>
      <c r="D5" s="12"/>
      <c r="E5" s="12"/>
      <c r="F5" s="12"/>
      <c r="G5" s="65"/>
      <c r="H5" s="65"/>
      <c r="I5" s="65"/>
      <c r="J5" s="65"/>
      <c r="K5" s="65"/>
      <c r="L5" s="65"/>
      <c r="M5" s="65"/>
      <c r="N5" s="65"/>
      <c r="O5" s="65"/>
      <c r="P5" s="12"/>
      <c r="Q5" s="12"/>
      <c r="R5" s="12"/>
      <c r="S5" s="12"/>
      <c r="T5" s="12"/>
      <c r="U5" s="12"/>
      <c r="V5" s="12"/>
      <c r="W5" s="12"/>
      <c r="X5" s="12"/>
      <c r="Y5" s="12"/>
      <c r="Z5" s="12"/>
      <c r="AA5" s="12"/>
      <c r="AB5" s="12"/>
      <c r="AC5" s="12"/>
      <c r="AD5" s="12"/>
      <c r="AE5" s="12"/>
      <c r="AF5" s="12"/>
      <c r="AG5" s="12"/>
      <c r="AH5" s="12"/>
    </row>
    <row r="6" spans="1:34" x14ac:dyDescent="0.25">
      <c r="B6" s="56" t="s">
        <v>392</v>
      </c>
      <c r="C6" s="7"/>
      <c r="D6" s="12"/>
      <c r="E6" s="12"/>
      <c r="F6" s="12"/>
      <c r="G6" s="65"/>
      <c r="H6" s="65"/>
      <c r="I6" s="65"/>
      <c r="J6" s="65"/>
      <c r="K6" s="65"/>
      <c r="L6" s="65"/>
      <c r="M6" s="65"/>
      <c r="N6" s="65"/>
      <c r="O6" s="65"/>
      <c r="P6" s="12"/>
      <c r="Q6" s="12"/>
      <c r="R6" s="12"/>
      <c r="S6" s="12"/>
      <c r="T6" s="12"/>
      <c r="U6" s="12"/>
      <c r="V6" s="12"/>
      <c r="W6" s="12"/>
      <c r="X6" s="12"/>
      <c r="Y6" s="12"/>
      <c r="Z6" s="12"/>
      <c r="AA6" s="12"/>
      <c r="AB6" s="12"/>
      <c r="AC6" s="12"/>
      <c r="AD6" s="12"/>
      <c r="AE6" s="12"/>
      <c r="AF6" s="12"/>
      <c r="AG6" s="12"/>
      <c r="AH6" s="12"/>
    </row>
    <row r="7" spans="1:34" x14ac:dyDescent="0.25">
      <c r="B7" s="56" t="s">
        <v>393</v>
      </c>
      <c r="C7" s="7"/>
      <c r="D7" s="12"/>
      <c r="E7" s="12"/>
      <c r="F7" s="12"/>
      <c r="G7" s="65"/>
      <c r="H7" s="65"/>
      <c r="I7" s="65"/>
      <c r="J7" s="65"/>
      <c r="K7" s="65"/>
      <c r="L7" s="65"/>
      <c r="M7" s="65"/>
      <c r="N7" s="65"/>
      <c r="O7" s="65"/>
      <c r="P7" s="12"/>
      <c r="Q7" s="12"/>
      <c r="R7" s="12"/>
      <c r="S7" s="12"/>
      <c r="T7" s="12"/>
      <c r="U7" s="12"/>
      <c r="V7" s="12"/>
      <c r="W7" s="12"/>
      <c r="X7" s="12"/>
      <c r="Y7" s="12"/>
      <c r="Z7" s="12"/>
      <c r="AA7" s="12"/>
      <c r="AB7" s="12"/>
      <c r="AC7" s="12"/>
      <c r="AD7" s="12"/>
      <c r="AE7" s="12"/>
      <c r="AF7" s="12"/>
      <c r="AG7" s="12"/>
      <c r="AH7" s="12"/>
    </row>
    <row r="8" spans="1:34" x14ac:dyDescent="0.25">
      <c r="B8" s="56" t="s">
        <v>394</v>
      </c>
      <c r="C8" s="7"/>
      <c r="D8" s="12"/>
      <c r="E8" s="12"/>
      <c r="F8" s="12"/>
      <c r="G8" s="65"/>
      <c r="H8" s="65"/>
      <c r="I8" s="65"/>
      <c r="J8" s="65"/>
      <c r="K8" s="65"/>
      <c r="L8" s="65"/>
      <c r="M8" s="65"/>
      <c r="N8" s="65"/>
      <c r="O8" s="65"/>
      <c r="P8" s="12"/>
      <c r="Q8" s="12"/>
      <c r="R8" s="12"/>
      <c r="S8" s="12"/>
      <c r="T8" s="12"/>
      <c r="U8" s="12"/>
      <c r="V8" s="12"/>
      <c r="W8" s="12"/>
      <c r="X8" s="12"/>
      <c r="Y8" s="12"/>
      <c r="Z8" s="12"/>
      <c r="AA8" s="12"/>
      <c r="AB8" s="12"/>
      <c r="AC8" s="12"/>
      <c r="AD8" s="12"/>
      <c r="AE8" s="12"/>
      <c r="AF8" s="12"/>
      <c r="AG8" s="12"/>
      <c r="AH8" s="12"/>
    </row>
    <row r="9" spans="1:34" x14ac:dyDescent="0.25">
      <c r="B9" s="12"/>
      <c r="C9" s="7"/>
      <c r="D9" s="12"/>
      <c r="E9" s="12"/>
      <c r="F9" s="12"/>
      <c r="G9" s="65"/>
      <c r="H9" s="65"/>
      <c r="I9" s="65"/>
      <c r="J9" s="65"/>
      <c r="K9" s="65"/>
      <c r="L9" s="65"/>
      <c r="M9" s="65"/>
      <c r="N9" s="65"/>
      <c r="O9" s="65"/>
      <c r="P9" s="12"/>
      <c r="Q9" s="12"/>
      <c r="R9" s="12"/>
      <c r="S9" s="12"/>
      <c r="T9" s="12"/>
      <c r="U9" s="12"/>
      <c r="V9" s="12"/>
      <c r="W9" s="12"/>
      <c r="X9" s="12"/>
      <c r="Y9" s="12"/>
      <c r="Z9" s="12"/>
      <c r="AA9" s="12"/>
      <c r="AB9" s="12"/>
      <c r="AC9" s="12"/>
      <c r="AD9" s="12"/>
      <c r="AE9" s="12"/>
      <c r="AF9" s="12"/>
      <c r="AG9" s="12"/>
      <c r="AH9" s="12"/>
    </row>
    <row r="10" spans="1:34" x14ac:dyDescent="0.25">
      <c r="B10" s="12"/>
      <c r="C10" s="7"/>
      <c r="D10" s="12"/>
      <c r="E10" s="12"/>
      <c r="F10" s="12"/>
      <c r="G10" s="65"/>
      <c r="H10" s="65"/>
      <c r="I10" s="65"/>
      <c r="J10" s="65"/>
      <c r="K10" s="65"/>
      <c r="L10" s="65"/>
      <c r="M10" s="65"/>
      <c r="N10" s="65"/>
      <c r="O10" s="65"/>
      <c r="P10" s="12"/>
      <c r="Q10" s="12"/>
      <c r="R10" s="12"/>
      <c r="S10" s="12"/>
      <c r="T10" s="12"/>
      <c r="U10" s="12"/>
      <c r="V10" s="12"/>
      <c r="W10" s="12"/>
      <c r="X10" s="12"/>
      <c r="Y10" s="12"/>
      <c r="Z10" s="12"/>
      <c r="AA10" s="12"/>
      <c r="AB10" s="12"/>
      <c r="AC10" s="12"/>
      <c r="AD10" s="12"/>
      <c r="AE10" s="12"/>
      <c r="AF10" s="12"/>
      <c r="AG10" s="12"/>
      <c r="AH10" s="12"/>
    </row>
    <row r="11" spans="1:34" x14ac:dyDescent="0.25">
      <c r="B11" s="20" t="s">
        <v>183</v>
      </c>
      <c r="C11" s="7"/>
      <c r="D11" s="12"/>
      <c r="E11" s="12"/>
      <c r="F11" s="12"/>
      <c r="G11" s="65"/>
      <c r="H11" s="65"/>
      <c r="I11" s="65"/>
      <c r="J11" s="65"/>
      <c r="K11" s="65"/>
      <c r="L11" s="65"/>
      <c r="M11" s="65"/>
      <c r="N11" s="65"/>
      <c r="O11" s="65"/>
      <c r="P11" s="12"/>
      <c r="Q11" s="12"/>
      <c r="R11" s="12"/>
      <c r="S11" s="12"/>
      <c r="T11" s="12"/>
      <c r="U11" s="12"/>
      <c r="V11" s="12"/>
      <c r="W11" s="12"/>
      <c r="X11" s="12"/>
      <c r="Y11" s="12"/>
      <c r="Z11" s="12"/>
      <c r="AA11" s="12"/>
      <c r="AB11" s="12"/>
      <c r="AC11" s="12"/>
      <c r="AD11" s="12"/>
      <c r="AE11" s="12"/>
      <c r="AF11" s="12"/>
      <c r="AG11" s="12"/>
      <c r="AH11" s="12"/>
    </row>
    <row r="12" spans="1:34" s="40" customFormat="1" x14ac:dyDescent="0.25">
      <c r="B12" s="8" t="s">
        <v>323</v>
      </c>
      <c r="C12" s="7"/>
      <c r="D12" s="7"/>
      <c r="E12" s="133"/>
      <c r="F12" s="133"/>
      <c r="G12" s="133"/>
      <c r="H12" s="133"/>
      <c r="I12" s="133"/>
      <c r="J12" s="133"/>
      <c r="K12" s="133"/>
      <c r="L12" s="133"/>
      <c r="M12" s="133"/>
      <c r="N12" s="133"/>
      <c r="O12" s="133"/>
      <c r="P12" s="133"/>
      <c r="Q12" s="133"/>
      <c r="R12" s="133"/>
      <c r="S12" s="7" t="s">
        <v>321</v>
      </c>
      <c r="T12" s="7" t="s">
        <v>321</v>
      </c>
      <c r="U12" s="7" t="s">
        <v>321</v>
      </c>
      <c r="V12" s="7" t="s">
        <v>321</v>
      </c>
      <c r="W12" s="7" t="s">
        <v>321</v>
      </c>
      <c r="X12" s="7" t="s">
        <v>321</v>
      </c>
      <c r="Y12" s="7" t="s">
        <v>321</v>
      </c>
      <c r="Z12" s="7" t="s">
        <v>321</v>
      </c>
      <c r="AA12" s="7" t="s">
        <v>321</v>
      </c>
      <c r="AB12" s="7" t="s">
        <v>321</v>
      </c>
      <c r="AC12" s="7" t="s">
        <v>321</v>
      </c>
      <c r="AD12" s="7" t="s">
        <v>322</v>
      </c>
      <c r="AE12" s="7" t="s">
        <v>322</v>
      </c>
      <c r="AF12" s="7"/>
      <c r="AG12" s="7"/>
      <c r="AH12" s="7"/>
    </row>
    <row r="13" spans="1:34" x14ac:dyDescent="0.25">
      <c r="B13" s="8" t="s">
        <v>324</v>
      </c>
      <c r="C13" s="7"/>
      <c r="D13" s="132" t="s">
        <v>352</v>
      </c>
      <c r="E13" s="132" t="s">
        <v>353</v>
      </c>
      <c r="F13" s="132" t="s">
        <v>354</v>
      </c>
      <c r="G13" s="132" t="s">
        <v>355</v>
      </c>
      <c r="H13" s="132" t="s">
        <v>356</v>
      </c>
      <c r="I13" s="132" t="s">
        <v>357</v>
      </c>
      <c r="J13" s="132" t="s">
        <v>358</v>
      </c>
      <c r="K13" s="132" t="s">
        <v>359</v>
      </c>
      <c r="L13" s="132" t="s">
        <v>351</v>
      </c>
      <c r="M13" s="132" t="s">
        <v>350</v>
      </c>
      <c r="N13" s="132" t="s">
        <v>341</v>
      </c>
      <c r="O13" s="132" t="s">
        <v>340</v>
      </c>
      <c r="P13" s="132" t="s">
        <v>339</v>
      </c>
      <c r="Q13" s="132" t="s">
        <v>338</v>
      </c>
      <c r="R13" s="132" t="s">
        <v>337</v>
      </c>
      <c r="S13" s="132" t="s">
        <v>336</v>
      </c>
      <c r="T13" s="132" t="s">
        <v>318</v>
      </c>
      <c r="U13" s="132" t="s">
        <v>335</v>
      </c>
      <c r="V13" s="132" t="s">
        <v>334</v>
      </c>
      <c r="W13" s="132" t="s">
        <v>332</v>
      </c>
      <c r="X13" s="132" t="s">
        <v>331</v>
      </c>
      <c r="Y13" s="132" t="s">
        <v>320</v>
      </c>
      <c r="Z13" s="132" t="s">
        <v>333</v>
      </c>
      <c r="AA13" s="132" t="s">
        <v>734</v>
      </c>
      <c r="AB13" s="132" t="s">
        <v>735</v>
      </c>
      <c r="AC13" s="132" t="s">
        <v>735</v>
      </c>
      <c r="AD13" s="132" t="s">
        <v>735</v>
      </c>
      <c r="AE13" s="132" t="s">
        <v>735</v>
      </c>
      <c r="AF13" s="132" t="s">
        <v>735</v>
      </c>
      <c r="AG13" s="12"/>
      <c r="AH13" s="12"/>
    </row>
    <row r="14" spans="1:34" x14ac:dyDescent="0.25">
      <c r="B14" s="73" t="s">
        <v>733</v>
      </c>
      <c r="C14" s="7" t="s">
        <v>123</v>
      </c>
      <c r="D14" s="84"/>
      <c r="E14" s="24"/>
      <c r="F14" s="24"/>
      <c r="G14" s="24"/>
      <c r="H14" s="24"/>
      <c r="I14" s="24"/>
      <c r="J14" s="24"/>
      <c r="K14" s="24"/>
      <c r="L14" s="24"/>
      <c r="M14" s="24"/>
      <c r="N14" s="24"/>
      <c r="O14" s="24"/>
      <c r="P14" s="24"/>
      <c r="Q14" s="24"/>
      <c r="R14" s="24"/>
      <c r="S14" s="24"/>
      <c r="T14" s="24"/>
      <c r="U14" s="24"/>
      <c r="V14" s="24"/>
      <c r="W14" s="24"/>
      <c r="X14" s="24"/>
      <c r="Y14" s="24"/>
      <c r="Z14" s="24"/>
      <c r="AA14" s="24">
        <v>61</v>
      </c>
      <c r="AB14" s="24">
        <v>61</v>
      </c>
      <c r="AC14" s="24">
        <v>63</v>
      </c>
      <c r="AD14" s="134">
        <v>65</v>
      </c>
      <c r="AE14" s="134">
        <v>66</v>
      </c>
      <c r="AF14" s="134">
        <v>68</v>
      </c>
      <c r="AG14" s="134">
        <v>70</v>
      </c>
      <c r="AH14" s="12"/>
    </row>
    <row r="15" spans="1:34" x14ac:dyDescent="0.25">
      <c r="B15" s="73" t="s">
        <v>302</v>
      </c>
      <c r="C15" s="7" t="s">
        <v>123</v>
      </c>
      <c r="D15" s="84"/>
      <c r="E15" s="24"/>
      <c r="F15" s="24"/>
      <c r="G15" s="24"/>
      <c r="H15" s="24"/>
      <c r="I15" s="24"/>
      <c r="J15" s="24"/>
      <c r="K15" s="24"/>
      <c r="L15" s="24"/>
      <c r="M15" s="24"/>
      <c r="N15" s="24"/>
      <c r="O15" s="24"/>
      <c r="P15" s="24"/>
      <c r="Q15" s="24"/>
      <c r="R15" s="24"/>
      <c r="S15" s="24"/>
      <c r="T15" s="24"/>
      <c r="U15" s="24"/>
      <c r="V15" s="24"/>
      <c r="W15" s="24"/>
      <c r="X15" s="24"/>
      <c r="Y15" s="24"/>
      <c r="Z15" s="24"/>
      <c r="AA15" s="24">
        <v>310</v>
      </c>
      <c r="AB15" s="24">
        <v>285</v>
      </c>
      <c r="AC15" s="24">
        <v>284</v>
      </c>
      <c r="AD15" s="134">
        <v>283</v>
      </c>
      <c r="AE15" s="134">
        <v>295</v>
      </c>
      <c r="AF15" s="134">
        <v>309</v>
      </c>
      <c r="AG15" s="134">
        <v>325</v>
      </c>
      <c r="AH15" s="12"/>
    </row>
    <row r="16" spans="1:34" x14ac:dyDescent="0.25">
      <c r="B16" s="73" t="s">
        <v>27</v>
      </c>
      <c r="C16" s="7" t="s">
        <v>123</v>
      </c>
      <c r="D16" s="84"/>
      <c r="E16" s="24">
        <v>138</v>
      </c>
      <c r="F16" s="24">
        <v>142</v>
      </c>
      <c r="G16" s="24">
        <v>145</v>
      </c>
      <c r="H16" s="24">
        <v>150</v>
      </c>
      <c r="I16" s="24">
        <v>157</v>
      </c>
      <c r="J16" s="24">
        <v>150</v>
      </c>
      <c r="K16" s="24">
        <v>153</v>
      </c>
      <c r="L16" s="24">
        <v>147</v>
      </c>
      <c r="M16" s="24">
        <v>159</v>
      </c>
      <c r="N16" s="24">
        <v>164</v>
      </c>
      <c r="O16" s="24">
        <v>165</v>
      </c>
      <c r="P16" s="24">
        <v>158</v>
      </c>
      <c r="Q16" s="24">
        <v>156</v>
      </c>
      <c r="R16" s="24">
        <v>156</v>
      </c>
      <c r="S16" s="24">
        <v>160</v>
      </c>
      <c r="T16" s="24">
        <v>134</v>
      </c>
      <c r="U16" s="24">
        <v>111</v>
      </c>
      <c r="V16" s="24">
        <v>112</v>
      </c>
      <c r="W16" s="24">
        <v>127</v>
      </c>
      <c r="X16" s="24">
        <v>174</v>
      </c>
      <c r="Y16" s="24">
        <v>215</v>
      </c>
      <c r="Z16" s="24">
        <v>256</v>
      </c>
      <c r="AA16" s="70">
        <f t="shared" ref="AA16:AG16" si="2">SUM(AA14:AA15)</f>
        <v>371</v>
      </c>
      <c r="AB16" s="70">
        <f t="shared" si="2"/>
        <v>346</v>
      </c>
      <c r="AC16" s="70">
        <f t="shared" si="2"/>
        <v>347</v>
      </c>
      <c r="AD16" s="16">
        <f t="shared" si="2"/>
        <v>348</v>
      </c>
      <c r="AE16" s="16">
        <f t="shared" si="2"/>
        <v>361</v>
      </c>
      <c r="AF16" s="16">
        <f t="shared" si="2"/>
        <v>377</v>
      </c>
      <c r="AG16" s="16">
        <f t="shared" si="2"/>
        <v>395</v>
      </c>
      <c r="AH16" s="12"/>
    </row>
    <row r="17" spans="2:34" x14ac:dyDescent="0.25">
      <c r="B17" s="73" t="s">
        <v>319</v>
      </c>
      <c r="C17" s="7" t="s">
        <v>123</v>
      </c>
      <c r="D17" s="84"/>
      <c r="E17" s="24">
        <v>406</v>
      </c>
      <c r="F17" s="24">
        <v>404</v>
      </c>
      <c r="G17" s="24">
        <v>414</v>
      </c>
      <c r="H17" s="24">
        <v>435</v>
      </c>
      <c r="I17" s="24">
        <v>500</v>
      </c>
      <c r="J17" s="24">
        <v>569</v>
      </c>
      <c r="K17" s="24">
        <v>661</v>
      </c>
      <c r="L17" s="24">
        <v>609</v>
      </c>
      <c r="M17" s="24">
        <v>636</v>
      </c>
      <c r="N17" s="24">
        <v>640</v>
      </c>
      <c r="O17" s="24">
        <v>673</v>
      </c>
      <c r="P17" s="24">
        <v>660</v>
      </c>
      <c r="Q17" s="24">
        <v>669</v>
      </c>
      <c r="R17" s="24">
        <v>684</v>
      </c>
      <c r="S17" s="24">
        <v>721</v>
      </c>
      <c r="T17" s="24">
        <v>775</v>
      </c>
      <c r="U17" s="24">
        <v>772</v>
      </c>
      <c r="V17" s="24">
        <v>779</v>
      </c>
      <c r="W17" s="24">
        <v>783</v>
      </c>
      <c r="X17" s="24">
        <v>625</v>
      </c>
      <c r="Y17" s="24">
        <v>842</v>
      </c>
      <c r="Z17" s="24">
        <v>633</v>
      </c>
      <c r="AA17" s="24">
        <v>939</v>
      </c>
      <c r="AB17" s="24">
        <v>956</v>
      </c>
      <c r="AC17" s="24">
        <v>1016</v>
      </c>
      <c r="AD17" s="23">
        <v>1060</v>
      </c>
      <c r="AE17" s="23">
        <v>1084</v>
      </c>
      <c r="AF17" s="23">
        <v>1113</v>
      </c>
      <c r="AG17" s="23">
        <v>1145</v>
      </c>
      <c r="AH17" s="12"/>
    </row>
    <row r="18" spans="2:34" x14ac:dyDescent="0.25">
      <c r="B18" s="73" t="s">
        <v>314</v>
      </c>
      <c r="C18" s="7" t="s">
        <v>123</v>
      </c>
      <c r="D18" s="84"/>
      <c r="E18" s="24">
        <v>323</v>
      </c>
      <c r="F18" s="24">
        <v>319</v>
      </c>
      <c r="G18" s="24">
        <v>338</v>
      </c>
      <c r="H18" s="24">
        <v>358</v>
      </c>
      <c r="I18" s="24">
        <v>395</v>
      </c>
      <c r="J18" s="24">
        <v>417</v>
      </c>
      <c r="K18" s="24">
        <v>448</v>
      </c>
      <c r="L18" s="24">
        <v>408</v>
      </c>
      <c r="M18" s="24">
        <v>411</v>
      </c>
      <c r="N18" s="24">
        <v>425</v>
      </c>
      <c r="O18" s="24">
        <v>459</v>
      </c>
      <c r="P18" s="24">
        <v>490</v>
      </c>
      <c r="Q18" s="24">
        <v>508</v>
      </c>
      <c r="R18" s="24">
        <v>533</v>
      </c>
      <c r="S18" s="24">
        <v>595</v>
      </c>
      <c r="T18" s="24">
        <v>680</v>
      </c>
      <c r="U18" s="24">
        <v>730</v>
      </c>
      <c r="V18" s="24">
        <v>793</v>
      </c>
      <c r="W18" s="24">
        <v>862</v>
      </c>
      <c r="X18" s="24">
        <v>756</v>
      </c>
      <c r="Y18" s="24">
        <v>1021</v>
      </c>
      <c r="Z18" s="24">
        <v>824</v>
      </c>
      <c r="AA18" s="24">
        <v>1293</v>
      </c>
      <c r="AB18" s="24">
        <v>1353</v>
      </c>
      <c r="AC18" s="24">
        <v>1449</v>
      </c>
      <c r="AD18" s="23">
        <v>1552</v>
      </c>
      <c r="AE18" s="23">
        <v>1663</v>
      </c>
      <c r="AF18" s="23">
        <v>1784</v>
      </c>
      <c r="AG18" s="23">
        <v>1915</v>
      </c>
      <c r="AH18" s="12"/>
    </row>
    <row r="19" spans="2:34" x14ac:dyDescent="0.25">
      <c r="B19" s="73" t="s">
        <v>315</v>
      </c>
      <c r="C19" s="7" t="s">
        <v>123</v>
      </c>
      <c r="D19" s="84"/>
      <c r="E19" s="24">
        <v>255</v>
      </c>
      <c r="F19" s="24">
        <v>256</v>
      </c>
      <c r="G19" s="24">
        <v>277</v>
      </c>
      <c r="H19" s="24">
        <v>278</v>
      </c>
      <c r="I19" s="24">
        <v>281</v>
      </c>
      <c r="J19" s="24">
        <v>283</v>
      </c>
      <c r="K19" s="24">
        <v>284</v>
      </c>
      <c r="L19" s="24">
        <v>300</v>
      </c>
      <c r="M19" s="24">
        <v>308</v>
      </c>
      <c r="N19" s="24">
        <v>349</v>
      </c>
      <c r="O19" s="24">
        <v>307</v>
      </c>
      <c r="P19" s="24">
        <v>335</v>
      </c>
      <c r="Q19" s="24">
        <v>351</v>
      </c>
      <c r="R19" s="24">
        <v>326</v>
      </c>
      <c r="S19" s="24">
        <v>327</v>
      </c>
      <c r="T19" s="24">
        <v>362</v>
      </c>
      <c r="U19" s="24">
        <v>346</v>
      </c>
      <c r="V19" s="24">
        <v>356</v>
      </c>
      <c r="W19" s="24">
        <v>454</v>
      </c>
      <c r="X19" s="24">
        <v>473</v>
      </c>
      <c r="Y19" s="24">
        <v>501</v>
      </c>
      <c r="Z19" s="24">
        <v>578</v>
      </c>
      <c r="AA19" s="24">
        <v>561</v>
      </c>
      <c r="AB19" s="24">
        <v>631</v>
      </c>
      <c r="AC19" s="24">
        <v>553</v>
      </c>
      <c r="AD19" s="23">
        <v>577</v>
      </c>
      <c r="AE19" s="23">
        <v>595</v>
      </c>
      <c r="AF19" s="23">
        <v>613</v>
      </c>
      <c r="AG19" s="23">
        <v>631</v>
      </c>
      <c r="AH19" s="12"/>
    </row>
    <row r="20" spans="2:34" x14ac:dyDescent="0.25">
      <c r="B20" s="73" t="s">
        <v>316</v>
      </c>
      <c r="C20" s="7" t="s">
        <v>123</v>
      </c>
      <c r="D20" s="84"/>
      <c r="E20" s="24">
        <v>82</v>
      </c>
      <c r="F20" s="24">
        <v>80</v>
      </c>
      <c r="G20" s="24">
        <v>80</v>
      </c>
      <c r="H20" s="24">
        <v>81</v>
      </c>
      <c r="I20" s="24">
        <v>89</v>
      </c>
      <c r="J20" s="24">
        <v>93</v>
      </c>
      <c r="K20" s="24">
        <v>99</v>
      </c>
      <c r="L20" s="24">
        <v>97</v>
      </c>
      <c r="M20" s="24">
        <v>100</v>
      </c>
      <c r="N20" s="24">
        <v>116</v>
      </c>
      <c r="O20" s="24">
        <v>140</v>
      </c>
      <c r="P20" s="24">
        <v>158</v>
      </c>
      <c r="Q20" s="24">
        <v>175</v>
      </c>
      <c r="R20" s="24">
        <v>197</v>
      </c>
      <c r="S20" s="24">
        <v>250</v>
      </c>
      <c r="T20" s="24">
        <v>285</v>
      </c>
      <c r="U20" s="24">
        <v>294</v>
      </c>
      <c r="V20" s="24">
        <v>294</v>
      </c>
      <c r="W20" s="24">
        <v>394</v>
      </c>
      <c r="X20" s="24">
        <v>169</v>
      </c>
      <c r="Y20" s="24">
        <v>132</v>
      </c>
      <c r="Z20" s="24">
        <v>129</v>
      </c>
      <c r="AA20" s="24">
        <v>195</v>
      </c>
      <c r="AB20" s="24">
        <v>203</v>
      </c>
      <c r="AC20" s="24">
        <v>223</v>
      </c>
      <c r="AD20" s="23">
        <v>165</v>
      </c>
      <c r="AE20" s="23">
        <v>174</v>
      </c>
      <c r="AF20" s="23">
        <v>186</v>
      </c>
      <c r="AG20" s="23">
        <v>197</v>
      </c>
      <c r="AH20" s="12"/>
    </row>
    <row r="21" spans="2:34" x14ac:dyDescent="0.25">
      <c r="B21" s="73" t="s">
        <v>326</v>
      </c>
      <c r="C21" s="7" t="s">
        <v>123</v>
      </c>
      <c r="D21" s="84"/>
      <c r="E21" s="24">
        <v>9</v>
      </c>
      <c r="F21" s="24">
        <v>8</v>
      </c>
      <c r="G21" s="24">
        <v>8</v>
      </c>
      <c r="H21" s="24">
        <v>8</v>
      </c>
      <c r="I21" s="24">
        <v>9</v>
      </c>
      <c r="J21" s="24">
        <v>8</v>
      </c>
      <c r="K21" s="24">
        <v>8</v>
      </c>
      <c r="L21" s="24">
        <v>9</v>
      </c>
      <c r="M21" s="24">
        <v>11</v>
      </c>
      <c r="N21" s="24">
        <v>11</v>
      </c>
      <c r="O21" s="24">
        <v>13</v>
      </c>
      <c r="P21" s="24">
        <v>14</v>
      </c>
      <c r="Q21" s="24">
        <v>14</v>
      </c>
      <c r="R21" s="24">
        <v>13</v>
      </c>
      <c r="S21" s="24">
        <v>14</v>
      </c>
      <c r="T21" s="24">
        <v>15</v>
      </c>
      <c r="U21" s="24">
        <v>17</v>
      </c>
      <c r="V21" s="24">
        <v>16</v>
      </c>
      <c r="W21" s="24">
        <v>15</v>
      </c>
      <c r="X21" s="24">
        <v>10</v>
      </c>
      <c r="Y21" s="24">
        <v>16</v>
      </c>
      <c r="Z21" s="24">
        <v>10</v>
      </c>
      <c r="AA21" s="24">
        <v>17</v>
      </c>
      <c r="AB21" s="24">
        <v>18</v>
      </c>
      <c r="AC21" s="24">
        <v>20</v>
      </c>
      <c r="AD21" s="23">
        <v>21</v>
      </c>
      <c r="AE21" s="23">
        <v>21</v>
      </c>
      <c r="AF21" s="23">
        <v>22</v>
      </c>
      <c r="AG21" s="23">
        <v>23</v>
      </c>
      <c r="AH21" s="12"/>
    </row>
    <row r="22" spans="2:34" ht="15.75" thickBot="1" x14ac:dyDescent="0.3">
      <c r="B22" s="136" t="s">
        <v>317</v>
      </c>
      <c r="C22" s="137" t="s">
        <v>123</v>
      </c>
      <c r="D22" s="139"/>
      <c r="E22" s="139">
        <v>1213</v>
      </c>
      <c r="F22" s="139">
        <v>1209</v>
      </c>
      <c r="G22" s="139">
        <v>1262</v>
      </c>
      <c r="H22" s="139">
        <v>1311</v>
      </c>
      <c r="I22" s="139">
        <v>1431</v>
      </c>
      <c r="J22" s="139">
        <v>1520</v>
      </c>
      <c r="K22" s="139">
        <v>1653</v>
      </c>
      <c r="L22" s="139">
        <v>1570</v>
      </c>
      <c r="M22" s="139">
        <v>1625</v>
      </c>
      <c r="N22" s="139">
        <v>1705</v>
      </c>
      <c r="O22" s="139">
        <v>1757</v>
      </c>
      <c r="P22" s="139">
        <v>1815</v>
      </c>
      <c r="Q22" s="139">
        <v>1873</v>
      </c>
      <c r="R22" s="139">
        <v>1910</v>
      </c>
      <c r="S22" s="139">
        <v>2067</v>
      </c>
      <c r="T22" s="139">
        <v>2251</v>
      </c>
      <c r="U22" s="139">
        <v>2271</v>
      </c>
      <c r="V22" s="139">
        <v>2350</v>
      </c>
      <c r="W22" s="139">
        <v>2634</v>
      </c>
      <c r="X22" s="139">
        <v>2207</v>
      </c>
      <c r="Y22" s="139">
        <v>2727</v>
      </c>
      <c r="Z22" s="139">
        <v>2431</v>
      </c>
      <c r="AA22" s="139">
        <v>3374</v>
      </c>
      <c r="AB22" s="139">
        <v>3507</v>
      </c>
      <c r="AC22" s="139">
        <v>3608</v>
      </c>
      <c r="AD22" s="140">
        <v>3723</v>
      </c>
      <c r="AE22" s="140">
        <v>3899</v>
      </c>
      <c r="AF22" s="140">
        <v>4095</v>
      </c>
      <c r="AG22" s="140">
        <v>4306</v>
      </c>
      <c r="AH22" s="138"/>
    </row>
    <row r="23" spans="2:34" ht="15.75" thickTop="1" x14ac:dyDescent="0.25">
      <c r="B23" s="82"/>
      <c r="C23" s="7"/>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2:34" x14ac:dyDescent="0.25">
      <c r="B24" s="72" t="s">
        <v>328</v>
      </c>
      <c r="C24" s="79" t="s">
        <v>123</v>
      </c>
      <c r="D24" s="69">
        <v>15185</v>
      </c>
      <c r="E24" s="69">
        <v>13337</v>
      </c>
      <c r="F24" s="69">
        <v>13210</v>
      </c>
      <c r="G24" s="69">
        <v>14146</v>
      </c>
      <c r="H24" s="69">
        <v>15018</v>
      </c>
      <c r="I24" s="69">
        <v>15300</v>
      </c>
      <c r="J24" s="69">
        <v>15902</v>
      </c>
      <c r="K24" s="69">
        <v>17697</v>
      </c>
      <c r="L24" s="69">
        <v>18554</v>
      </c>
      <c r="M24" s="69">
        <v>17885</v>
      </c>
      <c r="N24" s="69">
        <v>19129</v>
      </c>
      <c r="O24" s="69">
        <v>20395</v>
      </c>
      <c r="P24" s="69">
        <v>20660</v>
      </c>
      <c r="Q24" s="69">
        <v>21980</v>
      </c>
      <c r="R24" s="69">
        <v>24295</v>
      </c>
      <c r="S24" s="69">
        <v>26067</v>
      </c>
      <c r="T24" s="69">
        <v>29088</v>
      </c>
      <c r="U24" s="69">
        <v>30789</v>
      </c>
      <c r="V24" s="69">
        <v>31326</v>
      </c>
      <c r="W24" s="69">
        <v>31026</v>
      </c>
      <c r="X24" s="69">
        <v>29941</v>
      </c>
      <c r="Y24" s="69">
        <v>34407</v>
      </c>
      <c r="Z24" s="69">
        <v>39007</v>
      </c>
      <c r="AA24" s="69">
        <v>39747</v>
      </c>
      <c r="AB24" s="69">
        <v>44603</v>
      </c>
      <c r="AC24" s="69">
        <v>47599</v>
      </c>
      <c r="AD24" s="135">
        <v>51318</v>
      </c>
      <c r="AE24" s="135">
        <v>54138</v>
      </c>
      <c r="AF24" s="135">
        <v>56668</v>
      </c>
      <c r="AG24" s="135">
        <v>59541</v>
      </c>
      <c r="AH24" s="67"/>
    </row>
    <row r="25" spans="2:34" ht="15.75" thickBot="1" x14ac:dyDescent="0.3">
      <c r="B25" s="141" t="s">
        <v>329</v>
      </c>
      <c r="C25" s="142" t="s">
        <v>123</v>
      </c>
      <c r="D25" s="144">
        <v>30556</v>
      </c>
      <c r="E25" s="144">
        <v>32091</v>
      </c>
      <c r="F25" s="144">
        <v>33843</v>
      </c>
      <c r="G25" s="144">
        <v>36070</v>
      </c>
      <c r="H25" s="144">
        <v>37657</v>
      </c>
      <c r="I25" s="144">
        <v>39085</v>
      </c>
      <c r="J25" s="144">
        <v>42652</v>
      </c>
      <c r="K25" s="144">
        <v>44720</v>
      </c>
      <c r="L25" s="144">
        <v>47449</v>
      </c>
      <c r="M25" s="144">
        <v>49684</v>
      </c>
      <c r="N25" s="144">
        <v>56344</v>
      </c>
      <c r="O25" s="144">
        <v>57168</v>
      </c>
      <c r="P25" s="144">
        <v>59003</v>
      </c>
      <c r="Q25" s="144">
        <v>60130</v>
      </c>
      <c r="R25" s="144">
        <v>66005</v>
      </c>
      <c r="S25" s="144">
        <v>69617</v>
      </c>
      <c r="T25" s="144">
        <v>74532</v>
      </c>
      <c r="U25" s="144">
        <v>78139</v>
      </c>
      <c r="V25" s="144">
        <v>80672</v>
      </c>
      <c r="W25" s="144">
        <v>81655</v>
      </c>
      <c r="X25" s="144">
        <v>81395</v>
      </c>
      <c r="Y25" s="144">
        <v>87965</v>
      </c>
      <c r="Z25" s="144">
        <v>103486</v>
      </c>
      <c r="AA25" s="144">
        <v>105901</v>
      </c>
      <c r="AB25" s="144">
        <v>110219</v>
      </c>
      <c r="AC25" s="144">
        <v>118090</v>
      </c>
      <c r="AD25" s="145">
        <v>124154</v>
      </c>
      <c r="AE25" s="145">
        <v>128038</v>
      </c>
      <c r="AF25" s="145">
        <v>133232</v>
      </c>
      <c r="AG25" s="145">
        <v>137135</v>
      </c>
      <c r="AH25" s="143"/>
    </row>
    <row r="26" spans="2:34" ht="15.75" thickTop="1" x14ac:dyDescent="0.25">
      <c r="B26" s="82"/>
      <c r="C26" s="7"/>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2:34" x14ac:dyDescent="0.25">
      <c r="B27" s="86" t="s">
        <v>347</v>
      </c>
      <c r="C27" s="124" t="s">
        <v>123</v>
      </c>
      <c r="D27" s="87">
        <v>241679</v>
      </c>
      <c r="E27" s="87">
        <v>255166</v>
      </c>
      <c r="F27" s="87">
        <v>264592</v>
      </c>
      <c r="G27" s="87">
        <v>279119</v>
      </c>
      <c r="H27" s="87">
        <v>300102</v>
      </c>
      <c r="I27" s="87">
        <v>315881</v>
      </c>
      <c r="J27" s="87">
        <v>332374</v>
      </c>
      <c r="K27" s="87">
        <v>352995</v>
      </c>
      <c r="L27" s="87">
        <v>376630</v>
      </c>
      <c r="M27" s="87">
        <v>394513</v>
      </c>
      <c r="N27" s="87">
        <v>413303</v>
      </c>
      <c r="O27" s="87">
        <v>444477</v>
      </c>
      <c r="P27" s="87">
        <v>464772</v>
      </c>
      <c r="Q27" s="87">
        <v>479854</v>
      </c>
      <c r="R27" s="87">
        <v>495303</v>
      </c>
      <c r="S27" s="87">
        <v>513529</v>
      </c>
      <c r="T27" s="87">
        <v>538513</v>
      </c>
      <c r="U27" s="87">
        <v>576716</v>
      </c>
      <c r="V27" s="87">
        <v>604400</v>
      </c>
      <c r="W27" s="87">
        <v>625400</v>
      </c>
      <c r="X27" s="87">
        <v>624600</v>
      </c>
      <c r="Y27" s="87">
        <v>643100</v>
      </c>
      <c r="Z27" s="87">
        <v>697400</v>
      </c>
      <c r="AA27" s="146">
        <v>767900</v>
      </c>
      <c r="AB27" s="146">
        <v>794100</v>
      </c>
      <c r="AC27" s="146">
        <v>822400</v>
      </c>
      <c r="AD27" s="146">
        <v>859300</v>
      </c>
      <c r="AE27" s="146">
        <v>901000</v>
      </c>
      <c r="AF27" s="146"/>
      <c r="AG27" s="12"/>
      <c r="AH27" s="12"/>
    </row>
    <row r="28" spans="2:34" x14ac:dyDescent="0.25">
      <c r="B28" s="82"/>
      <c r="C28" s="7"/>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2:34" x14ac:dyDescent="0.25">
      <c r="B29" s="86" t="s">
        <v>344</v>
      </c>
      <c r="C29" s="124" t="s">
        <v>123</v>
      </c>
      <c r="D29" s="87">
        <v>2026</v>
      </c>
      <c r="E29" s="87">
        <v>1507</v>
      </c>
      <c r="F29" s="87">
        <v>1580</v>
      </c>
      <c r="G29" s="87">
        <v>1755</v>
      </c>
      <c r="H29" s="87">
        <v>1155</v>
      </c>
      <c r="I29" s="87">
        <v>241</v>
      </c>
      <c r="J29" s="87">
        <v>1180</v>
      </c>
      <c r="K29" s="87">
        <v>69</v>
      </c>
      <c r="L29" s="87">
        <v>151</v>
      </c>
      <c r="M29" s="87">
        <v>-1574</v>
      </c>
      <c r="N29" s="87">
        <v>-109</v>
      </c>
      <c r="O29" s="87">
        <v>153</v>
      </c>
      <c r="P29" s="87">
        <v>-551</v>
      </c>
      <c r="Q29" s="87">
        <v>-1731</v>
      </c>
      <c r="R29" s="87">
        <v>1247</v>
      </c>
      <c r="S29" s="87">
        <v>2881</v>
      </c>
      <c r="T29" s="87">
        <v>4664</v>
      </c>
      <c r="U29" s="87">
        <v>5724</v>
      </c>
      <c r="V29" s="87">
        <v>4425</v>
      </c>
      <c r="W29" s="87">
        <v>1206</v>
      </c>
      <c r="X29" s="87">
        <v>-7495</v>
      </c>
      <c r="Y29" s="87">
        <v>-7072</v>
      </c>
      <c r="Z29" s="87">
        <v>-15329</v>
      </c>
      <c r="AA29" s="146">
        <v>-10104</v>
      </c>
      <c r="AB29" s="146">
        <v>-7847</v>
      </c>
      <c r="AC29" s="146">
        <v>844</v>
      </c>
      <c r="AD29" s="146">
        <v>1582</v>
      </c>
      <c r="AE29" s="146">
        <v>1508</v>
      </c>
      <c r="AF29" s="146"/>
      <c r="AG29" s="66"/>
      <c r="AH29" s="66"/>
    </row>
    <row r="30" spans="2:34" x14ac:dyDescent="0.25">
      <c r="B30" s="73" t="s">
        <v>348</v>
      </c>
      <c r="C30" s="124" t="s">
        <v>123</v>
      </c>
      <c r="D30" s="55">
        <v>8.0000000000000002E-3</v>
      </c>
      <c r="E30" s="55">
        <v>6.0000000000000001E-3</v>
      </c>
      <c r="F30" s="55">
        <v>6.0000000000000001E-3</v>
      </c>
      <c r="G30" s="55">
        <v>6.0000000000000001E-3</v>
      </c>
      <c r="H30" s="55">
        <v>4.0000000000000001E-3</v>
      </c>
      <c r="I30" s="55">
        <v>1E-3</v>
      </c>
      <c r="J30" s="55">
        <v>4.0000000000000001E-3</v>
      </c>
      <c r="K30" s="55">
        <v>0</v>
      </c>
      <c r="L30" s="55">
        <v>0</v>
      </c>
      <c r="M30" s="55">
        <v>-4.0000000000000001E-3</v>
      </c>
      <c r="N30" s="55">
        <v>0</v>
      </c>
      <c r="O30" s="55">
        <v>0</v>
      </c>
      <c r="P30" s="55">
        <v>-1E-3</v>
      </c>
      <c r="Q30" s="55">
        <v>-4.0000000000000001E-3</v>
      </c>
      <c r="R30" s="55">
        <v>3.0000000000000001E-3</v>
      </c>
      <c r="S30" s="55">
        <v>6.0000000000000001E-3</v>
      </c>
      <c r="T30" s="55">
        <v>9.0000000000000011E-3</v>
      </c>
      <c r="U30" s="55">
        <v>0.01</v>
      </c>
      <c r="V30" s="55">
        <v>6.9999999999999993E-3</v>
      </c>
      <c r="W30" s="55">
        <v>2E-3</v>
      </c>
      <c r="X30" s="55">
        <v>-1.2E-2</v>
      </c>
      <c r="Y30" s="55">
        <v>-1.1000000000000001E-2</v>
      </c>
      <c r="Z30" s="55">
        <v>-2.2000000000000002E-2</v>
      </c>
      <c r="AA30" s="147">
        <v>-1.3000000000000001E-2</v>
      </c>
      <c r="AB30" s="147">
        <v>-0.01</v>
      </c>
      <c r="AC30" s="147">
        <v>1E-3</v>
      </c>
      <c r="AD30" s="147">
        <v>2E-3</v>
      </c>
      <c r="AE30" s="147">
        <v>2E-3</v>
      </c>
      <c r="AF30" s="147"/>
      <c r="AG30" s="66"/>
      <c r="AH30" s="66"/>
    </row>
    <row r="31" spans="2:34" x14ac:dyDescent="0.25">
      <c r="B31" s="86"/>
      <c r="C31" s="124"/>
      <c r="D31" s="87"/>
      <c r="E31" s="87"/>
      <c r="F31" s="87"/>
      <c r="G31" s="87"/>
      <c r="H31" s="87"/>
      <c r="I31" s="87"/>
      <c r="J31" s="87"/>
      <c r="K31" s="87"/>
      <c r="L31" s="87"/>
      <c r="M31" s="87"/>
      <c r="N31" s="87"/>
      <c r="O31" s="87"/>
      <c r="P31" s="87"/>
      <c r="Q31" s="87"/>
      <c r="R31" s="87"/>
      <c r="S31" s="87"/>
      <c r="T31" s="87"/>
      <c r="U31" s="87"/>
      <c r="V31" s="87"/>
      <c r="W31" s="87"/>
      <c r="X31" s="87"/>
      <c r="Y31" s="87"/>
      <c r="Z31" s="87"/>
      <c r="AA31" s="146"/>
      <c r="AB31" s="146"/>
      <c r="AC31" s="146"/>
      <c r="AD31" s="146"/>
      <c r="AE31" s="146"/>
      <c r="AF31" s="146"/>
      <c r="AG31" s="66"/>
      <c r="AH31" s="66"/>
    </row>
    <row r="32" spans="2:34" x14ac:dyDescent="0.25">
      <c r="B32" s="86" t="s">
        <v>342</v>
      </c>
      <c r="C32" s="124" t="s">
        <v>123</v>
      </c>
      <c r="D32" s="87">
        <v>9771</v>
      </c>
      <c r="E32" s="87">
        <v>6893</v>
      </c>
      <c r="F32" s="87">
        <v>5422</v>
      </c>
      <c r="G32" s="87">
        <v>3638</v>
      </c>
      <c r="H32" s="87">
        <v>2970</v>
      </c>
      <c r="I32" s="87">
        <v>2826</v>
      </c>
      <c r="J32" s="87">
        <v>1483</v>
      </c>
      <c r="K32" s="87">
        <v>3645</v>
      </c>
      <c r="L32" s="87">
        <v>5663</v>
      </c>
      <c r="M32" s="87">
        <v>8170</v>
      </c>
      <c r="N32" s="87">
        <v>9161</v>
      </c>
      <c r="O32" s="87">
        <v>7960</v>
      </c>
      <c r="P32" s="87">
        <v>14127</v>
      </c>
      <c r="Q32" s="87">
        <v>11907</v>
      </c>
      <c r="R32" s="87">
        <v>6869</v>
      </c>
      <c r="S32" s="87">
        <v>5461</v>
      </c>
      <c r="T32" s="87">
        <v>-57</v>
      </c>
      <c r="U32" s="87">
        <v>-9344</v>
      </c>
      <c r="V32" s="87">
        <v>-11195</v>
      </c>
      <c r="W32" s="87">
        <v>-10401</v>
      </c>
      <c r="X32" s="87">
        <v>22732</v>
      </c>
      <c r="Y32" s="87">
        <v>37076</v>
      </c>
      <c r="Z32" s="87">
        <v>55781</v>
      </c>
      <c r="AA32" s="146">
        <v>74873</v>
      </c>
      <c r="AB32" s="146">
        <v>92624</v>
      </c>
      <c r="AC32" s="146">
        <v>100974</v>
      </c>
      <c r="AD32" s="146">
        <v>107815</v>
      </c>
      <c r="AE32" s="146">
        <v>113571</v>
      </c>
      <c r="AF32" s="146"/>
      <c r="AG32" s="66"/>
      <c r="AH32" s="66"/>
    </row>
    <row r="33" spans="2:34" x14ac:dyDescent="0.25">
      <c r="B33" s="73" t="s">
        <v>345</v>
      </c>
      <c r="C33" s="124" t="s">
        <v>123</v>
      </c>
      <c r="D33" s="55">
        <v>0.04</v>
      </c>
      <c r="E33" s="55">
        <v>2.7000000000000003E-2</v>
      </c>
      <c r="F33" s="55">
        <v>0.02</v>
      </c>
      <c r="G33" s="55">
        <v>1.3000000000000001E-2</v>
      </c>
      <c r="H33" s="55">
        <v>0.01</v>
      </c>
      <c r="I33" s="55">
        <v>9.0000000000000011E-3</v>
      </c>
      <c r="J33" s="55">
        <v>4.0000000000000001E-3</v>
      </c>
      <c r="K33" s="55">
        <v>0.01</v>
      </c>
      <c r="L33" s="55">
        <v>1.4999999999999999E-2</v>
      </c>
      <c r="M33" s="55">
        <v>2.1000000000000001E-2</v>
      </c>
      <c r="N33" s="55">
        <v>2.2000000000000002E-2</v>
      </c>
      <c r="O33" s="55">
        <v>1.8000000000000002E-2</v>
      </c>
      <c r="P33" s="55">
        <v>0.03</v>
      </c>
      <c r="Q33" s="55">
        <v>2.5000000000000001E-2</v>
      </c>
      <c r="R33" s="55">
        <v>1.3999999999999999E-2</v>
      </c>
      <c r="S33" s="55">
        <v>1.1000000000000001E-2</v>
      </c>
      <c r="T33" s="55">
        <v>0</v>
      </c>
      <c r="U33" s="55">
        <v>-1.6E-2</v>
      </c>
      <c r="V33" s="55">
        <v>-1.9E-2</v>
      </c>
      <c r="W33" s="55">
        <v>-1.7000000000000001E-2</v>
      </c>
      <c r="X33" s="55">
        <v>3.6000000000000004E-2</v>
      </c>
      <c r="Y33" s="55">
        <v>5.7999999999999996E-2</v>
      </c>
      <c r="Z33" s="55">
        <v>0.08</v>
      </c>
      <c r="AA33" s="147">
        <v>9.8000000000000004E-2</v>
      </c>
      <c r="AB33" s="147">
        <v>0.11699999999999999</v>
      </c>
      <c r="AC33" s="147">
        <v>0.12300000000000001</v>
      </c>
      <c r="AD33" s="147">
        <v>0.125</v>
      </c>
      <c r="AE33" s="147">
        <v>0.126</v>
      </c>
      <c r="AF33" s="147"/>
      <c r="AG33" s="66"/>
      <c r="AH33" s="66"/>
    </row>
    <row r="34" spans="2:34" x14ac:dyDescent="0.25">
      <c r="B34" s="86"/>
      <c r="C34" s="124"/>
      <c r="D34" s="87"/>
      <c r="E34" s="87"/>
      <c r="F34" s="87"/>
      <c r="G34" s="87"/>
      <c r="H34" s="87"/>
      <c r="I34" s="87"/>
      <c r="J34" s="87"/>
      <c r="K34" s="87"/>
      <c r="L34" s="87"/>
      <c r="M34" s="87"/>
      <c r="N34" s="87"/>
      <c r="O34" s="87"/>
      <c r="P34" s="87"/>
      <c r="Q34" s="87"/>
      <c r="R34" s="87"/>
      <c r="S34" s="87"/>
      <c r="T34" s="87"/>
      <c r="U34" s="87"/>
      <c r="V34" s="87"/>
      <c r="W34" s="87"/>
      <c r="X34" s="87"/>
      <c r="Y34" s="87"/>
      <c r="Z34" s="87"/>
      <c r="AA34" s="146"/>
      <c r="AB34" s="146"/>
      <c r="AC34" s="146"/>
      <c r="AD34" s="146"/>
      <c r="AE34" s="146"/>
      <c r="AF34" s="146"/>
      <c r="AG34" s="66"/>
      <c r="AH34" s="66"/>
    </row>
    <row r="35" spans="2:34" outlineLevel="1" x14ac:dyDescent="0.25">
      <c r="B35" s="86" t="s">
        <v>343</v>
      </c>
      <c r="C35" s="124" t="s">
        <v>123</v>
      </c>
      <c r="D35" s="87"/>
      <c r="E35" s="87"/>
      <c r="F35" s="87"/>
      <c r="G35" s="87"/>
      <c r="H35" s="87"/>
      <c r="I35" s="87"/>
      <c r="J35" s="87"/>
      <c r="K35" s="87"/>
      <c r="L35" s="87"/>
      <c r="M35" s="87"/>
      <c r="N35" s="87"/>
      <c r="O35" s="87"/>
      <c r="P35" s="87"/>
      <c r="Q35" s="87"/>
      <c r="R35" s="87"/>
      <c r="S35" s="87"/>
      <c r="T35" s="87"/>
      <c r="U35" s="87"/>
      <c r="V35" s="87"/>
      <c r="W35" s="87"/>
      <c r="X35" s="87"/>
      <c r="Y35" s="87"/>
      <c r="Z35" s="87">
        <v>108352</v>
      </c>
      <c r="AA35" s="146">
        <v>132914</v>
      </c>
      <c r="AB35" s="146">
        <v>145789</v>
      </c>
      <c r="AC35" s="146">
        <v>159510</v>
      </c>
      <c r="AD35" s="146">
        <v>173373</v>
      </c>
      <c r="AE35" s="146">
        <v>186688</v>
      </c>
      <c r="AF35" s="146"/>
      <c r="AG35" s="66"/>
      <c r="AH35" s="66"/>
    </row>
    <row r="36" spans="2:34" outlineLevel="1" x14ac:dyDescent="0.25">
      <c r="B36" s="73" t="s">
        <v>346</v>
      </c>
      <c r="C36" s="124" t="s">
        <v>123</v>
      </c>
      <c r="D36" s="55"/>
      <c r="E36" s="55"/>
      <c r="F36" s="55"/>
      <c r="G36" s="55"/>
      <c r="H36" s="55"/>
      <c r="I36" s="55"/>
      <c r="J36" s="55"/>
      <c r="K36" s="55"/>
      <c r="L36" s="55"/>
      <c r="M36" s="55"/>
      <c r="N36" s="55"/>
      <c r="O36" s="55"/>
      <c r="P36" s="55"/>
      <c r="Q36" s="55"/>
      <c r="R36" s="55"/>
      <c r="S36" s="55"/>
      <c r="T36" s="55"/>
      <c r="U36" s="55"/>
      <c r="V36" s="55"/>
      <c r="W36" s="55"/>
      <c r="X36" s="55"/>
      <c r="Y36" s="55"/>
      <c r="Z36" s="55">
        <v>0.155</v>
      </c>
      <c r="AA36" s="147">
        <v>0.17299999999999999</v>
      </c>
      <c r="AB36" s="147">
        <v>0.184</v>
      </c>
      <c r="AC36" s="147">
        <v>0.19400000000000001</v>
      </c>
      <c r="AD36" s="147">
        <v>0.20200000000000001</v>
      </c>
      <c r="AE36" s="147">
        <v>0.20699999999999999</v>
      </c>
      <c r="AF36" s="147"/>
      <c r="AG36" s="66"/>
      <c r="AH36" s="66"/>
    </row>
    <row r="37" spans="2:34" outlineLevel="1" x14ac:dyDescent="0.25">
      <c r="B37" s="82"/>
      <c r="C37" s="7"/>
      <c r="D37" s="12"/>
      <c r="E37" s="83"/>
      <c r="F37" s="83"/>
      <c r="G37" s="83"/>
      <c r="H37" s="83"/>
      <c r="I37" s="83"/>
      <c r="J37" s="83"/>
      <c r="K37" s="83"/>
      <c r="L37" s="83"/>
      <c r="M37" s="83"/>
      <c r="N37" s="83"/>
      <c r="O37" s="83"/>
      <c r="P37" s="83"/>
      <c r="Q37" s="83"/>
      <c r="R37" s="83"/>
      <c r="S37" s="83"/>
      <c r="T37" s="83"/>
      <c r="U37" s="83"/>
      <c r="V37" s="83"/>
      <c r="W37" s="83"/>
      <c r="X37" s="83"/>
      <c r="Y37" s="83"/>
      <c r="Z37" s="12"/>
      <c r="AA37" s="12"/>
      <c r="AB37" s="12"/>
      <c r="AC37" s="12"/>
      <c r="AD37" s="12"/>
      <c r="AE37" s="12"/>
      <c r="AF37" s="12"/>
      <c r="AG37" s="12"/>
      <c r="AH37" s="12"/>
    </row>
    <row r="38" spans="2:34" x14ac:dyDescent="0.25">
      <c r="B38" s="77" t="s">
        <v>216</v>
      </c>
      <c r="C38" s="7"/>
      <c r="D38" s="12"/>
      <c r="E38" s="12"/>
      <c r="F38" s="12"/>
    </row>
    <row r="39" spans="2:34" x14ac:dyDescent="0.25">
      <c r="B39" s="73" t="s">
        <v>27</v>
      </c>
      <c r="C39" s="7" t="s">
        <v>118</v>
      </c>
      <c r="D39" s="12"/>
      <c r="E39" s="26"/>
      <c r="F39" s="78">
        <f t="shared" ref="E39:F48" si="3">F16/E16-1</f>
        <v>2.8985507246376718E-2</v>
      </c>
      <c r="G39" s="78">
        <f t="shared" ref="G39:G45" si="4">G16/F16-1</f>
        <v>2.1126760563380254E-2</v>
      </c>
      <c r="H39" s="78">
        <f t="shared" ref="H39:H45" si="5">H16/G16-1</f>
        <v>3.4482758620689724E-2</v>
      </c>
      <c r="I39" s="78">
        <f t="shared" ref="I39:I45" si="6">I16/H16-1</f>
        <v>4.6666666666666634E-2</v>
      </c>
      <c r="J39" s="78">
        <f t="shared" ref="J39:J45" si="7">J16/I16-1</f>
        <v>-4.4585987261146487E-2</v>
      </c>
      <c r="K39" s="78">
        <f t="shared" ref="K39:K45" si="8">K16/J16-1</f>
        <v>2.0000000000000018E-2</v>
      </c>
      <c r="L39" s="78">
        <f t="shared" ref="L39:L45" si="9">L16/K16-1</f>
        <v>-3.9215686274509776E-2</v>
      </c>
      <c r="M39" s="78">
        <f t="shared" ref="M39:M45" si="10">M16/L16-1</f>
        <v>8.163265306122458E-2</v>
      </c>
      <c r="N39" s="78">
        <f t="shared" ref="N39:N45" si="11">N16/M16-1</f>
        <v>3.1446540880503138E-2</v>
      </c>
      <c r="O39" s="78">
        <f t="shared" ref="O39:O45" si="12">O16/N16-1</f>
        <v>6.0975609756097615E-3</v>
      </c>
      <c r="P39" s="78">
        <f t="shared" ref="P39:P45" si="13">P16/O16-1</f>
        <v>-4.2424242424242475E-2</v>
      </c>
      <c r="Q39" s="78">
        <f t="shared" ref="Q39:Q45" si="14">Q16/P16-1</f>
        <v>-1.2658227848101222E-2</v>
      </c>
      <c r="R39" s="78">
        <f t="shared" ref="R39:R45" si="15">R16/Q16-1</f>
        <v>0</v>
      </c>
      <c r="S39" s="78">
        <f t="shared" ref="S39:S45" si="16">S16/R16-1</f>
        <v>2.564102564102555E-2</v>
      </c>
      <c r="T39" s="78">
        <f t="shared" ref="T39:T45" si="17">T16/S16-1</f>
        <v>-0.16249999999999998</v>
      </c>
      <c r="U39" s="78">
        <f t="shared" ref="U39:U45" si="18">U16/T16-1</f>
        <v>-0.17164179104477617</v>
      </c>
      <c r="V39" s="78">
        <f t="shared" ref="V39:V45" si="19">V16/U16-1</f>
        <v>9.009009009008917E-3</v>
      </c>
      <c r="W39" s="78">
        <f t="shared" ref="W39:W45" si="20">W16/V16-1</f>
        <v>0.1339285714285714</v>
      </c>
      <c r="X39" s="78">
        <f t="shared" ref="X39:X45" si="21">X16/W16-1</f>
        <v>0.37007874015748032</v>
      </c>
      <c r="Y39" s="78">
        <f t="shared" ref="Y39:Y45" si="22">Y16/X16-1</f>
        <v>0.23563218390804597</v>
      </c>
      <c r="Z39" s="78">
        <f t="shared" ref="Z39:Z45" si="23">Z16/Y16-1</f>
        <v>0.19069767441860463</v>
      </c>
      <c r="AA39" s="78">
        <f t="shared" ref="AA39:AA45" si="24">AA16/Z16-1</f>
        <v>0.44921875</v>
      </c>
      <c r="AB39" s="78">
        <f t="shared" ref="AB39:AB45" si="25">AB16/AA16-1</f>
        <v>-6.7385444743935263E-2</v>
      </c>
      <c r="AC39" s="78">
        <f t="shared" ref="AC39:AC45" si="26">AC16/AB16-1</f>
        <v>2.8901734104045396E-3</v>
      </c>
      <c r="AD39" s="78">
        <f t="shared" ref="AD39:AD45" si="27">AD16/AC16-1</f>
        <v>2.8818443804035088E-3</v>
      </c>
      <c r="AE39" s="78">
        <f t="shared" ref="AE39:AE45" si="28">AE16/AD16-1</f>
        <v>3.7356321839080442E-2</v>
      </c>
      <c r="AF39" s="78">
        <f t="shared" ref="AF39:AF45" si="29">AF16/AE16-1</f>
        <v>4.4321329639889218E-2</v>
      </c>
      <c r="AG39" s="78">
        <f t="shared" ref="AG39:AG45" si="30">AG16/AF16-1</f>
        <v>4.7745358090185652E-2</v>
      </c>
      <c r="AH39" s="78"/>
    </row>
    <row r="40" spans="2:34" x14ac:dyDescent="0.25">
      <c r="B40" s="73" t="s">
        <v>319</v>
      </c>
      <c r="C40" s="7" t="s">
        <v>118</v>
      </c>
      <c r="D40" s="12"/>
      <c r="E40" s="26"/>
      <c r="F40" s="78">
        <f t="shared" si="3"/>
        <v>-4.9261083743842304E-3</v>
      </c>
      <c r="G40" s="78">
        <f t="shared" si="4"/>
        <v>2.4752475247524774E-2</v>
      </c>
      <c r="H40" s="78">
        <f t="shared" si="5"/>
        <v>5.0724637681159424E-2</v>
      </c>
      <c r="I40" s="78">
        <f t="shared" si="6"/>
        <v>0.14942528735632177</v>
      </c>
      <c r="J40" s="78">
        <f t="shared" si="7"/>
        <v>0.1379999999999999</v>
      </c>
      <c r="K40" s="78">
        <f t="shared" si="8"/>
        <v>0.16168717047451664</v>
      </c>
      <c r="L40" s="78">
        <f t="shared" si="9"/>
        <v>-7.8668683812405438E-2</v>
      </c>
      <c r="M40" s="78">
        <f t="shared" si="10"/>
        <v>4.4334975369458185E-2</v>
      </c>
      <c r="N40" s="78">
        <f t="shared" si="11"/>
        <v>6.2893081761006275E-3</v>
      </c>
      <c r="O40" s="78">
        <f t="shared" si="12"/>
        <v>5.1562499999999956E-2</v>
      </c>
      <c r="P40" s="78">
        <f t="shared" si="13"/>
        <v>-1.9316493313521588E-2</v>
      </c>
      <c r="Q40" s="78">
        <f t="shared" si="14"/>
        <v>1.3636363636363669E-2</v>
      </c>
      <c r="R40" s="78">
        <f t="shared" si="15"/>
        <v>2.2421524663677195E-2</v>
      </c>
      <c r="S40" s="78">
        <f t="shared" si="16"/>
        <v>5.4093567251461971E-2</v>
      </c>
      <c r="T40" s="78">
        <f t="shared" si="17"/>
        <v>7.4895977808599135E-2</v>
      </c>
      <c r="U40" s="78">
        <f t="shared" si="18"/>
        <v>-3.870967741935516E-3</v>
      </c>
      <c r="V40" s="78">
        <f t="shared" si="19"/>
        <v>9.0673575129534001E-3</v>
      </c>
      <c r="W40" s="78">
        <f t="shared" si="20"/>
        <v>5.1347881899872494E-3</v>
      </c>
      <c r="X40" s="78">
        <f t="shared" si="21"/>
        <v>-0.20178799489144317</v>
      </c>
      <c r="Y40" s="78">
        <f t="shared" si="22"/>
        <v>0.34719999999999995</v>
      </c>
      <c r="Z40" s="78">
        <f t="shared" si="23"/>
        <v>-0.24821852731591454</v>
      </c>
      <c r="AA40" s="78">
        <f t="shared" si="24"/>
        <v>0.48341232227488162</v>
      </c>
      <c r="AB40" s="78">
        <f t="shared" si="25"/>
        <v>1.8104366347177825E-2</v>
      </c>
      <c r="AC40" s="78">
        <f t="shared" si="26"/>
        <v>6.2761506276150625E-2</v>
      </c>
      <c r="AD40" s="78">
        <f t="shared" si="27"/>
        <v>4.3307086614173151E-2</v>
      </c>
      <c r="AE40" s="78">
        <f t="shared" si="28"/>
        <v>2.2641509433962259E-2</v>
      </c>
      <c r="AF40" s="78">
        <f t="shared" si="29"/>
        <v>2.6752767527675303E-2</v>
      </c>
      <c r="AG40" s="78">
        <f t="shared" si="30"/>
        <v>2.8751123090745789E-2</v>
      </c>
      <c r="AH40" s="78"/>
    </row>
    <row r="41" spans="2:34" x14ac:dyDescent="0.25">
      <c r="B41" s="73" t="s">
        <v>314</v>
      </c>
      <c r="C41" s="7" t="s">
        <v>118</v>
      </c>
      <c r="D41" s="12"/>
      <c r="E41" s="26"/>
      <c r="F41" s="78">
        <f t="shared" si="3"/>
        <v>-1.2383900928792602E-2</v>
      </c>
      <c r="G41" s="78">
        <f t="shared" si="4"/>
        <v>5.9561128526645746E-2</v>
      </c>
      <c r="H41" s="78">
        <f t="shared" si="5"/>
        <v>5.9171597633136175E-2</v>
      </c>
      <c r="I41" s="78">
        <f t="shared" si="6"/>
        <v>0.1033519553072626</v>
      </c>
      <c r="J41" s="78">
        <f t="shared" si="7"/>
        <v>5.5696202531645644E-2</v>
      </c>
      <c r="K41" s="78">
        <f t="shared" si="8"/>
        <v>7.4340527577937632E-2</v>
      </c>
      <c r="L41" s="78">
        <f t="shared" si="9"/>
        <v>-8.9285714285714302E-2</v>
      </c>
      <c r="M41" s="78">
        <f t="shared" si="10"/>
        <v>7.3529411764705621E-3</v>
      </c>
      <c r="N41" s="78">
        <f t="shared" si="11"/>
        <v>3.4063260340632562E-2</v>
      </c>
      <c r="O41" s="78">
        <f t="shared" si="12"/>
        <v>8.0000000000000071E-2</v>
      </c>
      <c r="P41" s="78">
        <f t="shared" si="13"/>
        <v>6.7538126361655682E-2</v>
      </c>
      <c r="Q41" s="78">
        <f t="shared" si="14"/>
        <v>3.6734693877551017E-2</v>
      </c>
      <c r="R41" s="78">
        <f t="shared" si="15"/>
        <v>4.9212598425196763E-2</v>
      </c>
      <c r="S41" s="78">
        <f t="shared" si="16"/>
        <v>0.1163227016885553</v>
      </c>
      <c r="T41" s="78">
        <f t="shared" si="17"/>
        <v>0.14285714285714279</v>
      </c>
      <c r="U41" s="78">
        <f t="shared" si="18"/>
        <v>7.3529411764705843E-2</v>
      </c>
      <c r="V41" s="78">
        <f t="shared" si="19"/>
        <v>8.6301369863013733E-2</v>
      </c>
      <c r="W41" s="78">
        <f t="shared" si="20"/>
        <v>8.7011349306431285E-2</v>
      </c>
      <c r="X41" s="78">
        <f t="shared" si="21"/>
        <v>-0.12296983758700697</v>
      </c>
      <c r="Y41" s="78">
        <f t="shared" si="22"/>
        <v>0.35052910052910047</v>
      </c>
      <c r="Z41" s="78">
        <f t="shared" si="23"/>
        <v>-0.1929480901077375</v>
      </c>
      <c r="AA41" s="78">
        <f t="shared" si="24"/>
        <v>0.56917475728155331</v>
      </c>
      <c r="AB41" s="78">
        <f t="shared" si="25"/>
        <v>4.6403712296983812E-2</v>
      </c>
      <c r="AC41" s="78">
        <f t="shared" si="26"/>
        <v>7.0953436807095427E-2</v>
      </c>
      <c r="AD41" s="78">
        <f t="shared" si="27"/>
        <v>7.108350586611456E-2</v>
      </c>
      <c r="AE41" s="78">
        <f t="shared" si="28"/>
        <v>7.1520618556700999E-2</v>
      </c>
      <c r="AF41" s="78">
        <f t="shared" si="29"/>
        <v>7.2760072158749356E-2</v>
      </c>
      <c r="AG41" s="78">
        <f t="shared" si="30"/>
        <v>7.3430493273542563E-2</v>
      </c>
      <c r="AH41" s="78"/>
    </row>
    <row r="42" spans="2:34" x14ac:dyDescent="0.25">
      <c r="B42" s="73" t="s">
        <v>315</v>
      </c>
      <c r="C42" s="7" t="s">
        <v>118</v>
      </c>
      <c r="D42" s="12"/>
      <c r="E42" s="26"/>
      <c r="F42" s="78">
        <f t="shared" si="3"/>
        <v>3.9215686274509665E-3</v>
      </c>
      <c r="G42" s="78">
        <f t="shared" si="4"/>
        <v>8.203125E-2</v>
      </c>
      <c r="H42" s="78">
        <f t="shared" si="5"/>
        <v>3.6101083032491488E-3</v>
      </c>
      <c r="I42" s="78">
        <f t="shared" si="6"/>
        <v>1.0791366906474753E-2</v>
      </c>
      <c r="J42" s="78">
        <f t="shared" si="7"/>
        <v>7.1174377224199059E-3</v>
      </c>
      <c r="K42" s="78">
        <f t="shared" si="8"/>
        <v>3.5335689045936647E-3</v>
      </c>
      <c r="L42" s="78">
        <f t="shared" si="9"/>
        <v>5.6338028169014009E-2</v>
      </c>
      <c r="M42" s="78">
        <f t="shared" si="10"/>
        <v>2.6666666666666616E-2</v>
      </c>
      <c r="N42" s="78">
        <f t="shared" si="11"/>
        <v>0.13311688311688319</v>
      </c>
      <c r="O42" s="78">
        <f t="shared" si="12"/>
        <v>-0.12034383954154726</v>
      </c>
      <c r="P42" s="78">
        <f t="shared" si="13"/>
        <v>9.1205211726384405E-2</v>
      </c>
      <c r="Q42" s="78">
        <f t="shared" si="14"/>
        <v>4.7761194029850795E-2</v>
      </c>
      <c r="R42" s="78">
        <f t="shared" si="15"/>
        <v>-7.1225071225071268E-2</v>
      </c>
      <c r="S42" s="78">
        <f t="shared" si="16"/>
        <v>3.0674846625766694E-3</v>
      </c>
      <c r="T42" s="78">
        <f t="shared" si="17"/>
        <v>0.10703363914373099</v>
      </c>
      <c r="U42" s="78">
        <f t="shared" si="18"/>
        <v>-4.4198895027624308E-2</v>
      </c>
      <c r="V42" s="78">
        <f t="shared" si="19"/>
        <v>2.8901734104046284E-2</v>
      </c>
      <c r="W42" s="78">
        <f t="shared" si="20"/>
        <v>0.27528089887640439</v>
      </c>
      <c r="X42" s="78">
        <f t="shared" si="21"/>
        <v>4.1850220264317173E-2</v>
      </c>
      <c r="Y42" s="78">
        <f t="shared" si="22"/>
        <v>5.9196617336152224E-2</v>
      </c>
      <c r="Z42" s="78">
        <f t="shared" si="23"/>
        <v>0.15369261477045915</v>
      </c>
      <c r="AA42" s="78">
        <f t="shared" si="24"/>
        <v>-2.9411764705882359E-2</v>
      </c>
      <c r="AB42" s="78">
        <f t="shared" si="25"/>
        <v>0.12477718360071299</v>
      </c>
      <c r="AC42" s="78">
        <f t="shared" si="26"/>
        <v>-0.12361331220285265</v>
      </c>
      <c r="AD42" s="78">
        <f t="shared" si="27"/>
        <v>4.3399638336347302E-2</v>
      </c>
      <c r="AE42" s="78">
        <f t="shared" si="28"/>
        <v>3.119584055459268E-2</v>
      </c>
      <c r="AF42" s="78">
        <f t="shared" si="29"/>
        <v>3.0252100840336027E-2</v>
      </c>
      <c r="AG42" s="78">
        <f t="shared" si="30"/>
        <v>2.9363784665579207E-2</v>
      </c>
      <c r="AH42" s="78"/>
    </row>
    <row r="43" spans="2:34" x14ac:dyDescent="0.25">
      <c r="B43" s="73" t="s">
        <v>316</v>
      </c>
      <c r="C43" s="7" t="s">
        <v>118</v>
      </c>
      <c r="D43" s="12"/>
      <c r="E43" s="26"/>
      <c r="F43" s="78">
        <f t="shared" si="3"/>
        <v>-2.4390243902439046E-2</v>
      </c>
      <c r="G43" s="78">
        <f t="shared" si="4"/>
        <v>0</v>
      </c>
      <c r="H43" s="78">
        <f t="shared" si="5"/>
        <v>1.2499999999999956E-2</v>
      </c>
      <c r="I43" s="78">
        <f t="shared" si="6"/>
        <v>9.8765432098765427E-2</v>
      </c>
      <c r="J43" s="78">
        <f t="shared" si="7"/>
        <v>4.4943820224719211E-2</v>
      </c>
      <c r="K43" s="78">
        <f t="shared" si="8"/>
        <v>6.4516129032258007E-2</v>
      </c>
      <c r="L43" s="78">
        <f t="shared" si="9"/>
        <v>-2.0202020202020221E-2</v>
      </c>
      <c r="M43" s="78">
        <f t="shared" si="10"/>
        <v>3.0927835051546282E-2</v>
      </c>
      <c r="N43" s="78">
        <f t="shared" si="11"/>
        <v>0.15999999999999992</v>
      </c>
      <c r="O43" s="78">
        <f t="shared" si="12"/>
        <v>0.2068965517241379</v>
      </c>
      <c r="P43" s="78">
        <f t="shared" si="13"/>
        <v>0.12857142857142856</v>
      </c>
      <c r="Q43" s="78">
        <f t="shared" si="14"/>
        <v>0.10759493670886067</v>
      </c>
      <c r="R43" s="78">
        <f t="shared" si="15"/>
        <v>0.12571428571428567</v>
      </c>
      <c r="S43" s="78">
        <f t="shared" si="16"/>
        <v>0.26903553299492389</v>
      </c>
      <c r="T43" s="78">
        <f t="shared" si="17"/>
        <v>0.1399999999999999</v>
      </c>
      <c r="U43" s="78">
        <f t="shared" si="18"/>
        <v>3.1578947368421151E-2</v>
      </c>
      <c r="V43" s="78">
        <f t="shared" si="19"/>
        <v>0</v>
      </c>
      <c r="W43" s="78">
        <f t="shared" si="20"/>
        <v>0.34013605442176864</v>
      </c>
      <c r="X43" s="78">
        <f t="shared" si="21"/>
        <v>-0.57106598984771573</v>
      </c>
      <c r="Y43" s="78">
        <f t="shared" si="22"/>
        <v>-0.21893491124260356</v>
      </c>
      <c r="Z43" s="78">
        <f t="shared" si="23"/>
        <v>-2.2727272727272707E-2</v>
      </c>
      <c r="AA43" s="78">
        <f t="shared" si="24"/>
        <v>0.51162790697674421</v>
      </c>
      <c r="AB43" s="78">
        <f t="shared" si="25"/>
        <v>4.1025641025641102E-2</v>
      </c>
      <c r="AC43" s="78">
        <f t="shared" si="26"/>
        <v>9.8522167487684831E-2</v>
      </c>
      <c r="AD43" s="78">
        <f t="shared" si="27"/>
        <v>-0.26008968609865468</v>
      </c>
      <c r="AE43" s="78">
        <f t="shared" si="28"/>
        <v>5.4545454545454453E-2</v>
      </c>
      <c r="AF43" s="78">
        <f t="shared" si="29"/>
        <v>6.8965517241379226E-2</v>
      </c>
      <c r="AG43" s="78">
        <f t="shared" si="30"/>
        <v>5.9139784946236507E-2</v>
      </c>
      <c r="AH43" s="78"/>
    </row>
    <row r="44" spans="2:34" x14ac:dyDescent="0.25">
      <c r="B44" s="73" t="s">
        <v>326</v>
      </c>
      <c r="C44" s="7" t="s">
        <v>118</v>
      </c>
      <c r="D44" s="12"/>
      <c r="E44" s="26"/>
      <c r="F44" s="78">
        <f t="shared" si="3"/>
        <v>-0.11111111111111116</v>
      </c>
      <c r="G44" s="78">
        <f t="shared" si="4"/>
        <v>0</v>
      </c>
      <c r="H44" s="78">
        <f t="shared" si="5"/>
        <v>0</v>
      </c>
      <c r="I44" s="78">
        <f t="shared" si="6"/>
        <v>0.125</v>
      </c>
      <c r="J44" s="78">
        <f t="shared" si="7"/>
        <v>-0.11111111111111116</v>
      </c>
      <c r="K44" s="78">
        <f t="shared" si="8"/>
        <v>0</v>
      </c>
      <c r="L44" s="78">
        <f t="shared" si="9"/>
        <v>0.125</v>
      </c>
      <c r="M44" s="78">
        <f t="shared" si="10"/>
        <v>0.22222222222222232</v>
      </c>
      <c r="N44" s="78">
        <f t="shared" si="11"/>
        <v>0</v>
      </c>
      <c r="O44" s="78">
        <f t="shared" si="12"/>
        <v>0.18181818181818188</v>
      </c>
      <c r="P44" s="78">
        <f t="shared" si="13"/>
        <v>7.6923076923076872E-2</v>
      </c>
      <c r="Q44" s="78">
        <f t="shared" si="14"/>
        <v>0</v>
      </c>
      <c r="R44" s="78">
        <f t="shared" si="15"/>
        <v>-7.1428571428571397E-2</v>
      </c>
      <c r="S44" s="78">
        <f t="shared" si="16"/>
        <v>7.6923076923076872E-2</v>
      </c>
      <c r="T44" s="78">
        <f t="shared" si="17"/>
        <v>7.1428571428571397E-2</v>
      </c>
      <c r="U44" s="78">
        <f t="shared" si="18"/>
        <v>0.1333333333333333</v>
      </c>
      <c r="V44" s="78">
        <f t="shared" si="19"/>
        <v>-5.8823529411764719E-2</v>
      </c>
      <c r="W44" s="78">
        <f t="shared" si="20"/>
        <v>-6.25E-2</v>
      </c>
      <c r="X44" s="78">
        <f t="shared" si="21"/>
        <v>-0.33333333333333337</v>
      </c>
      <c r="Y44" s="78">
        <f t="shared" si="22"/>
        <v>0.60000000000000009</v>
      </c>
      <c r="Z44" s="78">
        <f t="shared" si="23"/>
        <v>-0.375</v>
      </c>
      <c r="AA44" s="78">
        <f t="shared" si="24"/>
        <v>0.7</v>
      </c>
      <c r="AB44" s="78">
        <f t="shared" si="25"/>
        <v>5.8823529411764719E-2</v>
      </c>
      <c r="AC44" s="78">
        <f t="shared" si="26"/>
        <v>0.11111111111111116</v>
      </c>
      <c r="AD44" s="78">
        <f t="shared" si="27"/>
        <v>5.0000000000000044E-2</v>
      </c>
      <c r="AE44" s="78">
        <f t="shared" si="28"/>
        <v>0</v>
      </c>
      <c r="AF44" s="78">
        <f t="shared" si="29"/>
        <v>4.7619047619047672E-2</v>
      </c>
      <c r="AG44" s="78">
        <f t="shared" si="30"/>
        <v>4.5454545454545414E-2</v>
      </c>
      <c r="AH44" s="78"/>
    </row>
    <row r="45" spans="2:34" x14ac:dyDescent="0.25">
      <c r="B45" s="22" t="s">
        <v>327</v>
      </c>
      <c r="C45" s="7" t="s">
        <v>118</v>
      </c>
      <c r="D45" s="12"/>
      <c r="E45" s="26"/>
      <c r="F45" s="78">
        <f t="shared" si="3"/>
        <v>-3.2976092333057982E-3</v>
      </c>
      <c r="G45" s="78">
        <f t="shared" si="4"/>
        <v>4.3837882547560048E-2</v>
      </c>
      <c r="H45" s="78">
        <f t="shared" si="5"/>
        <v>3.882725832012679E-2</v>
      </c>
      <c r="I45" s="78">
        <f t="shared" si="6"/>
        <v>9.1533180778031964E-2</v>
      </c>
      <c r="J45" s="78">
        <f t="shared" si="7"/>
        <v>6.219426974143949E-2</v>
      </c>
      <c r="K45" s="78">
        <f t="shared" si="8"/>
        <v>8.7499999999999911E-2</v>
      </c>
      <c r="L45" s="78">
        <f t="shared" si="9"/>
        <v>-5.0211736237144589E-2</v>
      </c>
      <c r="M45" s="78">
        <f t="shared" si="10"/>
        <v>3.5031847133758065E-2</v>
      </c>
      <c r="N45" s="78">
        <f t="shared" si="11"/>
        <v>4.9230769230769189E-2</v>
      </c>
      <c r="O45" s="78">
        <f t="shared" si="12"/>
        <v>3.0498533724340193E-2</v>
      </c>
      <c r="P45" s="78">
        <f t="shared" si="13"/>
        <v>3.3010813887307977E-2</v>
      </c>
      <c r="Q45" s="78">
        <f t="shared" si="14"/>
        <v>3.1955922865013697E-2</v>
      </c>
      <c r="R45" s="78">
        <f t="shared" si="15"/>
        <v>1.9754404698344885E-2</v>
      </c>
      <c r="S45" s="78">
        <f t="shared" si="16"/>
        <v>8.2198952879581233E-2</v>
      </c>
      <c r="T45" s="78">
        <f t="shared" si="17"/>
        <v>8.9017900338655087E-2</v>
      </c>
      <c r="U45" s="78">
        <f t="shared" si="18"/>
        <v>8.8849400266548528E-3</v>
      </c>
      <c r="V45" s="78">
        <f t="shared" si="19"/>
        <v>3.4786437692646333E-2</v>
      </c>
      <c r="W45" s="78">
        <f t="shared" si="20"/>
        <v>0.12085106382978728</v>
      </c>
      <c r="X45" s="78">
        <f t="shared" si="21"/>
        <v>-0.16211085801063019</v>
      </c>
      <c r="Y45" s="78">
        <f t="shared" si="22"/>
        <v>0.23561395559583143</v>
      </c>
      <c r="Z45" s="78">
        <f t="shared" si="23"/>
        <v>-0.1085441877521085</v>
      </c>
      <c r="AA45" s="78">
        <f t="shared" si="24"/>
        <v>0.38790621143562309</v>
      </c>
      <c r="AB45" s="78">
        <f t="shared" si="25"/>
        <v>3.9419087136929543E-2</v>
      </c>
      <c r="AC45" s="78">
        <f t="shared" si="26"/>
        <v>2.8799543769603586E-2</v>
      </c>
      <c r="AD45" s="78">
        <f t="shared" si="27"/>
        <v>3.187361419068746E-2</v>
      </c>
      <c r="AE45" s="78">
        <f t="shared" si="28"/>
        <v>4.7273704002148698E-2</v>
      </c>
      <c r="AF45" s="78">
        <f t="shared" si="29"/>
        <v>5.0269299820466795E-2</v>
      </c>
      <c r="AG45" s="78">
        <f t="shared" si="30"/>
        <v>5.1526251526251565E-2</v>
      </c>
      <c r="AH45" s="78"/>
    </row>
    <row r="47" spans="2:34" x14ac:dyDescent="0.25">
      <c r="B47" s="73" t="s">
        <v>328</v>
      </c>
      <c r="C47" s="7" t="s">
        <v>123</v>
      </c>
      <c r="E47" s="78">
        <f t="shared" si="3"/>
        <v>-0.12169904511030627</v>
      </c>
      <c r="F47" s="78">
        <f t="shared" si="3"/>
        <v>-9.5223813451300598E-3</v>
      </c>
      <c r="G47" s="78">
        <f t="shared" ref="G47:AE47" si="31">G24/F24-1</f>
        <v>7.085541256623773E-2</v>
      </c>
      <c r="H47" s="78">
        <f t="shared" si="31"/>
        <v>6.1642867241623156E-2</v>
      </c>
      <c r="I47" s="78">
        <f t="shared" si="31"/>
        <v>1.8777467039552631E-2</v>
      </c>
      <c r="J47" s="78">
        <f t="shared" si="31"/>
        <v>3.9346405228758208E-2</v>
      </c>
      <c r="K47" s="78">
        <f t="shared" si="31"/>
        <v>0.11287888315935102</v>
      </c>
      <c r="L47" s="78">
        <f t="shared" si="31"/>
        <v>4.8426286941289476E-2</v>
      </c>
      <c r="M47" s="78">
        <f t="shared" si="31"/>
        <v>-3.6056914950953978E-2</v>
      </c>
      <c r="N47" s="78">
        <f t="shared" si="31"/>
        <v>6.9555493430248916E-2</v>
      </c>
      <c r="O47" s="78">
        <f t="shared" si="31"/>
        <v>6.6182236395002425E-2</v>
      </c>
      <c r="P47" s="78">
        <f t="shared" si="31"/>
        <v>1.2993380730571324E-2</v>
      </c>
      <c r="Q47" s="78">
        <f t="shared" si="31"/>
        <v>6.3891577928363974E-2</v>
      </c>
      <c r="R47" s="78">
        <f t="shared" si="31"/>
        <v>0.10532302092811641</v>
      </c>
      <c r="S47" s="78">
        <f t="shared" si="31"/>
        <v>7.2936818275365356E-2</v>
      </c>
      <c r="T47" s="78">
        <f t="shared" si="31"/>
        <v>0.11589365864886636</v>
      </c>
      <c r="U47" s="78">
        <f t="shared" si="31"/>
        <v>5.8477722772277252E-2</v>
      </c>
      <c r="V47" s="78">
        <f t="shared" si="31"/>
        <v>1.744129396862526E-2</v>
      </c>
      <c r="W47" s="78">
        <f t="shared" si="31"/>
        <v>-9.5767094426355559E-3</v>
      </c>
      <c r="X47" s="78">
        <f t="shared" si="31"/>
        <v>-3.497066976084573E-2</v>
      </c>
      <c r="Y47" s="78">
        <f t="shared" si="31"/>
        <v>0.14916001469556806</v>
      </c>
      <c r="Z47" s="78">
        <f t="shared" si="31"/>
        <v>0.13369372511407573</v>
      </c>
      <c r="AA47" s="78">
        <f t="shared" si="31"/>
        <v>1.8970953931345624E-2</v>
      </c>
      <c r="AB47" s="78">
        <f t="shared" si="31"/>
        <v>0.12217274259692545</v>
      </c>
      <c r="AC47" s="78">
        <f t="shared" si="31"/>
        <v>6.7170369706073485E-2</v>
      </c>
      <c r="AD47" s="78">
        <f t="shared" si="31"/>
        <v>7.8131893527174867E-2</v>
      </c>
      <c r="AE47" s="78">
        <f t="shared" si="31"/>
        <v>5.4951479013211735E-2</v>
      </c>
      <c r="AF47" s="78">
        <f>AF24/AE24-1</f>
        <v>4.6732424544682072E-2</v>
      </c>
      <c r="AG47" s="78">
        <f>AG24/AF24-1</f>
        <v>5.0698807086892117E-2</v>
      </c>
      <c r="AH47" s="78"/>
    </row>
    <row r="48" spans="2:34" x14ac:dyDescent="0.25">
      <c r="B48" s="73" t="s">
        <v>329</v>
      </c>
      <c r="C48" s="7" t="s">
        <v>123</v>
      </c>
      <c r="E48" s="78">
        <f t="shared" si="3"/>
        <v>5.0235632936248109E-2</v>
      </c>
      <c r="F48" s="78">
        <f t="shared" si="3"/>
        <v>5.4594746190520738E-2</v>
      </c>
      <c r="G48" s="78">
        <f t="shared" ref="G48:AE48" si="32">G25/F25-1</f>
        <v>6.580385899595198E-2</v>
      </c>
      <c r="H48" s="78">
        <f t="shared" si="32"/>
        <v>4.3997782090379856E-2</v>
      </c>
      <c r="I48" s="78">
        <f t="shared" si="32"/>
        <v>3.7921236423506866E-2</v>
      </c>
      <c r="J48" s="78">
        <f t="shared" si="32"/>
        <v>9.1262632723551285E-2</v>
      </c>
      <c r="K48" s="78">
        <f t="shared" si="32"/>
        <v>4.8485416862046327E-2</v>
      </c>
      <c r="L48" s="78">
        <f t="shared" si="32"/>
        <v>6.1024150268336408E-2</v>
      </c>
      <c r="M48" s="78">
        <f t="shared" si="32"/>
        <v>4.710320554700842E-2</v>
      </c>
      <c r="N48" s="78">
        <f t="shared" si="32"/>
        <v>0.13404717816600908</v>
      </c>
      <c r="O48" s="78">
        <f t="shared" si="32"/>
        <v>1.4624449808320339E-2</v>
      </c>
      <c r="P48" s="78">
        <f t="shared" si="32"/>
        <v>3.2098376714245758E-2</v>
      </c>
      <c r="Q48" s="78">
        <f t="shared" si="32"/>
        <v>1.9100723692015764E-2</v>
      </c>
      <c r="R48" s="78">
        <f t="shared" si="32"/>
        <v>9.7704972559454539E-2</v>
      </c>
      <c r="S48" s="78">
        <f t="shared" si="32"/>
        <v>5.4723127035830599E-2</v>
      </c>
      <c r="T48" s="78">
        <f t="shared" si="32"/>
        <v>7.0600571699441339E-2</v>
      </c>
      <c r="U48" s="78">
        <f t="shared" si="32"/>
        <v>4.8395320130950381E-2</v>
      </c>
      <c r="V48" s="78">
        <f t="shared" si="32"/>
        <v>3.2416590946902302E-2</v>
      </c>
      <c r="W48" s="78">
        <f t="shared" si="32"/>
        <v>1.2185144783815938E-2</v>
      </c>
      <c r="X48" s="78">
        <f t="shared" si="32"/>
        <v>-3.1841283448655888E-3</v>
      </c>
      <c r="Y48" s="78">
        <f t="shared" si="32"/>
        <v>8.0717488789237679E-2</v>
      </c>
      <c r="Z48" s="78">
        <f t="shared" si="32"/>
        <v>0.1764451770590576</v>
      </c>
      <c r="AA48" s="78">
        <f t="shared" si="32"/>
        <v>2.33364899599946E-2</v>
      </c>
      <c r="AB48" s="78">
        <f t="shared" si="32"/>
        <v>4.0773930368929401E-2</v>
      </c>
      <c r="AC48" s="78">
        <f t="shared" si="32"/>
        <v>7.1412369918072205E-2</v>
      </c>
      <c r="AD48" s="78">
        <f t="shared" si="32"/>
        <v>5.1350664747226604E-2</v>
      </c>
      <c r="AE48" s="78">
        <f t="shared" si="32"/>
        <v>3.1283728272951228E-2</v>
      </c>
      <c r="AF48" s="78">
        <f>AF25/AE25-1</f>
        <v>4.0566081944422683E-2</v>
      </c>
      <c r="AG48" s="78">
        <f>AG25/AF25-1</f>
        <v>2.9294764020655784E-2</v>
      </c>
      <c r="AH48" s="78"/>
    </row>
    <row r="49" spans="2:34" x14ac:dyDescent="0.25">
      <c r="B49" s="73" t="s">
        <v>347</v>
      </c>
      <c r="C49" s="7" t="s">
        <v>123</v>
      </c>
      <c r="E49" s="78">
        <f>E27/D27-1</f>
        <v>5.5805427860923018E-2</v>
      </c>
      <c r="F49" s="78">
        <f>F27/E27-1</f>
        <v>3.6940658238166613E-2</v>
      </c>
      <c r="G49" s="78">
        <f t="shared" ref="G49:AE49" si="33">G27/F27-1</f>
        <v>5.4903398439862139E-2</v>
      </c>
      <c r="H49" s="78">
        <f t="shared" si="33"/>
        <v>7.5175821065567083E-2</v>
      </c>
      <c r="I49" s="78">
        <f t="shared" si="33"/>
        <v>5.2578789878108045E-2</v>
      </c>
      <c r="J49" s="78">
        <f t="shared" si="33"/>
        <v>5.2212700352347818E-2</v>
      </c>
      <c r="K49" s="78">
        <f t="shared" si="33"/>
        <v>6.2041555597008191E-2</v>
      </c>
      <c r="L49" s="78">
        <f t="shared" si="33"/>
        <v>6.6955622600886722E-2</v>
      </c>
      <c r="M49" s="78">
        <f t="shared" si="33"/>
        <v>4.74816132543876E-2</v>
      </c>
      <c r="N49" s="78">
        <f t="shared" si="33"/>
        <v>4.7628341778344518E-2</v>
      </c>
      <c r="O49" s="78">
        <f t="shared" si="33"/>
        <v>7.5426503074015994E-2</v>
      </c>
      <c r="P49" s="78">
        <f t="shared" si="33"/>
        <v>4.5660405375306246E-2</v>
      </c>
      <c r="Q49" s="78">
        <f t="shared" si="33"/>
        <v>3.2450319726661681E-2</v>
      </c>
      <c r="R49" s="78">
        <f t="shared" si="33"/>
        <v>3.2195209376185252E-2</v>
      </c>
      <c r="S49" s="78">
        <f t="shared" si="33"/>
        <v>3.6797677381320115E-2</v>
      </c>
      <c r="T49" s="78">
        <f t="shared" si="33"/>
        <v>4.8651585402187614E-2</v>
      </c>
      <c r="U49" s="78">
        <f t="shared" si="33"/>
        <v>7.0941648576728911E-2</v>
      </c>
      <c r="V49" s="78">
        <f t="shared" si="33"/>
        <v>4.8002829815715131E-2</v>
      </c>
      <c r="W49" s="78">
        <f t="shared" si="33"/>
        <v>3.474520185307739E-2</v>
      </c>
      <c r="X49" s="78">
        <f t="shared" si="33"/>
        <v>-1.2791813239526606E-3</v>
      </c>
      <c r="Y49" s="78">
        <f t="shared" si="33"/>
        <v>2.9618956131924445E-2</v>
      </c>
      <c r="Z49" s="78">
        <f t="shared" si="33"/>
        <v>8.4434769087233796E-2</v>
      </c>
      <c r="AA49" s="78">
        <f t="shared" si="33"/>
        <v>0.10108976197304265</v>
      </c>
      <c r="AB49" s="78">
        <f t="shared" si="33"/>
        <v>3.4119025914832735E-2</v>
      </c>
      <c r="AC49" s="78">
        <f t="shared" si="33"/>
        <v>3.5637828988792419E-2</v>
      </c>
      <c r="AD49" s="78">
        <f t="shared" si="33"/>
        <v>4.4868677042801508E-2</v>
      </c>
      <c r="AE49" s="78">
        <f t="shared" si="33"/>
        <v>4.8527871523333044E-2</v>
      </c>
      <c r="AF49" s="78">
        <f>AF27/AE27-1</f>
        <v>-1</v>
      </c>
      <c r="AG49" s="78" t="e">
        <f>AG27/AF27-1</f>
        <v>#DIV/0!</v>
      </c>
      <c r="AH49" s="78"/>
    </row>
    <row r="50" spans="2:34" x14ac:dyDescent="0.25">
      <c r="B50" s="73" t="s">
        <v>342</v>
      </c>
      <c r="C50" s="7" t="s">
        <v>123</v>
      </c>
      <c r="E50" s="78">
        <f>E32/D32-1</f>
        <v>-0.29454508238665433</v>
      </c>
      <c r="F50" s="78">
        <f>F32/E32-1</f>
        <v>-0.21340490352531549</v>
      </c>
      <c r="G50" s="78">
        <f t="shared" ref="G50:AE50" si="34">G32/F32-1</f>
        <v>-0.32902987827369978</v>
      </c>
      <c r="H50" s="78">
        <f t="shared" si="34"/>
        <v>-0.18361737218251784</v>
      </c>
      <c r="I50" s="78">
        <f t="shared" si="34"/>
        <v>-4.8484848484848464E-2</v>
      </c>
      <c r="J50" s="78">
        <f t="shared" si="34"/>
        <v>-0.4752300070771408</v>
      </c>
      <c r="K50" s="78">
        <f t="shared" si="34"/>
        <v>1.4578556979096424</v>
      </c>
      <c r="L50" s="78">
        <f t="shared" si="34"/>
        <v>0.55363511659807951</v>
      </c>
      <c r="M50" s="78">
        <f t="shared" si="34"/>
        <v>0.44269821649302488</v>
      </c>
      <c r="N50" s="78">
        <f t="shared" si="34"/>
        <v>0.12129742962056311</v>
      </c>
      <c r="O50" s="78">
        <f t="shared" si="34"/>
        <v>-0.13109922497543935</v>
      </c>
      <c r="P50" s="78">
        <f t="shared" si="34"/>
        <v>0.77474874371859292</v>
      </c>
      <c r="Q50" s="78">
        <f t="shared" si="34"/>
        <v>-0.15714589084731367</v>
      </c>
      <c r="R50" s="78">
        <f t="shared" si="34"/>
        <v>-0.42311245485848659</v>
      </c>
      <c r="S50" s="78">
        <f t="shared" si="34"/>
        <v>-0.2049788906682195</v>
      </c>
      <c r="T50" s="78">
        <f t="shared" si="34"/>
        <v>-1.0104376487822744</v>
      </c>
      <c r="U50" s="78">
        <f t="shared" si="34"/>
        <v>162.92982456140351</v>
      </c>
      <c r="V50" s="78">
        <f t="shared" si="34"/>
        <v>0.19809503424657526</v>
      </c>
      <c r="W50" s="78">
        <f t="shared" si="34"/>
        <v>-7.0924519874944192E-2</v>
      </c>
      <c r="X50" s="78">
        <f t="shared" si="34"/>
        <v>-3.18555908085761</v>
      </c>
      <c r="Y50" s="78">
        <f t="shared" si="34"/>
        <v>0.63100475101178954</v>
      </c>
      <c r="Z50" s="78">
        <f t="shared" si="34"/>
        <v>0.50450426151688421</v>
      </c>
      <c r="AA50" s="78">
        <f t="shared" si="34"/>
        <v>0.34226708018859475</v>
      </c>
      <c r="AB50" s="78">
        <f t="shared" si="34"/>
        <v>0.23708145793543745</v>
      </c>
      <c r="AC50" s="78">
        <f t="shared" si="34"/>
        <v>9.0149421316289446E-2</v>
      </c>
      <c r="AD50" s="78">
        <f t="shared" si="34"/>
        <v>6.7750113890704622E-2</v>
      </c>
      <c r="AE50" s="78">
        <f t="shared" si="34"/>
        <v>5.3387747530492025E-2</v>
      </c>
      <c r="AF50" s="78">
        <f>AF32/AE32-1</f>
        <v>-1</v>
      </c>
      <c r="AG50" s="78" t="e">
        <f>AG32/AF32-1</f>
        <v>#DIV/0!</v>
      </c>
      <c r="AH50" s="78"/>
    </row>
    <row r="52" spans="2:34" x14ac:dyDescent="0.25">
      <c r="B52" s="74" t="s">
        <v>325</v>
      </c>
      <c r="C52" s="7"/>
      <c r="D52" s="12"/>
      <c r="E52" s="12"/>
      <c r="F52" s="26"/>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2:34" x14ac:dyDescent="0.25">
      <c r="B53" s="22" t="s">
        <v>27</v>
      </c>
      <c r="C53" s="7" t="s">
        <v>118</v>
      </c>
      <c r="D53" s="12"/>
      <c r="E53" s="26">
        <f t="shared" ref="E53:P53" si="35">E16/E$22</f>
        <v>0.11376751854905194</v>
      </c>
      <c r="F53" s="26">
        <f t="shared" si="35"/>
        <v>0.11745244003308519</v>
      </c>
      <c r="G53" s="26">
        <f t="shared" si="35"/>
        <v>0.11489698890649762</v>
      </c>
      <c r="H53" s="26">
        <f t="shared" si="35"/>
        <v>0.11441647597254005</v>
      </c>
      <c r="I53" s="26">
        <f t="shared" si="35"/>
        <v>0.10971348707197764</v>
      </c>
      <c r="J53" s="26">
        <f t="shared" si="35"/>
        <v>9.8684210526315791E-2</v>
      </c>
      <c r="K53" s="26">
        <f t="shared" si="35"/>
        <v>9.2558983666061703E-2</v>
      </c>
      <c r="L53" s="26">
        <f t="shared" si="35"/>
        <v>9.3630573248407636E-2</v>
      </c>
      <c r="M53" s="26">
        <f t="shared" si="35"/>
        <v>9.7846153846153847E-2</v>
      </c>
      <c r="N53" s="26">
        <f t="shared" si="35"/>
        <v>9.6187683284457481E-2</v>
      </c>
      <c r="O53" s="26">
        <f t="shared" si="35"/>
        <v>9.3910073989755261E-2</v>
      </c>
      <c r="P53" s="26">
        <f t="shared" si="35"/>
        <v>8.7052341597796137E-2</v>
      </c>
      <c r="Q53" s="26">
        <f t="shared" ref="Q53:S58" si="36">Q16/Q$22</f>
        <v>8.3288841430859586E-2</v>
      </c>
      <c r="R53" s="26">
        <f t="shared" si="36"/>
        <v>8.1675392670157068E-2</v>
      </c>
      <c r="S53" s="26">
        <f t="shared" si="36"/>
        <v>7.740686985970005E-2</v>
      </c>
      <c r="T53" s="26">
        <f t="shared" ref="T53:Y53" si="37">T16/T$22</f>
        <v>5.9529098178587293E-2</v>
      </c>
      <c r="U53" s="26">
        <f t="shared" si="37"/>
        <v>4.8877146631439897E-2</v>
      </c>
      <c r="V53" s="26">
        <f t="shared" si="37"/>
        <v>4.7659574468085109E-2</v>
      </c>
      <c r="W53" s="26">
        <f t="shared" si="37"/>
        <v>4.8215641609719057E-2</v>
      </c>
      <c r="X53" s="26">
        <f t="shared" si="37"/>
        <v>7.8840054372451285E-2</v>
      </c>
      <c r="Y53" s="26">
        <f t="shared" si="37"/>
        <v>7.8841217455078841E-2</v>
      </c>
      <c r="Z53" s="26">
        <f t="shared" ref="Z53:AE53" si="38">Z16/Z$22</f>
        <v>0.10530645824763472</v>
      </c>
      <c r="AA53" s="26">
        <f t="shared" si="38"/>
        <v>0.10995850622406639</v>
      </c>
      <c r="AB53" s="26">
        <f t="shared" si="38"/>
        <v>9.865982321072142E-2</v>
      </c>
      <c r="AC53" s="26">
        <f t="shared" si="38"/>
        <v>9.6175166297117518E-2</v>
      </c>
      <c r="AD53" s="26">
        <f t="shared" si="38"/>
        <v>9.3473005640612408E-2</v>
      </c>
      <c r="AE53" s="26">
        <f t="shared" si="38"/>
        <v>9.2587843036676068E-2</v>
      </c>
      <c r="AF53" s="26">
        <f t="shared" ref="AF53:AG58" si="39">AF16/AF$22</f>
        <v>9.2063492063492069E-2</v>
      </c>
      <c r="AG53" s="26">
        <f t="shared" si="39"/>
        <v>9.1732466326056666E-2</v>
      </c>
      <c r="AH53" s="12"/>
    </row>
    <row r="54" spans="2:34" x14ac:dyDescent="0.25">
      <c r="B54" s="22" t="s">
        <v>319</v>
      </c>
      <c r="C54" s="7" t="s">
        <v>118</v>
      </c>
      <c r="D54" s="12"/>
      <c r="E54" s="26">
        <f t="shared" ref="E54:P54" si="40">E17/E$22</f>
        <v>0.33470733718054413</v>
      </c>
      <c r="F54" s="26">
        <f t="shared" si="40"/>
        <v>0.33416046319272125</v>
      </c>
      <c r="G54" s="26">
        <f t="shared" si="40"/>
        <v>0.32805071315372425</v>
      </c>
      <c r="H54" s="26">
        <f t="shared" si="40"/>
        <v>0.33180778032036612</v>
      </c>
      <c r="I54" s="26">
        <f t="shared" si="40"/>
        <v>0.34940600978336828</v>
      </c>
      <c r="J54" s="26">
        <f t="shared" si="40"/>
        <v>0.37434210526315792</v>
      </c>
      <c r="K54" s="26">
        <f t="shared" si="40"/>
        <v>0.39987900786448882</v>
      </c>
      <c r="L54" s="26">
        <f t="shared" si="40"/>
        <v>0.38789808917197455</v>
      </c>
      <c r="M54" s="26">
        <f t="shared" si="40"/>
        <v>0.39138461538461539</v>
      </c>
      <c r="N54" s="26">
        <f t="shared" si="40"/>
        <v>0.37536656891495601</v>
      </c>
      <c r="O54" s="26">
        <f t="shared" si="40"/>
        <v>0.38303927148548661</v>
      </c>
      <c r="P54" s="26">
        <f t="shared" si="40"/>
        <v>0.36363636363636365</v>
      </c>
      <c r="Q54" s="26">
        <f t="shared" si="36"/>
        <v>0.35718099305926321</v>
      </c>
      <c r="R54" s="26">
        <f t="shared" si="36"/>
        <v>0.35811518324607328</v>
      </c>
      <c r="S54" s="26">
        <f t="shared" si="36"/>
        <v>0.34881470730527336</v>
      </c>
      <c r="T54" s="26">
        <f t="shared" ref="T54:Y54" si="41">T17/T$22</f>
        <v>0.34429142603287427</v>
      </c>
      <c r="U54" s="26">
        <f t="shared" si="41"/>
        <v>0.33993835314839277</v>
      </c>
      <c r="V54" s="26">
        <f t="shared" si="41"/>
        <v>0.33148936170212767</v>
      </c>
      <c r="W54" s="26">
        <f t="shared" si="41"/>
        <v>0.29726651480637811</v>
      </c>
      <c r="X54" s="26">
        <f t="shared" si="41"/>
        <v>0.28318985047575895</v>
      </c>
      <c r="Y54" s="26">
        <f t="shared" si="41"/>
        <v>0.30876420975430874</v>
      </c>
      <c r="Z54" s="26">
        <f t="shared" ref="Z54:AE58" si="42">Z17/Z$22</f>
        <v>0.26038667215137801</v>
      </c>
      <c r="AA54" s="26">
        <f t="shared" si="42"/>
        <v>0.27830468286899823</v>
      </c>
      <c r="AB54" s="26">
        <f t="shared" si="42"/>
        <v>0.27259766181921868</v>
      </c>
      <c r="AC54" s="26">
        <f t="shared" si="42"/>
        <v>0.28159645232815966</v>
      </c>
      <c r="AD54" s="26">
        <f t="shared" si="42"/>
        <v>0.28471662637657802</v>
      </c>
      <c r="AE54" s="26">
        <f t="shared" si="42"/>
        <v>0.27802000512952041</v>
      </c>
      <c r="AF54" s="26">
        <f t="shared" si="39"/>
        <v>0.27179487179487177</v>
      </c>
      <c r="AG54" s="26">
        <f t="shared" si="39"/>
        <v>0.26590803529958196</v>
      </c>
      <c r="AH54" s="12"/>
    </row>
    <row r="55" spans="2:34" x14ac:dyDescent="0.25">
      <c r="B55" s="22" t="s">
        <v>314</v>
      </c>
      <c r="C55" s="7" t="s">
        <v>118</v>
      </c>
      <c r="D55" s="12"/>
      <c r="E55" s="26">
        <f t="shared" ref="E55:P55" si="43">E18/E$22</f>
        <v>0.26628194558944768</v>
      </c>
      <c r="F55" s="26">
        <f t="shared" si="43"/>
        <v>0.26385442514474772</v>
      </c>
      <c r="G55" s="26">
        <f t="shared" si="43"/>
        <v>0.26782884310618066</v>
      </c>
      <c r="H55" s="26">
        <f t="shared" si="43"/>
        <v>0.27307398932112892</v>
      </c>
      <c r="I55" s="26">
        <f t="shared" si="43"/>
        <v>0.27603074772886094</v>
      </c>
      <c r="J55" s="26">
        <f t="shared" si="43"/>
        <v>0.27434210526315789</v>
      </c>
      <c r="K55" s="26">
        <f t="shared" si="43"/>
        <v>0.27102238354506958</v>
      </c>
      <c r="L55" s="26">
        <f t="shared" si="43"/>
        <v>0.25987261146496815</v>
      </c>
      <c r="M55" s="26">
        <f t="shared" si="43"/>
        <v>0.25292307692307692</v>
      </c>
      <c r="N55" s="26">
        <f t="shared" si="43"/>
        <v>0.24926686217008798</v>
      </c>
      <c r="O55" s="26">
        <f t="shared" si="43"/>
        <v>0.26124075128059193</v>
      </c>
      <c r="P55" s="26">
        <f t="shared" si="43"/>
        <v>0.26997245179063362</v>
      </c>
      <c r="Q55" s="26">
        <f t="shared" si="36"/>
        <v>0.27122263747997866</v>
      </c>
      <c r="R55" s="26">
        <f t="shared" si="36"/>
        <v>0.27905759162303667</v>
      </c>
      <c r="S55" s="26">
        <f t="shared" si="36"/>
        <v>0.28785679729075958</v>
      </c>
      <c r="T55" s="26">
        <f t="shared" ref="T55:Y55" si="44">T18/T$22</f>
        <v>0.30208796090626389</v>
      </c>
      <c r="U55" s="26">
        <f t="shared" si="44"/>
        <v>0.32144429766622634</v>
      </c>
      <c r="V55" s="26">
        <f t="shared" si="44"/>
        <v>0.3374468085106383</v>
      </c>
      <c r="W55" s="26">
        <f t="shared" si="44"/>
        <v>0.32725892179195143</v>
      </c>
      <c r="X55" s="26">
        <f t="shared" si="44"/>
        <v>0.34254644313547805</v>
      </c>
      <c r="Y55" s="26">
        <f t="shared" si="44"/>
        <v>0.37440410707737443</v>
      </c>
      <c r="Z55" s="26">
        <f t="shared" si="42"/>
        <v>0.33895516248457425</v>
      </c>
      <c r="AA55" s="26">
        <f t="shared" si="42"/>
        <v>0.38322465915826914</v>
      </c>
      <c r="AB55" s="26">
        <f t="shared" si="42"/>
        <v>0.38579982891360137</v>
      </c>
      <c r="AC55" s="26">
        <f t="shared" si="42"/>
        <v>0.40160753880266076</v>
      </c>
      <c r="AD55" s="26">
        <f t="shared" si="42"/>
        <v>0.41686811710985766</v>
      </c>
      <c r="AE55" s="26">
        <f t="shared" si="42"/>
        <v>0.42651962041549113</v>
      </c>
      <c r="AF55" s="26">
        <f t="shared" si="39"/>
        <v>0.43565323565323566</v>
      </c>
      <c r="AG55" s="26">
        <f t="shared" si="39"/>
        <v>0.44472828611240128</v>
      </c>
      <c r="AH55" s="12"/>
    </row>
    <row r="56" spans="2:34" x14ac:dyDescent="0.25">
      <c r="B56" s="22" t="s">
        <v>315</v>
      </c>
      <c r="C56" s="7" t="s">
        <v>118</v>
      </c>
      <c r="D56" s="12"/>
      <c r="E56" s="26">
        <f t="shared" ref="E56:P56" si="45">E19/E$22</f>
        <v>0.21022258862324814</v>
      </c>
      <c r="F56" s="26">
        <f t="shared" si="45"/>
        <v>0.21174524400330852</v>
      </c>
      <c r="G56" s="26">
        <f t="shared" si="45"/>
        <v>0.21949286846275753</v>
      </c>
      <c r="H56" s="26">
        <f t="shared" si="45"/>
        <v>0.2120518688024409</v>
      </c>
      <c r="I56" s="26">
        <f t="shared" si="45"/>
        <v>0.19636617749825297</v>
      </c>
      <c r="J56" s="26">
        <f t="shared" si="45"/>
        <v>0.18618421052631579</v>
      </c>
      <c r="K56" s="26">
        <f t="shared" si="45"/>
        <v>0.17180883242589232</v>
      </c>
      <c r="L56" s="26">
        <f t="shared" si="45"/>
        <v>0.19108280254777071</v>
      </c>
      <c r="M56" s="26">
        <f t="shared" si="45"/>
        <v>0.18953846153846154</v>
      </c>
      <c r="N56" s="26">
        <f t="shared" si="45"/>
        <v>0.20469208211143694</v>
      </c>
      <c r="O56" s="26">
        <f t="shared" si="45"/>
        <v>0.17472965281730221</v>
      </c>
      <c r="P56" s="26">
        <f t="shared" si="45"/>
        <v>0.18457300275482094</v>
      </c>
      <c r="Q56" s="26">
        <f t="shared" si="36"/>
        <v>0.18739989321943407</v>
      </c>
      <c r="R56" s="26">
        <f t="shared" si="36"/>
        <v>0.17068062827225131</v>
      </c>
      <c r="S56" s="26">
        <f t="shared" si="36"/>
        <v>0.15820029027576196</v>
      </c>
      <c r="T56" s="26">
        <f t="shared" ref="T56:Y56" si="46">T19/T$22</f>
        <v>0.16081741448245224</v>
      </c>
      <c r="U56" s="26">
        <f t="shared" si="46"/>
        <v>0.15235579040070454</v>
      </c>
      <c r="V56" s="26">
        <f t="shared" si="46"/>
        <v>0.15148936170212765</v>
      </c>
      <c r="W56" s="26">
        <f t="shared" si="46"/>
        <v>0.17236142748671224</v>
      </c>
      <c r="X56" s="26">
        <f t="shared" si="46"/>
        <v>0.21431807884005438</v>
      </c>
      <c r="Y56" s="26">
        <f t="shared" si="46"/>
        <v>0.18371837183718373</v>
      </c>
      <c r="Z56" s="26">
        <f t="shared" si="42"/>
        <v>0.23776223776223776</v>
      </c>
      <c r="AA56" s="26">
        <f t="shared" si="42"/>
        <v>0.16627148784825133</v>
      </c>
      <c r="AB56" s="26">
        <f t="shared" si="42"/>
        <v>0.17992586256059309</v>
      </c>
      <c r="AC56" s="26">
        <f t="shared" si="42"/>
        <v>0.15327050997782704</v>
      </c>
      <c r="AD56" s="26">
        <f t="shared" si="42"/>
        <v>0.15498254096159012</v>
      </c>
      <c r="AE56" s="26">
        <f t="shared" si="42"/>
        <v>0.15260323159784561</v>
      </c>
      <c r="AF56" s="26">
        <f t="shared" si="39"/>
        <v>0.14969474969474969</v>
      </c>
      <c r="AG56" s="26">
        <f t="shared" si="39"/>
        <v>0.14653971202972596</v>
      </c>
      <c r="AH56" s="12"/>
    </row>
    <row r="57" spans="2:34" x14ac:dyDescent="0.25">
      <c r="B57" s="22" t="s">
        <v>316</v>
      </c>
      <c r="C57" s="7" t="s">
        <v>118</v>
      </c>
      <c r="D57" s="12"/>
      <c r="E57" s="26">
        <f t="shared" ref="E57:P57" si="47">E20/E$22</f>
        <v>6.7600989282769988E-2</v>
      </c>
      <c r="F57" s="26">
        <f t="shared" si="47"/>
        <v>6.6170388751033912E-2</v>
      </c>
      <c r="G57" s="26">
        <f t="shared" si="47"/>
        <v>6.3391442155309036E-2</v>
      </c>
      <c r="H57" s="26">
        <f t="shared" si="47"/>
        <v>6.1784897025171627E-2</v>
      </c>
      <c r="I57" s="26">
        <f t="shared" si="47"/>
        <v>6.2194269741439552E-2</v>
      </c>
      <c r="J57" s="26">
        <f t="shared" si="47"/>
        <v>6.1184210526315792E-2</v>
      </c>
      <c r="K57" s="26">
        <f t="shared" si="47"/>
        <v>5.9891107078039928E-2</v>
      </c>
      <c r="L57" s="26">
        <f t="shared" si="47"/>
        <v>6.178343949044586E-2</v>
      </c>
      <c r="M57" s="26">
        <f t="shared" si="47"/>
        <v>6.1538461538461542E-2</v>
      </c>
      <c r="N57" s="26">
        <f t="shared" si="47"/>
        <v>6.8035190615835781E-2</v>
      </c>
      <c r="O57" s="26">
        <f t="shared" si="47"/>
        <v>7.9681274900398405E-2</v>
      </c>
      <c r="P57" s="26">
        <f t="shared" si="47"/>
        <v>8.7052341597796137E-2</v>
      </c>
      <c r="Q57" s="26">
        <f t="shared" si="36"/>
        <v>9.3432995194874538E-2</v>
      </c>
      <c r="R57" s="26">
        <f t="shared" si="36"/>
        <v>0.10314136125654451</v>
      </c>
      <c r="S57" s="26">
        <f t="shared" si="36"/>
        <v>0.12094823415578132</v>
      </c>
      <c r="T57" s="26">
        <f t="shared" ref="T57:Y57" si="48">T20/T$22</f>
        <v>0.12661039537983118</v>
      </c>
      <c r="U57" s="26">
        <f t="shared" si="48"/>
        <v>0.12945838837516513</v>
      </c>
      <c r="V57" s="26">
        <f t="shared" si="48"/>
        <v>0.1251063829787234</v>
      </c>
      <c r="W57" s="26">
        <f t="shared" si="48"/>
        <v>0.14958238420653</v>
      </c>
      <c r="X57" s="26">
        <f t="shared" si="48"/>
        <v>7.6574535568645213E-2</v>
      </c>
      <c r="Y57" s="26">
        <f t="shared" si="48"/>
        <v>4.8404840484048403E-2</v>
      </c>
      <c r="Z57" s="26">
        <f t="shared" si="42"/>
        <v>5.3064582476347183E-2</v>
      </c>
      <c r="AA57" s="26">
        <f t="shared" si="42"/>
        <v>5.7794902193242445E-2</v>
      </c>
      <c r="AB57" s="26">
        <f t="shared" si="42"/>
        <v>5.7884231536926151E-2</v>
      </c>
      <c r="AC57" s="26">
        <f t="shared" si="42"/>
        <v>6.1807095343680708E-2</v>
      </c>
      <c r="AD57" s="26">
        <f t="shared" si="42"/>
        <v>4.4319097502014501E-2</v>
      </c>
      <c r="AE57" s="26">
        <f t="shared" si="42"/>
        <v>4.4626827391638882E-2</v>
      </c>
      <c r="AF57" s="26">
        <f t="shared" si="39"/>
        <v>4.5421245421245419E-2</v>
      </c>
      <c r="AG57" s="26">
        <f t="shared" si="39"/>
        <v>4.5750116117045984E-2</v>
      </c>
      <c r="AH57" s="12"/>
    </row>
    <row r="58" spans="2:34" x14ac:dyDescent="0.25">
      <c r="B58" s="22" t="s">
        <v>326</v>
      </c>
      <c r="C58" s="7" t="s">
        <v>118</v>
      </c>
      <c r="D58" s="12"/>
      <c r="E58" s="26">
        <f t="shared" ref="E58:P58" si="49">E21/E$22</f>
        <v>7.4196207749381701E-3</v>
      </c>
      <c r="F58" s="26">
        <f t="shared" si="49"/>
        <v>6.6170388751033912E-3</v>
      </c>
      <c r="G58" s="26">
        <f t="shared" si="49"/>
        <v>6.3391442155309036E-3</v>
      </c>
      <c r="H58" s="26">
        <f t="shared" si="49"/>
        <v>6.1022120518688027E-3</v>
      </c>
      <c r="I58" s="26">
        <f t="shared" si="49"/>
        <v>6.2893081761006293E-3</v>
      </c>
      <c r="J58" s="26">
        <f t="shared" si="49"/>
        <v>5.263157894736842E-3</v>
      </c>
      <c r="K58" s="26">
        <f t="shared" si="49"/>
        <v>4.8396854204476713E-3</v>
      </c>
      <c r="L58" s="26">
        <f t="shared" si="49"/>
        <v>5.7324840764331206E-3</v>
      </c>
      <c r="M58" s="26">
        <f t="shared" si="49"/>
        <v>6.7692307692307696E-3</v>
      </c>
      <c r="N58" s="26">
        <f t="shared" si="49"/>
        <v>6.4516129032258064E-3</v>
      </c>
      <c r="O58" s="26">
        <f t="shared" si="49"/>
        <v>7.3989755264655659E-3</v>
      </c>
      <c r="P58" s="26">
        <f t="shared" si="49"/>
        <v>7.7134986225895321E-3</v>
      </c>
      <c r="Q58" s="26">
        <f t="shared" si="36"/>
        <v>7.4746396155899626E-3</v>
      </c>
      <c r="R58" s="26">
        <f t="shared" si="36"/>
        <v>6.8062827225130887E-3</v>
      </c>
      <c r="S58" s="26">
        <f t="shared" si="36"/>
        <v>6.7731011127237541E-3</v>
      </c>
      <c r="T58" s="26">
        <f t="shared" ref="T58:Y58" si="50">T21/T$22</f>
        <v>6.6637050199911153E-3</v>
      </c>
      <c r="U58" s="26">
        <f t="shared" si="50"/>
        <v>7.485689123734038E-3</v>
      </c>
      <c r="V58" s="26">
        <f t="shared" si="50"/>
        <v>6.8085106382978723E-3</v>
      </c>
      <c r="W58" s="26">
        <f t="shared" si="50"/>
        <v>5.6947608200455585E-3</v>
      </c>
      <c r="X58" s="26">
        <f t="shared" si="50"/>
        <v>4.5310376076121428E-3</v>
      </c>
      <c r="Y58" s="26">
        <f t="shared" si="50"/>
        <v>5.8672533920058672E-3</v>
      </c>
      <c r="Z58" s="26">
        <f t="shared" si="42"/>
        <v>4.1135335252982311E-3</v>
      </c>
      <c r="AA58" s="26">
        <f t="shared" si="42"/>
        <v>5.0385299347954953E-3</v>
      </c>
      <c r="AB58" s="26">
        <f t="shared" si="42"/>
        <v>5.1325919589392645E-3</v>
      </c>
      <c r="AC58" s="26">
        <f t="shared" si="42"/>
        <v>5.5432372505543242E-3</v>
      </c>
      <c r="AD58" s="26">
        <f t="shared" si="42"/>
        <v>5.6406124093473006E-3</v>
      </c>
      <c r="AE58" s="26">
        <f t="shared" si="42"/>
        <v>5.3859964093357273E-3</v>
      </c>
      <c r="AF58" s="26">
        <f t="shared" si="39"/>
        <v>5.3724053724053724E-3</v>
      </c>
      <c r="AG58" s="26">
        <f t="shared" si="39"/>
        <v>5.3413841151881093E-3</v>
      </c>
      <c r="AH58" s="12"/>
    </row>
    <row r="60" spans="2:34" x14ac:dyDescent="0.25">
      <c r="B60" s="74" t="s">
        <v>330</v>
      </c>
    </row>
    <row r="61" spans="2:34" x14ac:dyDescent="0.25">
      <c r="B61" s="73" t="s">
        <v>27</v>
      </c>
      <c r="C61" s="7" t="s">
        <v>118</v>
      </c>
      <c r="E61" s="26">
        <f t="shared" ref="E61:P61" si="51">E16/E$24</f>
        <v>1.0347154532503561E-2</v>
      </c>
      <c r="F61" s="26">
        <f t="shared" si="51"/>
        <v>1.0749432248296746E-2</v>
      </c>
      <c r="G61" s="26">
        <f t="shared" si="51"/>
        <v>1.0250247419765305E-2</v>
      </c>
      <c r="H61" s="26">
        <f t="shared" si="51"/>
        <v>9.9880143827407106E-3</v>
      </c>
      <c r="I61" s="26">
        <f t="shared" si="51"/>
        <v>1.0261437908496733E-2</v>
      </c>
      <c r="J61" s="26">
        <f t="shared" si="51"/>
        <v>9.432775751477801E-3</v>
      </c>
      <c r="K61" s="26">
        <f t="shared" si="51"/>
        <v>8.6455331412103754E-3</v>
      </c>
      <c r="L61" s="26">
        <f t="shared" si="51"/>
        <v>7.9228198771154473E-3</v>
      </c>
      <c r="M61" s="26">
        <f t="shared" si="51"/>
        <v>8.8901313950237627E-3</v>
      </c>
      <c r="N61" s="26">
        <f t="shared" si="51"/>
        <v>8.5733702754979355E-3</v>
      </c>
      <c r="O61" s="26">
        <f t="shared" si="51"/>
        <v>8.0902181907330228E-3</v>
      </c>
      <c r="P61" s="26">
        <f t="shared" si="51"/>
        <v>7.6476282671829625E-3</v>
      </c>
      <c r="Q61" s="26">
        <f t="shared" ref="Q61:S67" si="52">Q16/Q$24</f>
        <v>7.0973612374886259E-3</v>
      </c>
      <c r="R61" s="26">
        <f t="shared" si="52"/>
        <v>6.4210742951224531E-3</v>
      </c>
      <c r="S61" s="26">
        <f t="shared" si="52"/>
        <v>6.1380289254613111E-3</v>
      </c>
      <c r="T61" s="26">
        <f t="shared" ref="T61:Y61" si="53">T16/T$24</f>
        <v>4.6067106710671064E-3</v>
      </c>
      <c r="U61" s="26">
        <f t="shared" si="53"/>
        <v>3.605183669492351E-3</v>
      </c>
      <c r="V61" s="26">
        <f t="shared" si="53"/>
        <v>3.5753048585839241E-3</v>
      </c>
      <c r="W61" s="26">
        <f t="shared" si="53"/>
        <v>4.093341068781022E-3</v>
      </c>
      <c r="X61" s="26">
        <f t="shared" si="53"/>
        <v>5.8114291439831673E-3</v>
      </c>
      <c r="Y61" s="26">
        <f t="shared" si="53"/>
        <v>6.248728456418752E-3</v>
      </c>
      <c r="Z61" s="26">
        <f t="shared" ref="Z61:AE61" si="54">Z16/Z$24</f>
        <v>6.5629246032763346E-3</v>
      </c>
      <c r="AA61" s="26">
        <f t="shared" si="54"/>
        <v>9.3340377890155229E-3</v>
      </c>
      <c r="AB61" s="26">
        <f t="shared" si="54"/>
        <v>7.7573257404210481E-3</v>
      </c>
      <c r="AC61" s="26">
        <f t="shared" si="54"/>
        <v>7.2900691190991409E-3</v>
      </c>
      <c r="AD61" s="26">
        <f t="shared" si="54"/>
        <v>6.7812463463112361E-3</v>
      </c>
      <c r="AE61" s="26">
        <f t="shared" si="54"/>
        <v>6.6681443717906096E-3</v>
      </c>
      <c r="AF61" s="26">
        <f t="shared" ref="AF61:AG67" si="55">AF16/AF$24</f>
        <v>6.6527846403614029E-3</v>
      </c>
      <c r="AG61" s="26">
        <f t="shared" si="55"/>
        <v>6.6340840765187013E-3</v>
      </c>
    </row>
    <row r="62" spans="2:34" x14ac:dyDescent="0.25">
      <c r="B62" s="73" t="s">
        <v>319</v>
      </c>
      <c r="C62" s="7" t="s">
        <v>118</v>
      </c>
      <c r="E62" s="26">
        <f t="shared" ref="E62:P62" si="56">E17/E$24</f>
        <v>3.0441628552148159E-2</v>
      </c>
      <c r="F62" s="26">
        <f t="shared" si="56"/>
        <v>3.0582891748675248E-2</v>
      </c>
      <c r="G62" s="26">
        <f t="shared" si="56"/>
        <v>2.9266223667467835E-2</v>
      </c>
      <c r="H62" s="26">
        <f t="shared" si="56"/>
        <v>2.8965241709948061E-2</v>
      </c>
      <c r="I62" s="26">
        <f t="shared" si="56"/>
        <v>3.2679738562091505E-2</v>
      </c>
      <c r="J62" s="26">
        <f t="shared" si="56"/>
        <v>3.5781662683939126E-2</v>
      </c>
      <c r="K62" s="26">
        <f t="shared" si="56"/>
        <v>3.7350963440131092E-2</v>
      </c>
      <c r="L62" s="26">
        <f t="shared" si="56"/>
        <v>3.2823110919478281E-2</v>
      </c>
      <c r="M62" s="26">
        <f t="shared" si="56"/>
        <v>3.5560525580095051E-2</v>
      </c>
      <c r="N62" s="26">
        <f t="shared" si="56"/>
        <v>3.3457054733650481E-2</v>
      </c>
      <c r="O62" s="26">
        <f t="shared" si="56"/>
        <v>3.2998283893111054E-2</v>
      </c>
      <c r="P62" s="26">
        <f t="shared" si="56"/>
        <v>3.1945788964181994E-2</v>
      </c>
      <c r="Q62" s="26">
        <f t="shared" si="52"/>
        <v>3.0436760691537761E-2</v>
      </c>
      <c r="R62" s="26">
        <f t="shared" si="52"/>
        <v>2.8153941140152294E-2</v>
      </c>
      <c r="S62" s="26">
        <f t="shared" si="52"/>
        <v>2.7659492845360033E-2</v>
      </c>
      <c r="T62" s="26">
        <f t="shared" ref="T62:Y62" si="57">T17/T$24</f>
        <v>2.6643289328932892E-2</v>
      </c>
      <c r="U62" s="26">
        <f t="shared" si="57"/>
        <v>2.5073890025658515E-2</v>
      </c>
      <c r="V62" s="26">
        <f t="shared" si="57"/>
        <v>2.4867522186043541E-2</v>
      </c>
      <c r="W62" s="26">
        <f t="shared" si="57"/>
        <v>2.5236898085476696E-2</v>
      </c>
      <c r="X62" s="26">
        <f t="shared" si="57"/>
        <v>2.0874386293042984E-2</v>
      </c>
      <c r="Y62" s="26">
        <f t="shared" si="57"/>
        <v>2.4471764466532972E-2</v>
      </c>
      <c r="Z62" s="26">
        <f t="shared" ref="Z62:AE67" si="58">Z17/Z$24</f>
        <v>1.622785653857E-2</v>
      </c>
      <c r="AA62" s="26">
        <f t="shared" si="58"/>
        <v>2.3624424484866784E-2</v>
      </c>
      <c r="AB62" s="26">
        <f t="shared" si="58"/>
        <v>2.1433535860816536E-2</v>
      </c>
      <c r="AC62" s="26">
        <f t="shared" si="58"/>
        <v>2.1344986239206706E-2</v>
      </c>
      <c r="AD62" s="26">
        <f t="shared" si="58"/>
        <v>2.0655520480143418E-2</v>
      </c>
      <c r="AE62" s="26">
        <f t="shared" si="58"/>
        <v>2.0022904429421107E-2</v>
      </c>
      <c r="AF62" s="26">
        <f t="shared" si="55"/>
        <v>1.9640714336133267E-2</v>
      </c>
      <c r="AG62" s="26">
        <f t="shared" si="55"/>
        <v>1.923044624712383E-2</v>
      </c>
    </row>
    <row r="63" spans="2:34" x14ac:dyDescent="0.25">
      <c r="B63" s="73" t="s">
        <v>314</v>
      </c>
      <c r="C63" s="7" t="s">
        <v>118</v>
      </c>
      <c r="E63" s="26">
        <f t="shared" ref="E63:P63" si="59">E18/E$24</f>
        <v>2.4218339956511958E-2</v>
      </c>
      <c r="F63" s="26">
        <f t="shared" si="59"/>
        <v>2.4148372445117337E-2</v>
      </c>
      <c r="G63" s="26">
        <f t="shared" si="59"/>
        <v>2.3893680192280504E-2</v>
      </c>
      <c r="H63" s="26">
        <f t="shared" si="59"/>
        <v>2.3838060993474498E-2</v>
      </c>
      <c r="I63" s="26">
        <f t="shared" si="59"/>
        <v>2.5816993464052286E-2</v>
      </c>
      <c r="J63" s="26">
        <f t="shared" si="59"/>
        <v>2.6223116589108288E-2</v>
      </c>
      <c r="K63" s="26">
        <f t="shared" si="59"/>
        <v>2.5315025145504887E-2</v>
      </c>
      <c r="L63" s="26">
        <f t="shared" si="59"/>
        <v>2.1989867414034709E-2</v>
      </c>
      <c r="M63" s="26">
        <f t="shared" si="59"/>
        <v>2.2980150964495388E-2</v>
      </c>
      <c r="N63" s="26">
        <f t="shared" si="59"/>
        <v>2.2217575409064771E-2</v>
      </c>
      <c r="O63" s="26">
        <f t="shared" si="59"/>
        <v>2.2505516057857319E-2</v>
      </c>
      <c r="P63" s="26">
        <f t="shared" si="59"/>
        <v>2.3717328170377541E-2</v>
      </c>
      <c r="Q63" s="26">
        <f t="shared" si="52"/>
        <v>2.3111919927206553E-2</v>
      </c>
      <c r="R63" s="26">
        <f t="shared" si="52"/>
        <v>2.1938670508335048E-2</v>
      </c>
      <c r="S63" s="26">
        <f t="shared" si="52"/>
        <v>2.2825795066559251E-2</v>
      </c>
      <c r="T63" s="26">
        <f t="shared" ref="T63:Y63" si="60">T18/T$24</f>
        <v>2.3377337733773377E-2</v>
      </c>
      <c r="U63" s="26">
        <f t="shared" si="60"/>
        <v>2.3709766475039785E-2</v>
      </c>
      <c r="V63" s="26">
        <f t="shared" si="60"/>
        <v>2.5314435293366532E-2</v>
      </c>
      <c r="W63" s="26">
        <f t="shared" si="60"/>
        <v>2.778314961645072E-2</v>
      </c>
      <c r="X63" s="26">
        <f t="shared" si="60"/>
        <v>2.5249657660064793E-2</v>
      </c>
      <c r="Y63" s="26">
        <f t="shared" si="60"/>
        <v>2.9674194204667655E-2</v>
      </c>
      <c r="Z63" s="26">
        <f t="shared" si="58"/>
        <v>2.1124413566795702E-2</v>
      </c>
      <c r="AA63" s="26">
        <f t="shared" si="58"/>
        <v>3.2530757038267036E-2</v>
      </c>
      <c r="AB63" s="26">
        <f t="shared" si="58"/>
        <v>3.033428244736901E-2</v>
      </c>
      <c r="AC63" s="26">
        <f t="shared" si="58"/>
        <v>3.0441816004537912E-2</v>
      </c>
      <c r="AD63" s="26">
        <f t="shared" si="58"/>
        <v>3.0242799797342065E-2</v>
      </c>
      <c r="AE63" s="26">
        <f t="shared" si="58"/>
        <v>3.0717795263955079E-2</v>
      </c>
      <c r="AF63" s="26">
        <f t="shared" si="55"/>
        <v>3.1481612197360065E-2</v>
      </c>
      <c r="AG63" s="26">
        <f t="shared" si="55"/>
        <v>3.2162711408945097E-2</v>
      </c>
    </row>
    <row r="64" spans="2:34" x14ac:dyDescent="0.25">
      <c r="B64" s="73" t="s">
        <v>315</v>
      </c>
      <c r="C64" s="7" t="s">
        <v>118</v>
      </c>
      <c r="E64" s="26">
        <f t="shared" ref="E64:P64" si="61">E19/E$24</f>
        <v>1.9119742070930493E-2</v>
      </c>
      <c r="F64" s="26">
        <f t="shared" si="61"/>
        <v>1.9379258137774413E-2</v>
      </c>
      <c r="G64" s="26">
        <f t="shared" si="61"/>
        <v>1.9581507139827512E-2</v>
      </c>
      <c r="H64" s="26">
        <f t="shared" si="61"/>
        <v>1.8511119989346118E-2</v>
      </c>
      <c r="I64" s="26">
        <f t="shared" si="61"/>
        <v>1.8366013071895424E-2</v>
      </c>
      <c r="J64" s="26">
        <f t="shared" si="61"/>
        <v>1.7796503584454785E-2</v>
      </c>
      <c r="K64" s="26">
        <f t="shared" si="61"/>
        <v>1.6047917726168277E-2</v>
      </c>
      <c r="L64" s="26">
        <f t="shared" si="61"/>
        <v>1.6169020157378464E-2</v>
      </c>
      <c r="M64" s="26">
        <f t="shared" si="61"/>
        <v>1.7221135029354209E-2</v>
      </c>
      <c r="N64" s="26">
        <f t="shared" si="61"/>
        <v>1.8244550159443776E-2</v>
      </c>
      <c r="O64" s="26">
        <f t="shared" si="61"/>
        <v>1.5052708997303261E-2</v>
      </c>
      <c r="P64" s="26">
        <f t="shared" si="61"/>
        <v>1.6214908034849953E-2</v>
      </c>
      <c r="Q64" s="26">
        <f t="shared" si="52"/>
        <v>1.5969062784349407E-2</v>
      </c>
      <c r="R64" s="26">
        <f t="shared" si="52"/>
        <v>1.3418398847499485E-2</v>
      </c>
      <c r="S64" s="26">
        <f t="shared" si="52"/>
        <v>1.2544596616411555E-2</v>
      </c>
      <c r="T64" s="26">
        <f t="shared" ref="T64:Y64" si="62">T19/T$24</f>
        <v>1.2444994499449946E-2</v>
      </c>
      <c r="U64" s="26">
        <f t="shared" si="62"/>
        <v>1.1237779726525707E-2</v>
      </c>
      <c r="V64" s="26">
        <f t="shared" si="62"/>
        <v>1.1364361871927473E-2</v>
      </c>
      <c r="W64" s="26">
        <f t="shared" si="62"/>
        <v>1.4632888545091214E-2</v>
      </c>
      <c r="X64" s="26">
        <f t="shared" si="62"/>
        <v>1.5797735546574931E-2</v>
      </c>
      <c r="Y64" s="26">
        <f t="shared" si="62"/>
        <v>1.4560990496119976E-2</v>
      </c>
      <c r="Z64" s="26">
        <f t="shared" si="58"/>
        <v>1.481785320583485E-2</v>
      </c>
      <c r="AA64" s="26">
        <f t="shared" si="58"/>
        <v>1.4114272775303796E-2</v>
      </c>
      <c r="AB64" s="26">
        <f t="shared" si="58"/>
        <v>1.4147030468802547E-2</v>
      </c>
      <c r="AC64" s="26">
        <f t="shared" si="58"/>
        <v>1.1617891132166642E-2</v>
      </c>
      <c r="AD64" s="26">
        <f t="shared" si="58"/>
        <v>1.1243618223625238E-2</v>
      </c>
      <c r="AE64" s="26">
        <f t="shared" si="58"/>
        <v>1.0990431859322473E-2</v>
      </c>
      <c r="AF64" s="26">
        <f t="shared" si="55"/>
        <v>1.0817392531940424E-2</v>
      </c>
      <c r="AG64" s="26">
        <f t="shared" si="55"/>
        <v>1.0597739372869116E-2</v>
      </c>
    </row>
    <row r="65" spans="2:33" x14ac:dyDescent="0.25">
      <c r="B65" s="73" t="s">
        <v>316</v>
      </c>
      <c r="C65" s="7" t="s">
        <v>118</v>
      </c>
      <c r="E65" s="26">
        <f t="shared" ref="E65:P65" si="63">E20/E$24</f>
        <v>6.1483092149658847E-3</v>
      </c>
      <c r="F65" s="26">
        <f t="shared" si="63"/>
        <v>6.0560181680545042E-3</v>
      </c>
      <c r="G65" s="26">
        <f t="shared" si="63"/>
        <v>5.6553089212498233E-3</v>
      </c>
      <c r="H65" s="26">
        <f t="shared" si="63"/>
        <v>5.3935277666799838E-3</v>
      </c>
      <c r="I65" s="26">
        <f t="shared" si="63"/>
        <v>5.8169934640522874E-3</v>
      </c>
      <c r="J65" s="26">
        <f t="shared" si="63"/>
        <v>5.8483209659162374E-3</v>
      </c>
      <c r="K65" s="26">
        <f t="shared" si="63"/>
        <v>5.5941685031361248E-3</v>
      </c>
      <c r="L65" s="26">
        <f t="shared" si="63"/>
        <v>5.2279831842190361E-3</v>
      </c>
      <c r="M65" s="26">
        <f t="shared" si="63"/>
        <v>5.5912776069331847E-3</v>
      </c>
      <c r="N65" s="26">
        <f t="shared" si="63"/>
        <v>6.0640911704741493E-3</v>
      </c>
      <c r="O65" s="26">
        <f t="shared" si="63"/>
        <v>6.8644275557734743E-3</v>
      </c>
      <c r="P65" s="26">
        <f t="shared" si="63"/>
        <v>7.6476282671829625E-3</v>
      </c>
      <c r="Q65" s="26">
        <f t="shared" si="52"/>
        <v>7.9617834394904458E-3</v>
      </c>
      <c r="R65" s="26">
        <f t="shared" si="52"/>
        <v>8.1086643342251491E-3</v>
      </c>
      <c r="S65" s="26">
        <f t="shared" si="52"/>
        <v>9.590670196033298E-3</v>
      </c>
      <c r="T65" s="26">
        <f t="shared" ref="T65:Y65" si="64">T20/T$24</f>
        <v>9.7978547854785485E-3</v>
      </c>
      <c r="U65" s="26">
        <f t="shared" si="64"/>
        <v>9.5488648543310926E-3</v>
      </c>
      <c r="V65" s="26">
        <f t="shared" si="64"/>
        <v>9.3851752537827994E-3</v>
      </c>
      <c r="W65" s="26">
        <f t="shared" si="64"/>
        <v>1.2699026622832463E-2</v>
      </c>
      <c r="X65" s="26">
        <f t="shared" si="64"/>
        <v>5.6444340536388228E-3</v>
      </c>
      <c r="Y65" s="26">
        <f t="shared" si="64"/>
        <v>3.8364286337082571E-3</v>
      </c>
      <c r="Z65" s="26">
        <f t="shared" si="58"/>
        <v>3.3070987258697155E-3</v>
      </c>
      <c r="AA65" s="26">
        <f t="shared" si="58"/>
        <v>4.9060306438221749E-3</v>
      </c>
      <c r="AB65" s="26">
        <f t="shared" si="58"/>
        <v>4.5512633679348925E-3</v>
      </c>
      <c r="AC65" s="26">
        <f t="shared" si="58"/>
        <v>4.6849723733691888E-3</v>
      </c>
      <c r="AD65" s="26">
        <f t="shared" si="58"/>
        <v>3.2152461124751548E-3</v>
      </c>
      <c r="AE65" s="26">
        <f t="shared" si="58"/>
        <v>3.214008644574975E-3</v>
      </c>
      <c r="AF65" s="26">
        <f t="shared" si="55"/>
        <v>3.2822757111597373E-3</v>
      </c>
      <c r="AG65" s="26">
        <f t="shared" si="55"/>
        <v>3.3086444634789474E-3</v>
      </c>
    </row>
    <row r="66" spans="2:33" x14ac:dyDescent="0.25">
      <c r="B66" s="73" t="s">
        <v>326</v>
      </c>
      <c r="C66" s="7" t="s">
        <v>118</v>
      </c>
      <c r="E66" s="26">
        <f t="shared" ref="E66:P66" si="65">E21/E$24</f>
        <v>6.7481442603284098E-4</v>
      </c>
      <c r="F66" s="26">
        <f t="shared" si="65"/>
        <v>6.0560181680545042E-4</v>
      </c>
      <c r="G66" s="26">
        <f t="shared" si="65"/>
        <v>5.6553089212498236E-4</v>
      </c>
      <c r="H66" s="26">
        <f t="shared" si="65"/>
        <v>5.3269410041283788E-4</v>
      </c>
      <c r="I66" s="26">
        <f t="shared" si="65"/>
        <v>5.8823529411764701E-4</v>
      </c>
      <c r="J66" s="26">
        <f t="shared" si="65"/>
        <v>5.0308137341214946E-4</v>
      </c>
      <c r="K66" s="26">
        <f t="shared" si="65"/>
        <v>4.5205402045544443E-4</v>
      </c>
      <c r="L66" s="26">
        <f t="shared" si="65"/>
        <v>4.8507060472135387E-4</v>
      </c>
      <c r="M66" s="26">
        <f t="shared" si="65"/>
        <v>6.1504053676265024E-4</v>
      </c>
      <c r="N66" s="26">
        <f t="shared" si="65"/>
        <v>5.750431282346176E-4</v>
      </c>
      <c r="O66" s="26">
        <f t="shared" si="65"/>
        <v>6.3741113017896543E-4</v>
      </c>
      <c r="P66" s="26">
        <f t="shared" si="65"/>
        <v>6.776379477250726E-4</v>
      </c>
      <c r="Q66" s="26">
        <f t="shared" si="52"/>
        <v>6.3694267515923564E-4</v>
      </c>
      <c r="R66" s="26">
        <f t="shared" si="52"/>
        <v>5.3508952459353776E-4</v>
      </c>
      <c r="S66" s="26">
        <f t="shared" si="52"/>
        <v>5.3707753097786471E-4</v>
      </c>
      <c r="T66" s="26">
        <f t="shared" ref="T66:Y66" si="66">T21/T$24</f>
        <v>5.1567656765676563E-4</v>
      </c>
      <c r="U66" s="26">
        <f t="shared" si="66"/>
        <v>5.5214524667900869E-4</v>
      </c>
      <c r="V66" s="26">
        <f t="shared" si="66"/>
        <v>5.1075783694056051E-4</v>
      </c>
      <c r="W66" s="26">
        <f t="shared" si="66"/>
        <v>4.8346548056468769E-4</v>
      </c>
      <c r="X66" s="26">
        <f t="shared" si="66"/>
        <v>3.3399018068868775E-4</v>
      </c>
      <c r="Y66" s="26">
        <f t="shared" si="66"/>
        <v>4.6502165257069782E-4</v>
      </c>
      <c r="Z66" s="26">
        <f t="shared" si="58"/>
        <v>2.5636424231548184E-4</v>
      </c>
      <c r="AA66" s="26">
        <f t="shared" si="58"/>
        <v>4.2770523561526657E-4</v>
      </c>
      <c r="AB66" s="26">
        <f t="shared" si="58"/>
        <v>4.0356029863462101E-4</v>
      </c>
      <c r="AC66" s="26">
        <f t="shared" si="58"/>
        <v>4.2017689447257297E-4</v>
      </c>
      <c r="AD66" s="26">
        <f t="shared" si="58"/>
        <v>4.0921314158774697E-4</v>
      </c>
      <c r="AE66" s="26">
        <f t="shared" si="58"/>
        <v>3.8789759503491078E-4</v>
      </c>
      <c r="AF66" s="26">
        <f t="shared" si="55"/>
        <v>3.8822615938448508E-4</v>
      </c>
      <c r="AG66" s="26">
        <f t="shared" si="55"/>
        <v>3.8628843989855729E-4</v>
      </c>
    </row>
    <row r="67" spans="2:33" x14ac:dyDescent="0.25">
      <c r="B67" s="22" t="s">
        <v>327</v>
      </c>
      <c r="C67" s="7" t="s">
        <v>118</v>
      </c>
      <c r="E67" s="26">
        <f t="shared" ref="E67:P67" si="67">E22/E$24</f>
        <v>9.0949988753092903E-2</v>
      </c>
      <c r="F67" s="26">
        <f t="shared" si="67"/>
        <v>9.1521574564723693E-2</v>
      </c>
      <c r="G67" s="26">
        <f t="shared" si="67"/>
        <v>8.9212498232715959E-2</v>
      </c>
      <c r="H67" s="26">
        <f t="shared" si="67"/>
        <v>8.7295245705153818E-2</v>
      </c>
      <c r="I67" s="26">
        <f t="shared" si="67"/>
        <v>9.3529411764705889E-2</v>
      </c>
      <c r="J67" s="26">
        <f t="shared" si="67"/>
        <v>9.5585460948308387E-2</v>
      </c>
      <c r="K67" s="26">
        <f t="shared" si="67"/>
        <v>9.34056619766062E-2</v>
      </c>
      <c r="L67" s="26">
        <f t="shared" si="67"/>
        <v>8.4617872156947285E-2</v>
      </c>
      <c r="M67" s="26">
        <f t="shared" si="67"/>
        <v>9.0858261112664249E-2</v>
      </c>
      <c r="N67" s="26">
        <f t="shared" si="67"/>
        <v>8.9131684876365733E-2</v>
      </c>
      <c r="O67" s="26">
        <f t="shared" si="67"/>
        <v>8.6148565824957099E-2</v>
      </c>
      <c r="P67" s="26">
        <f t="shared" si="67"/>
        <v>8.7850919651500478E-2</v>
      </c>
      <c r="Q67" s="26">
        <f t="shared" si="52"/>
        <v>8.5213830755232034E-2</v>
      </c>
      <c r="R67" s="26">
        <f t="shared" si="52"/>
        <v>7.8616999382589009E-2</v>
      </c>
      <c r="S67" s="26">
        <f t="shared" si="52"/>
        <v>7.929566118080332E-2</v>
      </c>
      <c r="T67" s="26">
        <f t="shared" ref="T67:Y67" si="68">T22/T$24</f>
        <v>7.7385863586358641E-2</v>
      </c>
      <c r="U67" s="26">
        <f t="shared" si="68"/>
        <v>7.3760109129884052E-2</v>
      </c>
      <c r="V67" s="26">
        <f t="shared" si="68"/>
        <v>7.5017557300644827E-2</v>
      </c>
      <c r="W67" s="26">
        <f t="shared" si="68"/>
        <v>8.4896538387159159E-2</v>
      </c>
      <c r="X67" s="26">
        <f t="shared" si="68"/>
        <v>7.3711632877993385E-2</v>
      </c>
      <c r="Y67" s="26">
        <f t="shared" si="68"/>
        <v>7.9257127910018307E-2</v>
      </c>
      <c r="Z67" s="26">
        <f t="shared" si="58"/>
        <v>6.2322147306893637E-2</v>
      </c>
      <c r="AA67" s="26">
        <f t="shared" si="58"/>
        <v>8.4886909703877023E-2</v>
      </c>
      <c r="AB67" s="26">
        <f t="shared" si="58"/>
        <v>7.8626998183978655E-2</v>
      </c>
      <c r="AC67" s="26">
        <f t="shared" si="58"/>
        <v>7.5799911762852154E-2</v>
      </c>
      <c r="AD67" s="26">
        <f t="shared" si="58"/>
        <v>7.2547644101484857E-2</v>
      </c>
      <c r="AE67" s="26">
        <f t="shared" si="58"/>
        <v>7.201965347814844E-2</v>
      </c>
      <c r="AF67" s="26">
        <f t="shared" si="55"/>
        <v>7.2263005576339384E-2</v>
      </c>
      <c r="AG67" s="26">
        <f t="shared" si="55"/>
        <v>7.2319914008834252E-2</v>
      </c>
    </row>
    <row r="69" spans="2:33" x14ac:dyDescent="0.25">
      <c r="B69" s="74" t="s">
        <v>349</v>
      </c>
    </row>
    <row r="70" spans="2:33" x14ac:dyDescent="0.25">
      <c r="B70" s="73" t="s">
        <v>27</v>
      </c>
      <c r="C70" s="7" t="s">
        <v>118</v>
      </c>
      <c r="E70" s="26">
        <f t="shared" ref="E70:P70" si="69">E16/E$25</f>
        <v>4.3002711040478637E-3</v>
      </c>
      <c r="F70" s="26">
        <f t="shared" si="69"/>
        <v>4.1958455219690922E-3</v>
      </c>
      <c r="G70" s="26">
        <f t="shared" si="69"/>
        <v>4.0199611865816467E-3</v>
      </c>
      <c r="H70" s="26">
        <f t="shared" si="69"/>
        <v>3.9833231537297186E-3</v>
      </c>
      <c r="I70" s="26">
        <f t="shared" si="69"/>
        <v>4.0168862735064604E-3</v>
      </c>
      <c r="J70" s="26">
        <f t="shared" si="69"/>
        <v>3.5168339116571322E-3</v>
      </c>
      <c r="K70" s="26">
        <f t="shared" si="69"/>
        <v>3.4212880143112702E-3</v>
      </c>
      <c r="L70" s="26">
        <f t="shared" si="69"/>
        <v>3.0980631836287384E-3</v>
      </c>
      <c r="M70" s="26">
        <f t="shared" si="69"/>
        <v>3.2002254246840029E-3</v>
      </c>
      <c r="N70" s="26">
        <f t="shared" si="69"/>
        <v>2.9106914667045292E-3</v>
      </c>
      <c r="O70" s="26">
        <f t="shared" si="69"/>
        <v>2.8862300587741392E-3</v>
      </c>
      <c r="P70" s="26">
        <f t="shared" si="69"/>
        <v>2.6778299408504653E-3</v>
      </c>
      <c r="Q70" s="26">
        <f t="shared" ref="Q70:S76" si="70">Q16/Q$25</f>
        <v>2.5943788458340261E-3</v>
      </c>
      <c r="R70" s="26">
        <f t="shared" si="70"/>
        <v>2.3634573138398606E-3</v>
      </c>
      <c r="S70" s="26">
        <f t="shared" si="70"/>
        <v>2.2982892109685853E-3</v>
      </c>
      <c r="T70" s="26">
        <f t="shared" ref="T70:Y70" si="71">T16/T$25</f>
        <v>1.7978854720120216E-3</v>
      </c>
      <c r="U70" s="26">
        <f t="shared" si="71"/>
        <v>1.4205454382574642E-3</v>
      </c>
      <c r="V70" s="26">
        <f t="shared" si="71"/>
        <v>1.388337961126537E-3</v>
      </c>
      <c r="W70" s="26">
        <f t="shared" si="71"/>
        <v>1.5553242299920396E-3</v>
      </c>
      <c r="X70" s="26">
        <f t="shared" si="71"/>
        <v>2.137723447386203E-3</v>
      </c>
      <c r="Y70" s="26">
        <f t="shared" si="71"/>
        <v>2.4441539248564771E-3</v>
      </c>
      <c r="Z70" s="26">
        <f t="shared" ref="Z70:AE70" si="72">Z16/Z$25</f>
        <v>2.4737645671878321E-3</v>
      </c>
      <c r="AA70" s="26">
        <f t="shared" si="72"/>
        <v>3.5032719237778681E-3</v>
      </c>
      <c r="AB70" s="26">
        <f t="shared" si="72"/>
        <v>3.1392046743301972E-3</v>
      </c>
      <c r="AC70" s="26">
        <f t="shared" si="72"/>
        <v>2.9384367855025827E-3</v>
      </c>
      <c r="AD70" s="26">
        <f t="shared" si="72"/>
        <v>2.8029705043736007E-3</v>
      </c>
      <c r="AE70" s="26">
        <f t="shared" si="72"/>
        <v>2.8194754682203719E-3</v>
      </c>
      <c r="AF70" s="26">
        <f t="shared" ref="AF70:AG76" si="73">AF16/AF$25</f>
        <v>2.8296505344061486E-3</v>
      </c>
      <c r="AG70" s="26">
        <f t="shared" si="73"/>
        <v>2.8803733547234475E-3</v>
      </c>
    </row>
    <row r="71" spans="2:33" x14ac:dyDescent="0.25">
      <c r="B71" s="73" t="s">
        <v>319</v>
      </c>
      <c r="C71" s="7" t="s">
        <v>118</v>
      </c>
      <c r="E71" s="26">
        <f t="shared" ref="E71:P71" si="74">E17/E$25</f>
        <v>1.2651522233648063E-2</v>
      </c>
      <c r="F71" s="26">
        <f t="shared" si="74"/>
        <v>1.193747599208108E-2</v>
      </c>
      <c r="G71" s="26">
        <f t="shared" si="74"/>
        <v>1.1477682284446908E-2</v>
      </c>
      <c r="H71" s="26">
        <f t="shared" si="74"/>
        <v>1.1551637145816182E-2</v>
      </c>
      <c r="I71" s="26">
        <f t="shared" si="74"/>
        <v>1.2792631444288089E-2</v>
      </c>
      <c r="J71" s="26">
        <f t="shared" si="74"/>
        <v>1.3340523304886054E-2</v>
      </c>
      <c r="K71" s="26">
        <f t="shared" si="74"/>
        <v>1.4780858676207513E-2</v>
      </c>
      <c r="L71" s="26">
        <f t="shared" si="74"/>
        <v>1.2834833189319059E-2</v>
      </c>
      <c r="M71" s="26">
        <f t="shared" si="74"/>
        <v>1.2800901698736012E-2</v>
      </c>
      <c r="N71" s="26">
        <f t="shared" si="74"/>
        <v>1.1358795967627431E-2</v>
      </c>
      <c r="O71" s="26">
        <f t="shared" si="74"/>
        <v>1.1772320179121186E-2</v>
      </c>
      <c r="P71" s="26">
        <f t="shared" si="74"/>
        <v>1.1185871904818399E-2</v>
      </c>
      <c r="Q71" s="26">
        <f t="shared" si="70"/>
        <v>1.1125893896557458E-2</v>
      </c>
      <c r="R71" s="26">
        <f t="shared" si="70"/>
        <v>1.0362851299144004E-2</v>
      </c>
      <c r="S71" s="26">
        <f t="shared" si="70"/>
        <v>1.0356665756927187E-2</v>
      </c>
      <c r="T71" s="26">
        <f t="shared" ref="T71:Y71" si="75">T17/T$25</f>
        <v>1.0398218214994901E-2</v>
      </c>
      <c r="U71" s="26">
        <f t="shared" si="75"/>
        <v>9.8798295345474095E-3</v>
      </c>
      <c r="V71" s="26">
        <f t="shared" si="75"/>
        <v>9.6563863546211826E-3</v>
      </c>
      <c r="W71" s="26">
        <f t="shared" si="75"/>
        <v>9.5891249770375352E-3</v>
      </c>
      <c r="X71" s="26">
        <f t="shared" si="75"/>
        <v>7.6786043368757299E-3</v>
      </c>
      <c r="Y71" s="26">
        <f t="shared" si="75"/>
        <v>9.5719888592053666E-3</v>
      </c>
      <c r="Z71" s="26">
        <f t="shared" ref="Z71:AE71" si="76">Z17/Z$25</f>
        <v>6.1167694180855377E-3</v>
      </c>
      <c r="AA71" s="26">
        <f t="shared" si="76"/>
        <v>8.8667717963003181E-3</v>
      </c>
      <c r="AB71" s="26">
        <f t="shared" si="76"/>
        <v>8.6736406608660943E-3</v>
      </c>
      <c r="AC71" s="26">
        <f t="shared" si="76"/>
        <v>8.6036074180709625E-3</v>
      </c>
      <c r="AD71" s="26">
        <f t="shared" si="76"/>
        <v>8.5377837202184389E-3</v>
      </c>
      <c r="AE71" s="26">
        <f t="shared" si="76"/>
        <v>8.4662365860135279E-3</v>
      </c>
      <c r="AF71" s="26">
        <f t="shared" si="73"/>
        <v>8.353848925183139E-3</v>
      </c>
      <c r="AG71" s="26">
        <f t="shared" si="73"/>
        <v>8.3494366864768303E-3</v>
      </c>
    </row>
    <row r="72" spans="2:33" x14ac:dyDescent="0.25">
      <c r="B72" s="73" t="s">
        <v>314</v>
      </c>
      <c r="C72" s="7" t="s">
        <v>118</v>
      </c>
      <c r="E72" s="26">
        <f t="shared" ref="E72:P72" si="77">E18/E$25</f>
        <v>1.0065127294256957E-2</v>
      </c>
      <c r="F72" s="26">
        <f t="shared" si="77"/>
        <v>9.4258783204798635E-3</v>
      </c>
      <c r="G72" s="26">
        <f t="shared" si="77"/>
        <v>9.3706681452730804E-3</v>
      </c>
      <c r="H72" s="26">
        <f t="shared" si="77"/>
        <v>9.5068645935682608E-3</v>
      </c>
      <c r="I72" s="26">
        <f t="shared" si="77"/>
        <v>1.0106178840987591E-2</v>
      </c>
      <c r="J72" s="26">
        <f t="shared" si="77"/>
        <v>9.7767982744068269E-3</v>
      </c>
      <c r="K72" s="26">
        <f t="shared" si="77"/>
        <v>1.001788908765653E-2</v>
      </c>
      <c r="L72" s="26">
        <f t="shared" si="77"/>
        <v>8.5987059790511924E-3</v>
      </c>
      <c r="M72" s="26">
        <f t="shared" si="77"/>
        <v>8.2722808147492142E-3</v>
      </c>
      <c r="N72" s="26">
        <f t="shared" si="77"/>
        <v>7.5429504472525914E-3</v>
      </c>
      <c r="O72" s="26">
        <f t="shared" si="77"/>
        <v>8.0289672544080603E-3</v>
      </c>
      <c r="P72" s="26">
        <f t="shared" si="77"/>
        <v>8.304662474789417E-3</v>
      </c>
      <c r="Q72" s="26">
        <f t="shared" si="70"/>
        <v>8.4483618825877266E-3</v>
      </c>
      <c r="R72" s="26">
        <f t="shared" si="70"/>
        <v>8.0751458222861911E-3</v>
      </c>
      <c r="S72" s="26">
        <f t="shared" si="70"/>
        <v>8.5467630032894266E-3</v>
      </c>
      <c r="T72" s="26">
        <f t="shared" ref="T72:Y72" si="78">T18/T$25</f>
        <v>9.1235979176729452E-3</v>
      </c>
      <c r="U72" s="26">
        <f t="shared" si="78"/>
        <v>9.3423258552067477E-3</v>
      </c>
      <c r="V72" s="26">
        <f t="shared" si="78"/>
        <v>9.8299285997619987E-3</v>
      </c>
      <c r="W72" s="26">
        <f t="shared" si="78"/>
        <v>1.0556610127977466E-2</v>
      </c>
      <c r="X72" s="26">
        <f t="shared" si="78"/>
        <v>9.2880398058848828E-3</v>
      </c>
      <c r="Y72" s="26">
        <f t="shared" si="78"/>
        <v>1.1606889103620758E-2</v>
      </c>
      <c r="Z72" s="26">
        <f t="shared" ref="Z72:AE72" si="79">Z18/Z$25</f>
        <v>7.9624297006358341E-3</v>
      </c>
      <c r="AA72" s="26">
        <f t="shared" si="79"/>
        <v>1.2209516435161142E-2</v>
      </c>
      <c r="AB72" s="26">
        <f t="shared" si="79"/>
        <v>1.2275560475054211E-2</v>
      </c>
      <c r="AC72" s="26">
        <f t="shared" si="79"/>
        <v>1.2270302311796088E-2</v>
      </c>
      <c r="AD72" s="26">
        <f t="shared" si="79"/>
        <v>1.2500604088470771E-2</v>
      </c>
      <c r="AE72" s="26">
        <f t="shared" si="79"/>
        <v>1.2988331589059498E-2</v>
      </c>
      <c r="AF72" s="26">
        <f t="shared" si="73"/>
        <v>1.3390176534165967E-2</v>
      </c>
      <c r="AG72" s="26">
        <f t="shared" si="73"/>
        <v>1.3964341707076968E-2</v>
      </c>
    </row>
    <row r="73" spans="2:33" x14ac:dyDescent="0.25">
      <c r="B73" s="73" t="s">
        <v>315</v>
      </c>
      <c r="C73" s="7" t="s">
        <v>118</v>
      </c>
      <c r="E73" s="26">
        <f t="shared" ref="E73:P73" si="80">E19/E$25</f>
        <v>7.9461531270449658E-3</v>
      </c>
      <c r="F73" s="26">
        <f t="shared" si="80"/>
        <v>7.5643412227048429E-3</v>
      </c>
      <c r="G73" s="26">
        <f t="shared" si="80"/>
        <v>7.6795120598835594E-3</v>
      </c>
      <c r="H73" s="26">
        <f t="shared" si="80"/>
        <v>7.3824255782457444E-3</v>
      </c>
      <c r="I73" s="26">
        <f t="shared" si="80"/>
        <v>7.189458871689907E-3</v>
      </c>
      <c r="J73" s="26">
        <f t="shared" si="80"/>
        <v>6.6350933133264558E-3</v>
      </c>
      <c r="K73" s="26">
        <f t="shared" si="80"/>
        <v>6.3506261180679788E-3</v>
      </c>
      <c r="L73" s="26">
        <f t="shared" si="80"/>
        <v>6.3225779257729351E-3</v>
      </c>
      <c r="M73" s="26">
        <f t="shared" si="80"/>
        <v>6.1991788100797035E-3</v>
      </c>
      <c r="N73" s="26">
        <f t="shared" si="80"/>
        <v>6.1940934260968335E-3</v>
      </c>
      <c r="O73" s="26">
        <f t="shared" si="80"/>
        <v>5.37013713965855E-3</v>
      </c>
      <c r="P73" s="26">
        <f t="shared" si="80"/>
        <v>5.6776774062335814E-3</v>
      </c>
      <c r="Q73" s="26">
        <f t="shared" si="70"/>
        <v>5.8373524031265587E-3</v>
      </c>
      <c r="R73" s="26">
        <f t="shared" si="70"/>
        <v>4.9390197712294521E-3</v>
      </c>
      <c r="S73" s="26">
        <f t="shared" si="70"/>
        <v>4.6971285749170463E-3</v>
      </c>
      <c r="T73" s="26">
        <f t="shared" ref="T73:Y73" si="81">T19/T$25</f>
        <v>4.8569741855847151E-3</v>
      </c>
      <c r="U73" s="26">
        <f t="shared" si="81"/>
        <v>4.4280065012349788E-3</v>
      </c>
      <c r="V73" s="26">
        <f t="shared" si="81"/>
        <v>4.4129313764379218E-3</v>
      </c>
      <c r="W73" s="26">
        <f t="shared" si="81"/>
        <v>5.5599779560345352E-3</v>
      </c>
      <c r="X73" s="26">
        <f t="shared" si="81"/>
        <v>5.8111677621475524E-3</v>
      </c>
      <c r="Y73" s="26">
        <f t="shared" si="81"/>
        <v>5.6954470528050929E-3</v>
      </c>
      <c r="Z73" s="26">
        <f t="shared" ref="Z73:AE73" si="82">Z19/Z$25</f>
        <v>5.5852965618537771E-3</v>
      </c>
      <c r="AA73" s="26">
        <f t="shared" si="82"/>
        <v>5.2974004022624905E-3</v>
      </c>
      <c r="AB73" s="26">
        <f t="shared" si="82"/>
        <v>5.7249657500068043E-3</v>
      </c>
      <c r="AC73" s="26">
        <f t="shared" si="82"/>
        <v>4.6828689982216952E-3</v>
      </c>
      <c r="AD73" s="26">
        <f t="shared" si="82"/>
        <v>4.6474539684585271E-3</v>
      </c>
      <c r="AE73" s="26">
        <f t="shared" si="82"/>
        <v>4.6470579046845465E-3</v>
      </c>
      <c r="AF73" s="26">
        <f t="shared" si="73"/>
        <v>4.6009967575357273E-3</v>
      </c>
      <c r="AG73" s="26">
        <f t="shared" si="73"/>
        <v>4.6013052831151788E-3</v>
      </c>
    </row>
    <row r="74" spans="2:33" x14ac:dyDescent="0.25">
      <c r="B74" s="73" t="s">
        <v>316</v>
      </c>
      <c r="C74" s="7" t="s">
        <v>118</v>
      </c>
      <c r="E74" s="26">
        <f t="shared" ref="E74:P74" si="83">E20/E$25</f>
        <v>2.5552335545791656E-3</v>
      </c>
      <c r="F74" s="26">
        <f t="shared" si="83"/>
        <v>2.3638566320952634E-3</v>
      </c>
      <c r="G74" s="26">
        <f t="shared" si="83"/>
        <v>2.2179096201829776E-3</v>
      </c>
      <c r="H74" s="26">
        <f t="shared" si="83"/>
        <v>2.1509945030140478E-3</v>
      </c>
      <c r="I74" s="26">
        <f t="shared" si="83"/>
        <v>2.2770883970832799E-3</v>
      </c>
      <c r="J74" s="26">
        <f t="shared" si="83"/>
        <v>2.1804370252274221E-3</v>
      </c>
      <c r="K74" s="26">
        <f t="shared" si="83"/>
        <v>2.2137745974955278E-3</v>
      </c>
      <c r="L74" s="26">
        <f t="shared" si="83"/>
        <v>2.0443001959999157E-3</v>
      </c>
      <c r="M74" s="26">
        <f t="shared" si="83"/>
        <v>2.0127203928830208E-3</v>
      </c>
      <c r="N74" s="26">
        <f t="shared" si="83"/>
        <v>2.0587817691324721E-3</v>
      </c>
      <c r="O74" s="26">
        <f t="shared" si="83"/>
        <v>2.4489224741113908E-3</v>
      </c>
      <c r="P74" s="26">
        <f t="shared" si="83"/>
        <v>2.6778299408504653E-3</v>
      </c>
      <c r="Q74" s="26">
        <f t="shared" si="70"/>
        <v>2.9103608847497091E-3</v>
      </c>
      <c r="R74" s="26">
        <f t="shared" si="70"/>
        <v>2.9846223770926446E-3</v>
      </c>
      <c r="S74" s="26">
        <f t="shared" si="70"/>
        <v>3.5910768921384143E-3</v>
      </c>
      <c r="T74" s="26">
        <f t="shared" ref="T74:Y74" si="84">T20/T$25</f>
        <v>3.8238608919658672E-3</v>
      </c>
      <c r="U74" s="26">
        <f t="shared" si="84"/>
        <v>3.7625257553846351E-3</v>
      </c>
      <c r="V74" s="26">
        <f t="shared" si="84"/>
        <v>3.6443871479571598E-3</v>
      </c>
      <c r="W74" s="26">
        <f t="shared" si="84"/>
        <v>4.8251791072193989E-3</v>
      </c>
      <c r="X74" s="26">
        <f t="shared" si="84"/>
        <v>2.0762946126911971E-3</v>
      </c>
      <c r="Y74" s="26">
        <f t="shared" si="84"/>
        <v>1.5005968282839767E-3</v>
      </c>
      <c r="Z74" s="26">
        <f t="shared" ref="Z74:AE74" si="85">Z20/Z$25</f>
        <v>1.2465454264344936E-3</v>
      </c>
      <c r="AA74" s="26">
        <f t="shared" si="85"/>
        <v>1.8413423858131652E-3</v>
      </c>
      <c r="AB74" s="26">
        <f t="shared" si="85"/>
        <v>1.8417877135521099E-3</v>
      </c>
      <c r="AC74" s="26">
        <f t="shared" si="85"/>
        <v>1.8883902108561266E-3</v>
      </c>
      <c r="AD74" s="26">
        <f t="shared" si="85"/>
        <v>1.3289946356943795E-3</v>
      </c>
      <c r="AE74" s="26">
        <f t="shared" si="85"/>
        <v>1.3589715553195146E-3</v>
      </c>
      <c r="AF74" s="26">
        <f t="shared" si="73"/>
        <v>1.3960610063648373E-3</v>
      </c>
      <c r="AG74" s="26">
        <f t="shared" si="73"/>
        <v>1.436540635140555E-3</v>
      </c>
    </row>
    <row r="75" spans="2:33" x14ac:dyDescent="0.25">
      <c r="B75" s="73" t="s">
        <v>326</v>
      </c>
      <c r="C75" s="7" t="s">
        <v>118</v>
      </c>
      <c r="E75" s="26">
        <f t="shared" ref="E75:P75" si="86">E21/E$25</f>
        <v>2.8045246330746937E-4</v>
      </c>
      <c r="F75" s="26">
        <f t="shared" si="86"/>
        <v>2.3638566320952634E-4</v>
      </c>
      <c r="G75" s="26">
        <f t="shared" si="86"/>
        <v>2.2179096201829776E-4</v>
      </c>
      <c r="H75" s="26">
        <f t="shared" si="86"/>
        <v>2.1244390153225164E-4</v>
      </c>
      <c r="I75" s="26">
        <f t="shared" si="86"/>
        <v>2.3026736599718561E-4</v>
      </c>
      <c r="J75" s="26">
        <f t="shared" si="86"/>
        <v>1.8756447528838038E-4</v>
      </c>
      <c r="K75" s="26">
        <f t="shared" si="86"/>
        <v>1.7889087656529517E-4</v>
      </c>
      <c r="L75" s="26">
        <f t="shared" si="86"/>
        <v>1.8967733777318805E-4</v>
      </c>
      <c r="M75" s="26">
        <f t="shared" si="86"/>
        <v>2.2139924321713228E-4</v>
      </c>
      <c r="N75" s="26">
        <f t="shared" si="86"/>
        <v>1.9522930569359649E-4</v>
      </c>
      <c r="O75" s="26">
        <f t="shared" si="86"/>
        <v>2.2739994402462918E-4</v>
      </c>
      <c r="P75" s="26">
        <f t="shared" si="86"/>
        <v>2.3727607070826907E-4</v>
      </c>
      <c r="Q75" s="26">
        <f t="shared" si="70"/>
        <v>2.3282887077997672E-4</v>
      </c>
      <c r="R75" s="26">
        <f t="shared" si="70"/>
        <v>1.9695477615332171E-4</v>
      </c>
      <c r="S75" s="26">
        <f t="shared" si="70"/>
        <v>2.0110030595975122E-4</v>
      </c>
      <c r="T75" s="26">
        <f t="shared" ref="T75:Y75" si="87">T21/T$25</f>
        <v>2.0125583641925616E-4</v>
      </c>
      <c r="U75" s="26">
        <f t="shared" si="87"/>
        <v>2.1756101306645849E-4</v>
      </c>
      <c r="V75" s="26">
        <f t="shared" si="87"/>
        <v>1.9833399444664816E-4</v>
      </c>
      <c r="W75" s="26">
        <f t="shared" si="87"/>
        <v>1.8369971220378421E-4</v>
      </c>
      <c r="X75" s="26">
        <f t="shared" si="87"/>
        <v>1.2285766939001166E-4</v>
      </c>
      <c r="Y75" s="26">
        <f t="shared" si="87"/>
        <v>1.81890524640482E-4</v>
      </c>
      <c r="Z75" s="26">
        <f t="shared" ref="Z75:AE75" si="88">Z21/Z$25</f>
        <v>9.6631428405774699E-5</v>
      </c>
      <c r="AA75" s="26">
        <f t="shared" si="88"/>
        <v>1.6052728491704516E-4</v>
      </c>
      <c r="AB75" s="26">
        <f t="shared" si="88"/>
        <v>1.633112258322068E-4</v>
      </c>
      <c r="AC75" s="26">
        <f t="shared" si="88"/>
        <v>1.6936235074942841E-4</v>
      </c>
      <c r="AD75" s="26">
        <f t="shared" si="88"/>
        <v>1.6914477181564832E-4</v>
      </c>
      <c r="AE75" s="26">
        <f t="shared" si="88"/>
        <v>1.6401380840063107E-4</v>
      </c>
      <c r="AF75" s="26">
        <f t="shared" si="73"/>
        <v>1.6512549537648613E-4</v>
      </c>
      <c r="AG75" s="26">
        <f t="shared" si="73"/>
        <v>1.6771794217377038E-4</v>
      </c>
    </row>
    <row r="76" spans="2:33" x14ac:dyDescent="0.25">
      <c r="B76" s="22" t="s">
        <v>327</v>
      </c>
      <c r="C76" s="7" t="s">
        <v>118</v>
      </c>
      <c r="E76" s="26">
        <f t="shared" ref="E76:P76" si="89">E22/E$25</f>
        <v>3.7798759776884482E-2</v>
      </c>
      <c r="F76" s="26">
        <f t="shared" si="89"/>
        <v>3.5723783352539666E-2</v>
      </c>
      <c r="G76" s="26">
        <f t="shared" si="89"/>
        <v>3.4987524258386471E-2</v>
      </c>
      <c r="H76" s="26">
        <f t="shared" si="89"/>
        <v>3.4814244363597736E-2</v>
      </c>
      <c r="I76" s="26">
        <f t="shared" si="89"/>
        <v>3.6612511193552515E-2</v>
      </c>
      <c r="J76" s="26">
        <f t="shared" si="89"/>
        <v>3.563725030479227E-2</v>
      </c>
      <c r="K76" s="26">
        <f t="shared" si="89"/>
        <v>3.6963327370304118E-2</v>
      </c>
      <c r="L76" s="26">
        <f t="shared" si="89"/>
        <v>3.3088157811545026E-2</v>
      </c>
      <c r="M76" s="26">
        <f t="shared" si="89"/>
        <v>3.2706706384349089E-2</v>
      </c>
      <c r="N76" s="26">
        <f t="shared" si="89"/>
        <v>3.0260542382507454E-2</v>
      </c>
      <c r="O76" s="26">
        <f t="shared" si="89"/>
        <v>3.0733977050097956E-2</v>
      </c>
      <c r="P76" s="26">
        <f t="shared" si="89"/>
        <v>3.0761147738250599E-2</v>
      </c>
      <c r="Q76" s="26">
        <f t="shared" si="70"/>
        <v>3.1149176783635456E-2</v>
      </c>
      <c r="R76" s="26">
        <f t="shared" si="70"/>
        <v>2.8937201727141884E-2</v>
      </c>
      <c r="S76" s="26">
        <f t="shared" si="70"/>
        <v>2.969102374420041E-2</v>
      </c>
      <c r="T76" s="26">
        <f t="shared" ref="T76:Y76" si="90">T22/T$25</f>
        <v>3.0201792518649708E-2</v>
      </c>
      <c r="U76" s="26">
        <f t="shared" si="90"/>
        <v>2.906359180434866E-2</v>
      </c>
      <c r="V76" s="26">
        <f t="shared" si="90"/>
        <v>2.9130305434351449E-2</v>
      </c>
      <c r="W76" s="26">
        <f t="shared" si="90"/>
        <v>3.2257669462984508E-2</v>
      </c>
      <c r="X76" s="26">
        <f t="shared" si="90"/>
        <v>2.7114687634375575E-2</v>
      </c>
      <c r="Y76" s="26">
        <f t="shared" si="90"/>
        <v>3.1000966293412154E-2</v>
      </c>
      <c r="Z76" s="26">
        <f t="shared" ref="Z76:AE76" si="91">Z22/Z$25</f>
        <v>2.3491100245443829E-2</v>
      </c>
      <c r="AA76" s="26">
        <f t="shared" si="91"/>
        <v>3.1859944665300614E-2</v>
      </c>
      <c r="AB76" s="26">
        <f t="shared" si="91"/>
        <v>3.1818470499641621E-2</v>
      </c>
      <c r="AC76" s="26">
        <f t="shared" si="91"/>
        <v>3.0552968075196883E-2</v>
      </c>
      <c r="AD76" s="26">
        <f t="shared" si="91"/>
        <v>2.9986951689031364E-2</v>
      </c>
      <c r="AE76" s="26">
        <f t="shared" si="91"/>
        <v>3.04518970930505E-2</v>
      </c>
      <c r="AF76" s="26">
        <f t="shared" si="73"/>
        <v>3.0735859253032304E-2</v>
      </c>
      <c r="AG76" s="26">
        <f t="shared" si="73"/>
        <v>3.1399715608706746E-2</v>
      </c>
    </row>
    <row r="80" spans="2:33" x14ac:dyDescent="0.25">
      <c r="B80" t="s">
        <v>736</v>
      </c>
    </row>
    <row r="81" spans="2:2" x14ac:dyDescent="0.25">
      <c r="B81" t="s">
        <v>737</v>
      </c>
    </row>
  </sheetData>
  <phoneticPr fontId="4" type="noConversion"/>
  <pageMargins left="0.7" right="0.7" top="0.75" bottom="0.75" header="0.3" footer="0.3"/>
  <pageSetup paperSize="9" scale="96" orientation="portrait" r:id="rId1"/>
  <ignoredErrors>
    <ignoredError sqref="O13" twoDigitTextYear="1"/>
  </ignoredErrors>
  <drawing r:id="rId2"/>
  <legacy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16AA-E3B3-4732-9B85-6FFE13FE3E78}">
  <sheetPr>
    <tabColor theme="2" tint="0.59999389629810485"/>
  </sheetPr>
  <dimension ref="B2"/>
  <sheetViews>
    <sheetView workbookViewId="0">
      <selection activeCell="G35" sqref="G35"/>
    </sheetView>
  </sheetViews>
  <sheetFormatPr defaultRowHeight="15" x14ac:dyDescent="0.25"/>
  <sheetData>
    <row r="2" spans="2:2" x14ac:dyDescent="0.25">
      <c r="B2" t="s">
        <v>444</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C0742-28A9-45F1-8D63-BAE108F2CFD4}">
  <sheetPr>
    <tabColor theme="2" tint="0.59999389629810485"/>
  </sheetPr>
  <dimension ref="A1"/>
  <sheetViews>
    <sheetView workbookViewId="0">
      <selection activeCell="Q37" sqref="Q37"/>
    </sheetView>
  </sheetViews>
  <sheetFormatPr defaultRowHeight="15" x14ac:dyDescent="0.25"/>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5DBE2-A29F-4FB6-8B8F-B133C3B13E14}">
  <sheetPr>
    <tabColor rgb="FF021237"/>
  </sheetPr>
  <dimension ref="B6:AB34"/>
  <sheetViews>
    <sheetView topLeftCell="A4" workbookViewId="0">
      <selection activeCell="J16" sqref="J16"/>
    </sheetView>
  </sheetViews>
  <sheetFormatPr defaultRowHeight="15" x14ac:dyDescent="0.25"/>
  <cols>
    <col min="2" max="2" width="61.28515625" bestFit="1" customWidth="1"/>
  </cols>
  <sheetData>
    <row r="6" spans="2:22" ht="24.75" x14ac:dyDescent="0.25">
      <c r="B6" s="341" t="s">
        <v>776</v>
      </c>
      <c r="C6" s="340"/>
      <c r="D6" s="340"/>
      <c r="E6" s="340"/>
      <c r="F6" s="340"/>
      <c r="G6" s="340"/>
      <c r="H6" s="340"/>
      <c r="I6" s="340"/>
      <c r="J6" s="340"/>
      <c r="K6" s="340"/>
      <c r="L6" s="340"/>
      <c r="M6" s="340"/>
      <c r="N6" s="340"/>
      <c r="O6" s="340"/>
      <c r="P6" s="340"/>
      <c r="Q6" s="340"/>
      <c r="R6" s="340"/>
      <c r="S6" s="340"/>
      <c r="T6" s="340"/>
      <c r="U6" s="340"/>
      <c r="V6" s="340"/>
    </row>
    <row r="7" spans="2:22" ht="21.75" x14ac:dyDescent="0.6">
      <c r="B7" s="303" t="s">
        <v>769</v>
      </c>
      <c r="C7" s="302" t="s">
        <v>768</v>
      </c>
      <c r="D7" s="302" t="s">
        <v>767</v>
      </c>
      <c r="E7" s="302" t="s">
        <v>766</v>
      </c>
      <c r="F7" s="302" t="s">
        <v>765</v>
      </c>
      <c r="G7" s="302" t="s">
        <v>764</v>
      </c>
      <c r="H7" s="302" t="s">
        <v>763</v>
      </c>
      <c r="I7" s="302" t="s">
        <v>762</v>
      </c>
      <c r="J7" s="302" t="s">
        <v>761</v>
      </c>
      <c r="K7" s="302" t="s">
        <v>760</v>
      </c>
      <c r="L7" s="302" t="s">
        <v>759</v>
      </c>
      <c r="M7" s="302" t="s">
        <v>758</v>
      </c>
      <c r="N7" s="302" t="s">
        <v>757</v>
      </c>
      <c r="O7" s="302" t="s">
        <v>756</v>
      </c>
      <c r="P7" s="302" t="s">
        <v>755</v>
      </c>
      <c r="Q7" s="302" t="s">
        <v>754</v>
      </c>
      <c r="R7" s="302" t="s">
        <v>753</v>
      </c>
      <c r="S7" s="302" t="s">
        <v>752</v>
      </c>
      <c r="T7" s="302" t="s">
        <v>751</v>
      </c>
      <c r="U7" s="302" t="s">
        <v>750</v>
      </c>
      <c r="V7" s="302" t="s">
        <v>749</v>
      </c>
    </row>
    <row r="8" spans="2:22" ht="21.75" x14ac:dyDescent="0.25">
      <c r="B8" s="300" t="s">
        <v>775</v>
      </c>
      <c r="C8" s="334">
        <v>830.61599999999999</v>
      </c>
      <c r="D8" s="334">
        <v>982.08399999999995</v>
      </c>
      <c r="E8" s="334">
        <v>1086</v>
      </c>
      <c r="F8" s="334">
        <v>1133</v>
      </c>
      <c r="G8" s="284">
        <v>1007.925</v>
      </c>
      <c r="H8" s="334">
        <v>914.57833333333338</v>
      </c>
      <c r="I8" s="334">
        <v>1072.2426666666668</v>
      </c>
      <c r="J8" s="334">
        <v>1100.1869999999999</v>
      </c>
      <c r="K8" s="334">
        <v>1274.6496666666667</v>
      </c>
      <c r="L8" s="284">
        <v>1090.4144166666665</v>
      </c>
      <c r="M8" s="334">
        <v>992.86633333333339</v>
      </c>
      <c r="N8" s="334">
        <v>1139.0143333333333</v>
      </c>
      <c r="O8" s="334">
        <v>1123.9953333333333</v>
      </c>
      <c r="P8" s="334">
        <v>1189.3203333333333</v>
      </c>
      <c r="Q8" s="284">
        <v>1111.2990833333333</v>
      </c>
      <c r="R8" s="335">
        <v>990.56833333333338</v>
      </c>
      <c r="S8" s="335">
        <v>1199</v>
      </c>
      <c r="T8" s="335">
        <v>1197</v>
      </c>
      <c r="U8" s="339">
        <v>1275</v>
      </c>
      <c r="V8" s="284">
        <v>1165</v>
      </c>
    </row>
    <row r="9" spans="2:22" ht="21.75" x14ac:dyDescent="0.25">
      <c r="B9" s="300"/>
      <c r="C9" s="337"/>
      <c r="D9" s="337"/>
      <c r="E9" s="337"/>
      <c r="F9" s="337"/>
      <c r="G9" s="326"/>
      <c r="H9" s="338"/>
      <c r="I9" s="337"/>
      <c r="J9" s="337"/>
      <c r="K9" s="337"/>
      <c r="L9" s="326"/>
      <c r="M9" s="338"/>
      <c r="N9" s="337"/>
      <c r="O9" s="337"/>
      <c r="P9" s="337"/>
      <c r="Q9" s="326"/>
      <c r="R9" s="328"/>
      <c r="S9" s="328"/>
      <c r="T9" s="328"/>
      <c r="U9" s="336"/>
      <c r="V9" s="326"/>
    </row>
    <row r="10" spans="2:22" ht="21.75" x14ac:dyDescent="0.25">
      <c r="B10" s="300" t="s">
        <v>104</v>
      </c>
      <c r="C10" s="334">
        <v>3379.2050716943049</v>
      </c>
      <c r="D10" s="334">
        <v>3561.3983946095123</v>
      </c>
      <c r="E10" s="334">
        <v>4581.0702627666824</v>
      </c>
      <c r="F10" s="334">
        <v>4562.728578864022</v>
      </c>
      <c r="G10" s="284">
        <v>16084.402307934521</v>
      </c>
      <c r="H10" s="334">
        <v>3386.8934774988388</v>
      </c>
      <c r="I10" s="334">
        <v>3377.2182247146588</v>
      </c>
      <c r="J10" s="334">
        <v>3376.7265089852449</v>
      </c>
      <c r="K10" s="334">
        <v>3766.7404908044359</v>
      </c>
      <c r="L10" s="284">
        <v>13907.578702003178</v>
      </c>
      <c r="M10" s="334">
        <v>3142.8397266335724</v>
      </c>
      <c r="N10" s="334">
        <v>2959.4013569028893</v>
      </c>
      <c r="O10" s="334">
        <v>2927.6762848902326</v>
      </c>
      <c r="P10" s="334">
        <v>3021</v>
      </c>
      <c r="Q10" s="284">
        <v>12050.555861386405</v>
      </c>
      <c r="R10" s="335">
        <v>2546.2986555233579</v>
      </c>
      <c r="S10" s="335">
        <v>2726</v>
      </c>
      <c r="T10" s="335">
        <v>2684</v>
      </c>
      <c r="U10" s="334">
        <v>2857</v>
      </c>
      <c r="V10" s="284">
        <v>10813</v>
      </c>
    </row>
    <row r="11" spans="2:22" ht="21.75" x14ac:dyDescent="0.25">
      <c r="B11" s="321" t="s">
        <v>105</v>
      </c>
      <c r="C11" s="332">
        <v>0.11386983741869343</v>
      </c>
      <c r="D11" s="332">
        <v>0.12045180751064659</v>
      </c>
      <c r="E11" s="332">
        <v>0.11206779727080425</v>
      </c>
      <c r="F11" s="332">
        <v>9.9627235038135933E-2</v>
      </c>
      <c r="G11" s="330">
        <v>0.11077370846216036</v>
      </c>
      <c r="H11" s="333">
        <v>0.11516539643833351</v>
      </c>
      <c r="I11" s="332">
        <v>0.11975911125315769</v>
      </c>
      <c r="J11" s="332">
        <v>0.11072803637384009</v>
      </c>
      <c r="K11" s="332">
        <v>0.10333385286807759</v>
      </c>
      <c r="L11" s="330">
        <v>0.11199905604607109</v>
      </c>
      <c r="M11" s="333">
        <v>0.11152476932075285</v>
      </c>
      <c r="N11" s="332">
        <v>0.13160584577209825</v>
      </c>
      <c r="O11" s="332">
        <v>0.11334500564353435</v>
      </c>
      <c r="P11" s="332">
        <v>0.12431416508045948</v>
      </c>
      <c r="Q11" s="330">
        <v>0.12010438755048455</v>
      </c>
      <c r="R11" s="331">
        <v>0.12914390133665232</v>
      </c>
      <c r="S11" s="331">
        <v>0.128</v>
      </c>
      <c r="T11" s="331">
        <v>0.13800000000000001</v>
      </c>
      <c r="U11" s="318">
        <v>0.121</v>
      </c>
      <c r="V11" s="330">
        <v>0.129</v>
      </c>
    </row>
    <row r="12" spans="2:22" ht="21.75" x14ac:dyDescent="0.25">
      <c r="B12" s="286"/>
      <c r="C12" s="327"/>
      <c r="D12" s="327"/>
      <c r="E12" s="327"/>
      <c r="F12" s="327"/>
      <c r="G12" s="326"/>
      <c r="H12" s="329"/>
      <c r="I12" s="327"/>
      <c r="J12" s="327"/>
      <c r="K12" s="327"/>
      <c r="L12" s="326"/>
      <c r="M12" s="329"/>
      <c r="N12" s="327"/>
      <c r="O12" s="327"/>
      <c r="P12" s="327"/>
      <c r="Q12" s="326"/>
      <c r="R12" s="328"/>
      <c r="S12" s="328"/>
      <c r="T12" s="328"/>
      <c r="U12" s="327"/>
      <c r="V12" s="326"/>
    </row>
    <row r="13" spans="2:22" ht="21.75" x14ac:dyDescent="0.25">
      <c r="B13" s="286" t="s">
        <v>774</v>
      </c>
      <c r="C13" s="285">
        <v>384.78953211825478</v>
      </c>
      <c r="D13" s="285">
        <v>428.97687389623076</v>
      </c>
      <c r="E13" s="285">
        <v>513.39045349104651</v>
      </c>
      <c r="F13" s="285">
        <v>454.57203254170588</v>
      </c>
      <c r="G13" s="284">
        <v>1781.7288920472379</v>
      </c>
      <c r="H13" s="285">
        <v>390.05293003055976</v>
      </c>
      <c r="I13" s="285">
        <v>404.45265309979453</v>
      </c>
      <c r="J13" s="285">
        <v>373.89829571142826</v>
      </c>
      <c r="K13" s="285">
        <v>389.23180766901595</v>
      </c>
      <c r="L13" s="284">
        <v>1557.6356865107987</v>
      </c>
      <c r="M13" s="285">
        <v>350.50447552490709</v>
      </c>
      <c r="N13" s="285">
        <v>389.47451855429995</v>
      </c>
      <c r="O13" s="285">
        <v>331.83748503332509</v>
      </c>
      <c r="P13" s="285">
        <v>375</v>
      </c>
      <c r="Q13" s="284">
        <v>1447.3246313747161</v>
      </c>
      <c r="R13" s="283">
        <v>328.83894234255899</v>
      </c>
      <c r="S13" s="283">
        <v>349</v>
      </c>
      <c r="T13" s="283">
        <v>371</v>
      </c>
      <c r="U13" s="285">
        <v>346</v>
      </c>
      <c r="V13" s="284">
        <v>1395</v>
      </c>
    </row>
    <row r="14" spans="2:22" ht="21.75" x14ac:dyDescent="0.25">
      <c r="B14" s="325" t="s">
        <v>106</v>
      </c>
      <c r="C14" s="323">
        <v>384.78953211825478</v>
      </c>
      <c r="D14" s="323">
        <v>428.97687389623076</v>
      </c>
      <c r="E14" s="323">
        <v>513.39045349104651</v>
      </c>
      <c r="F14" s="323">
        <v>454.57203254170588</v>
      </c>
      <c r="G14" s="322">
        <v>1781.7288920472379</v>
      </c>
      <c r="H14" s="323">
        <v>390.05293003055976</v>
      </c>
      <c r="I14" s="323">
        <v>404.45265309979453</v>
      </c>
      <c r="J14" s="323">
        <v>373.89829571142826</v>
      </c>
      <c r="K14" s="323">
        <v>389.23180766901595</v>
      </c>
      <c r="L14" s="322">
        <v>1557.6356865107987</v>
      </c>
      <c r="M14" s="323">
        <v>350.50447552490709</v>
      </c>
      <c r="N14" s="323">
        <v>389.47451855429995</v>
      </c>
      <c r="O14" s="323">
        <v>331.83748503332509</v>
      </c>
      <c r="P14" s="323">
        <v>375</v>
      </c>
      <c r="Q14" s="322">
        <v>1447.3246313747161</v>
      </c>
      <c r="R14" s="324">
        <v>328.83894234255899</v>
      </c>
      <c r="S14" s="324">
        <v>349</v>
      </c>
      <c r="T14" s="324">
        <v>371</v>
      </c>
      <c r="U14" s="323">
        <v>346</v>
      </c>
      <c r="V14" s="322">
        <v>1395</v>
      </c>
    </row>
    <row r="15" spans="2:22" ht="21.75" x14ac:dyDescent="0.25">
      <c r="B15" s="286"/>
      <c r="C15" s="299"/>
      <c r="D15" s="299"/>
      <c r="E15" s="299"/>
      <c r="F15" s="299"/>
      <c r="G15" s="296"/>
      <c r="H15" s="298"/>
      <c r="I15" s="299"/>
      <c r="J15" s="299"/>
      <c r="K15" s="299"/>
      <c r="L15" s="296"/>
      <c r="M15" s="298"/>
      <c r="N15" s="299"/>
      <c r="O15" s="299"/>
      <c r="P15" s="299"/>
      <c r="Q15" s="296"/>
      <c r="R15" s="295"/>
      <c r="S15" s="295"/>
      <c r="T15" s="295"/>
      <c r="U15" s="299"/>
      <c r="V15" s="296"/>
    </row>
    <row r="16" spans="2:22" ht="22.5" x14ac:dyDescent="0.25">
      <c r="B16" s="325" t="s">
        <v>773</v>
      </c>
      <c r="C16" s="323">
        <v>148.73192042950708</v>
      </c>
      <c r="D16" s="323">
        <v>131.08437484883473</v>
      </c>
      <c r="E16" s="323">
        <v>185.05652595612708</v>
      </c>
      <c r="F16" s="323">
        <v>140.223499874521</v>
      </c>
      <c r="G16" s="322">
        <v>605.09632110898974</v>
      </c>
      <c r="H16" s="323">
        <v>141.00242661626407</v>
      </c>
      <c r="I16" s="323">
        <v>143.76082827602784</v>
      </c>
      <c r="J16" s="323">
        <v>98.609699581640768</v>
      </c>
      <c r="K16" s="323">
        <v>101.7061206227674</v>
      </c>
      <c r="L16" s="322">
        <v>485.07907509670031</v>
      </c>
      <c r="M16" s="323">
        <v>84.976507799506464</v>
      </c>
      <c r="N16" s="323">
        <v>107.59599137021962</v>
      </c>
      <c r="O16" s="323">
        <v>63.002566961968711</v>
      </c>
      <c r="P16" s="323">
        <v>101</v>
      </c>
      <c r="Q16" s="322">
        <v>357</v>
      </c>
      <c r="R16" s="324">
        <v>82.602198568761878</v>
      </c>
      <c r="S16" s="324">
        <v>74</v>
      </c>
      <c r="T16" s="324">
        <v>72</v>
      </c>
      <c r="U16" s="323">
        <v>66</v>
      </c>
      <c r="V16" s="322">
        <v>295</v>
      </c>
    </row>
    <row r="17" spans="2:28" ht="22.5" x14ac:dyDescent="0.25">
      <c r="B17" s="321" t="s">
        <v>772</v>
      </c>
      <c r="C17" s="318">
        <v>0.38652797962237262</v>
      </c>
      <c r="D17" s="318">
        <v>0.30557445593336102</v>
      </c>
      <c r="E17" s="318">
        <v>0.36045961645321956</v>
      </c>
      <c r="F17" s="318">
        <v>0.30847366277786969</v>
      </c>
      <c r="G17" s="317">
        <v>0.33961189258918251</v>
      </c>
      <c r="H17" s="320">
        <v>0.3614956221588102</v>
      </c>
      <c r="I17" s="318">
        <v>0.35599999999999998</v>
      </c>
      <c r="J17" s="318">
        <v>0.26373401727871731</v>
      </c>
      <c r="K17" s="318">
        <v>0.26129961277279118</v>
      </c>
      <c r="L17" s="317">
        <v>0.31142010888522192</v>
      </c>
      <c r="M17" s="320">
        <v>0.24244057846122416</v>
      </c>
      <c r="N17" s="318">
        <v>0.27800000000000002</v>
      </c>
      <c r="O17" s="318">
        <v>0.1898597048360634</v>
      </c>
      <c r="P17" s="318">
        <v>0.26800000000000002</v>
      </c>
      <c r="Q17" s="317">
        <v>0.247</v>
      </c>
      <c r="R17" s="319">
        <v>0.25119348085821691</v>
      </c>
      <c r="S17" s="319">
        <v>0.21199999999999999</v>
      </c>
      <c r="T17" s="319">
        <v>0.19400000000000001</v>
      </c>
      <c r="U17" s="318">
        <v>0.191</v>
      </c>
      <c r="V17" s="317">
        <v>0.21099999999999999</v>
      </c>
    </row>
    <row r="18" spans="2:28" ht="21.75" x14ac:dyDescent="0.25">
      <c r="B18" s="286"/>
      <c r="C18" s="316"/>
      <c r="D18" s="316"/>
      <c r="E18" s="316"/>
      <c r="F18" s="316"/>
      <c r="G18" s="315"/>
      <c r="H18" s="316"/>
      <c r="I18" s="316"/>
      <c r="J18" s="316"/>
      <c r="K18" s="316"/>
      <c r="L18" s="315"/>
      <c r="M18" s="316"/>
      <c r="N18" s="316"/>
      <c r="O18" s="316"/>
      <c r="P18" s="316"/>
      <c r="Q18" s="315"/>
      <c r="R18" s="315"/>
      <c r="S18" s="315"/>
      <c r="T18" s="315"/>
      <c r="U18" s="316"/>
      <c r="V18" s="315"/>
    </row>
    <row r="19" spans="2:28" ht="22.5" x14ac:dyDescent="0.25">
      <c r="B19" s="314" t="s">
        <v>771</v>
      </c>
      <c r="C19" s="314"/>
      <c r="D19" s="314"/>
      <c r="E19" s="314"/>
      <c r="F19" s="314"/>
      <c r="G19" s="314"/>
      <c r="H19" s="314"/>
      <c r="I19" s="314"/>
      <c r="J19" s="314"/>
      <c r="K19" s="314"/>
      <c r="L19" s="314"/>
      <c r="M19" s="313"/>
      <c r="N19" s="313"/>
      <c r="O19" s="313"/>
      <c r="P19" s="313"/>
      <c r="Q19" s="313"/>
      <c r="R19" s="313"/>
      <c r="S19" s="313"/>
      <c r="T19" s="313"/>
      <c r="U19" s="313"/>
      <c r="V19" s="313"/>
    </row>
    <row r="20" spans="2:28" ht="21.75" x14ac:dyDescent="0.25">
      <c r="B20" s="312" t="s">
        <v>107</v>
      </c>
      <c r="C20" s="310">
        <v>177.11937682553773</v>
      </c>
      <c r="D20" s="310">
        <v>202.11461597204448</v>
      </c>
      <c r="E20" s="310">
        <v>235.27885439738483</v>
      </c>
      <c r="F20" s="310">
        <v>240.03076849729402</v>
      </c>
      <c r="G20" s="309">
        <v>854.54361569226114</v>
      </c>
      <c r="H20" s="310">
        <v>184.24373379792075</v>
      </c>
      <c r="I20" s="310">
        <v>185.26411298288787</v>
      </c>
      <c r="J20" s="310">
        <v>189.06074685711386</v>
      </c>
      <c r="K20" s="310">
        <v>195.34253001373924</v>
      </c>
      <c r="L20" s="309">
        <v>753.91112365166168</v>
      </c>
      <c r="M20" s="310">
        <v>186.73942322218556</v>
      </c>
      <c r="N20" s="310">
        <v>198.03908630368534</v>
      </c>
      <c r="O20" s="310">
        <v>181.96592910896595</v>
      </c>
      <c r="P20" s="310">
        <v>197</v>
      </c>
      <c r="Q20" s="309">
        <v>764.3144833454262</v>
      </c>
      <c r="R20" s="311">
        <v>173.72261979593873</v>
      </c>
      <c r="S20" s="311">
        <v>192</v>
      </c>
      <c r="T20" s="311">
        <v>207</v>
      </c>
      <c r="U20" s="310">
        <v>190</v>
      </c>
      <c r="V20" s="309">
        <v>763</v>
      </c>
    </row>
    <row r="21" spans="2:28" ht="21.75" x14ac:dyDescent="0.25">
      <c r="B21" s="308" t="s">
        <v>726</v>
      </c>
      <c r="C21" s="285">
        <v>7.3864105705125205</v>
      </c>
      <c r="D21" s="285">
        <v>8.4393985252078068</v>
      </c>
      <c r="E21" s="285">
        <v>6.5744555470546144</v>
      </c>
      <c r="F21" s="285">
        <v>8.6009781763749569</v>
      </c>
      <c r="G21" s="284">
        <v>31.001242819149901</v>
      </c>
      <c r="H21" s="285">
        <v>6.3170277137666266</v>
      </c>
      <c r="I21" s="285">
        <v>8.2596996581035711</v>
      </c>
      <c r="J21" s="285">
        <v>6.7157571276468433</v>
      </c>
      <c r="K21" s="285">
        <v>6.9343037091341539</v>
      </c>
      <c r="L21" s="284">
        <v>28.226788208651193</v>
      </c>
      <c r="M21" s="285">
        <v>9.7940144827024866</v>
      </c>
      <c r="N21" s="285">
        <v>6.2655882400950942</v>
      </c>
      <c r="O21" s="285">
        <v>9.9015000889707263</v>
      </c>
      <c r="P21" s="285">
        <v>6</v>
      </c>
      <c r="Q21" s="284">
        <v>32.143792709244792</v>
      </c>
      <c r="R21" s="283">
        <v>8.7680674105598744</v>
      </c>
      <c r="S21" s="283">
        <v>9</v>
      </c>
      <c r="T21" s="283">
        <v>8</v>
      </c>
      <c r="U21" s="285">
        <v>8</v>
      </c>
      <c r="V21" s="284">
        <v>34</v>
      </c>
    </row>
    <row r="22" spans="2:28" ht="21.75" x14ac:dyDescent="0.25">
      <c r="B22" s="308" t="s">
        <v>727</v>
      </c>
      <c r="C22" s="285">
        <v>41.29445271252839</v>
      </c>
      <c r="D22" s="285">
        <v>68.559887816892569</v>
      </c>
      <c r="E22" s="285">
        <v>65.453072815183518</v>
      </c>
      <c r="F22" s="285">
        <v>56.521442594115953</v>
      </c>
      <c r="G22" s="284">
        <v>231.82885593872044</v>
      </c>
      <c r="H22" s="285">
        <v>46.31213118349001</v>
      </c>
      <c r="I22" s="285">
        <v>53.674190817629771</v>
      </c>
      <c r="J22" s="285">
        <v>62.552075075027254</v>
      </c>
      <c r="K22" s="285">
        <v>66.334489446865305</v>
      </c>
      <c r="L22" s="284">
        <v>228.87288652301237</v>
      </c>
      <c r="M22" s="285">
        <v>52.495681197395129</v>
      </c>
      <c r="N22" s="285">
        <v>56.614528165576885</v>
      </c>
      <c r="O22" s="285">
        <v>58.332554244615501</v>
      </c>
      <c r="P22" s="285">
        <v>58</v>
      </c>
      <c r="Q22" s="284">
        <v>224.69826411415318</v>
      </c>
      <c r="R22" s="283">
        <v>46.908243863631505</v>
      </c>
      <c r="S22" s="283">
        <v>56</v>
      </c>
      <c r="T22" s="283">
        <v>60</v>
      </c>
      <c r="U22" s="285">
        <v>60</v>
      </c>
      <c r="V22" s="284">
        <v>223</v>
      </c>
    </row>
    <row r="23" spans="2:28" ht="21.75" x14ac:dyDescent="0.25">
      <c r="B23" s="307" t="s">
        <v>728</v>
      </c>
      <c r="C23" s="306">
        <v>10.257371580169055</v>
      </c>
      <c r="D23" s="306">
        <v>18.778596733251145</v>
      </c>
      <c r="E23" s="306">
        <v>21.027544775296441</v>
      </c>
      <c r="F23" s="306">
        <v>9.195343399399988</v>
      </c>
      <c r="G23" s="304">
        <v>59.258856488116628</v>
      </c>
      <c r="H23" s="306">
        <v>12.177610719118292</v>
      </c>
      <c r="I23" s="306">
        <v>13.4938213651455</v>
      </c>
      <c r="J23" s="306">
        <v>16.960017069999509</v>
      </c>
      <c r="K23" s="306">
        <v>18.914363876509842</v>
      </c>
      <c r="L23" s="304">
        <v>61.545813030773147</v>
      </c>
      <c r="M23" s="306">
        <v>16.498848823117427</v>
      </c>
      <c r="N23" s="306">
        <v>20.959324474723015</v>
      </c>
      <c r="O23" s="306">
        <v>18.63493462880421</v>
      </c>
      <c r="P23" s="306">
        <v>14</v>
      </c>
      <c r="Q23" s="304">
        <v>70.404314552606593</v>
      </c>
      <c r="R23" s="305">
        <v>16.837812703667012</v>
      </c>
      <c r="S23" s="305">
        <v>18</v>
      </c>
      <c r="T23" s="305">
        <v>24</v>
      </c>
      <c r="U23" s="305">
        <v>21</v>
      </c>
      <c r="V23" s="304">
        <v>80</v>
      </c>
    </row>
    <row r="25" spans="2:28" s="282" customFormat="1" ht="24.75" x14ac:dyDescent="0.6">
      <c r="B25" s="706" t="s">
        <v>770</v>
      </c>
      <c r="C25" s="707"/>
      <c r="D25" s="707"/>
      <c r="E25" s="707"/>
      <c r="F25" s="707"/>
      <c r="G25" s="707"/>
      <c r="H25" s="707"/>
      <c r="I25" s="707"/>
      <c r="J25" s="707"/>
      <c r="K25" s="707"/>
      <c r="L25" s="707"/>
      <c r="M25" s="707"/>
      <c r="N25" s="707"/>
      <c r="O25" s="707"/>
      <c r="P25" s="707"/>
      <c r="Q25" s="707"/>
      <c r="R25" s="707"/>
      <c r="S25" s="707"/>
      <c r="T25" s="707"/>
      <c r="U25" s="707"/>
      <c r="V25" s="707"/>
      <c r="W25" s="707"/>
    </row>
    <row r="26" spans="2:28" s="301" customFormat="1" ht="21.75" x14ac:dyDescent="0.6">
      <c r="B26" s="303" t="s">
        <v>769</v>
      </c>
      <c r="C26" s="302" t="s">
        <v>768</v>
      </c>
      <c r="D26" s="302" t="s">
        <v>767</v>
      </c>
      <c r="E26" s="302" t="s">
        <v>766</v>
      </c>
      <c r="F26" s="302" t="s">
        <v>765</v>
      </c>
      <c r="G26" s="302" t="s">
        <v>764</v>
      </c>
      <c r="H26" s="302" t="s">
        <v>763</v>
      </c>
      <c r="I26" s="302" t="s">
        <v>762</v>
      </c>
      <c r="J26" s="302" t="s">
        <v>761</v>
      </c>
      <c r="K26" s="302" t="s">
        <v>760</v>
      </c>
      <c r="L26" s="302" t="s">
        <v>759</v>
      </c>
      <c r="M26" s="302" t="s">
        <v>758</v>
      </c>
      <c r="N26" s="302" t="s">
        <v>757</v>
      </c>
      <c r="O26" s="302" t="s">
        <v>756</v>
      </c>
      <c r="P26" s="302" t="s">
        <v>755</v>
      </c>
      <c r="Q26" s="302" t="s">
        <v>754</v>
      </c>
      <c r="R26" s="302" t="s">
        <v>753</v>
      </c>
      <c r="S26" s="302" t="s">
        <v>752</v>
      </c>
      <c r="T26" s="302" t="s">
        <v>751</v>
      </c>
      <c r="U26" s="302" t="s">
        <v>750</v>
      </c>
      <c r="V26" s="302" t="s">
        <v>749</v>
      </c>
      <c r="W26" s="302" t="s">
        <v>748</v>
      </c>
      <c r="X26" s="302" t="s">
        <v>747</v>
      </c>
      <c r="Y26" s="302" t="s">
        <v>746</v>
      </c>
      <c r="Z26" s="302" t="s">
        <v>745</v>
      </c>
      <c r="AA26" s="302" t="s">
        <v>744</v>
      </c>
      <c r="AB26" s="302" t="s">
        <v>743</v>
      </c>
    </row>
    <row r="27" spans="2:28" s="294" customFormat="1" ht="21.75" x14ac:dyDescent="0.6">
      <c r="B27" s="300" t="s">
        <v>742</v>
      </c>
      <c r="C27" s="299"/>
      <c r="D27" s="299"/>
      <c r="E27" s="299"/>
      <c r="F27" s="299"/>
      <c r="G27" s="296"/>
      <c r="H27" s="298"/>
      <c r="I27" s="299"/>
      <c r="J27" s="299"/>
      <c r="K27" s="299"/>
      <c r="L27" s="296"/>
      <c r="M27" s="298"/>
      <c r="N27" s="297"/>
      <c r="O27" s="297"/>
      <c r="P27" s="297"/>
      <c r="Q27" s="296"/>
      <c r="R27" s="295"/>
      <c r="S27" s="295"/>
      <c r="T27" s="295"/>
      <c r="U27" s="297"/>
      <c r="V27" s="296"/>
      <c r="W27" s="295"/>
    </row>
    <row r="28" spans="2:28" s="294" customFormat="1" ht="21.75" x14ac:dyDescent="0.6">
      <c r="B28" s="300"/>
      <c r="C28" s="299"/>
      <c r="D28" s="299"/>
      <c r="E28" s="299"/>
      <c r="F28" s="299"/>
      <c r="G28" s="296"/>
      <c r="H28" s="298"/>
      <c r="I28" s="299"/>
      <c r="J28" s="299"/>
      <c r="K28" s="299"/>
      <c r="L28" s="296"/>
      <c r="M28" s="298"/>
      <c r="N28" s="297"/>
      <c r="O28" s="297"/>
      <c r="P28" s="297"/>
      <c r="Q28" s="296"/>
      <c r="R28" s="295"/>
      <c r="S28" s="295"/>
      <c r="T28" s="295"/>
      <c r="U28" s="297"/>
      <c r="V28" s="296"/>
      <c r="W28" s="295"/>
    </row>
    <row r="29" spans="2:28" s="287" customFormat="1" ht="21.75" x14ac:dyDescent="0.6">
      <c r="B29" s="293"/>
      <c r="C29" s="292">
        <f t="shared" ref="C29:V29" si="0">C30-C13</f>
        <v>8.2104678817452168</v>
      </c>
      <c r="D29" s="292">
        <f t="shared" si="0"/>
        <v>18.023126103769243</v>
      </c>
      <c r="E29" s="292">
        <f t="shared" si="0"/>
        <v>20.609546508953485</v>
      </c>
      <c r="F29" s="292">
        <f t="shared" si="0"/>
        <v>21.42796745829412</v>
      </c>
      <c r="G29" s="289">
        <f t="shared" si="0"/>
        <v>68.271107952762122</v>
      </c>
      <c r="H29" s="291">
        <f t="shared" si="0"/>
        <v>25.947069969440236</v>
      </c>
      <c r="I29" s="292">
        <f t="shared" si="0"/>
        <v>28.547346900205469</v>
      </c>
      <c r="J29" s="292">
        <f t="shared" si="0"/>
        <v>34.101704288571739</v>
      </c>
      <c r="K29" s="292">
        <f t="shared" si="0"/>
        <v>33.76819233098405</v>
      </c>
      <c r="L29" s="289">
        <f t="shared" si="0"/>
        <v>122.36431348920132</v>
      </c>
      <c r="M29" s="291">
        <f t="shared" si="0"/>
        <v>38.495524475092907</v>
      </c>
      <c r="N29" s="290">
        <f t="shared" si="0"/>
        <v>39.525481445700052</v>
      </c>
      <c r="O29" s="290">
        <f t="shared" si="0"/>
        <v>49.162514966674905</v>
      </c>
      <c r="P29" s="290">
        <f t="shared" si="0"/>
        <v>25</v>
      </c>
      <c r="Q29" s="289">
        <f t="shared" si="0"/>
        <v>151.67536862528391</v>
      </c>
      <c r="R29" s="288">
        <f t="shared" si="0"/>
        <v>29.161057657441006</v>
      </c>
      <c r="S29" s="288">
        <f t="shared" si="0"/>
        <v>36</v>
      </c>
      <c r="T29" s="288">
        <f t="shared" si="0"/>
        <v>42</v>
      </c>
      <c r="U29" s="290">
        <f t="shared" si="0"/>
        <v>45</v>
      </c>
      <c r="V29" s="289">
        <f t="shared" si="0"/>
        <v>152</v>
      </c>
      <c r="W29" s="288"/>
    </row>
    <row r="30" spans="2:28" s="282" customFormat="1" ht="21.75" x14ac:dyDescent="0.6">
      <c r="B30" s="286" t="s">
        <v>741</v>
      </c>
      <c r="C30" s="285">
        <v>393</v>
      </c>
      <c r="D30" s="285">
        <v>447</v>
      </c>
      <c r="E30" s="285">
        <v>534</v>
      </c>
      <c r="F30" s="285">
        <v>476</v>
      </c>
      <c r="G30" s="284">
        <v>1850</v>
      </c>
      <c r="H30" s="285">
        <v>416</v>
      </c>
      <c r="I30" s="285">
        <v>433</v>
      </c>
      <c r="J30" s="285">
        <v>408</v>
      </c>
      <c r="K30" s="285">
        <v>423</v>
      </c>
      <c r="L30" s="284">
        <v>1680</v>
      </c>
      <c r="M30" s="285">
        <v>389</v>
      </c>
      <c r="N30" s="283">
        <v>429</v>
      </c>
      <c r="O30" s="283">
        <v>381</v>
      </c>
      <c r="P30" s="283">
        <v>400</v>
      </c>
      <c r="Q30" s="284">
        <v>1599</v>
      </c>
      <c r="R30" s="283">
        <v>358</v>
      </c>
      <c r="S30" s="283">
        <v>385</v>
      </c>
      <c r="T30" s="283">
        <v>413</v>
      </c>
      <c r="U30" s="283">
        <v>391</v>
      </c>
      <c r="V30" s="284">
        <v>1547</v>
      </c>
      <c r="W30" s="283">
        <v>313</v>
      </c>
      <c r="X30" s="283">
        <v>402</v>
      </c>
      <c r="Y30" s="283">
        <v>363.04</v>
      </c>
      <c r="Z30" s="283">
        <v>350</v>
      </c>
      <c r="AA30" s="284">
        <v>1428</v>
      </c>
      <c r="AB30" s="283">
        <v>305</v>
      </c>
    </row>
    <row r="32" spans="2:28" x14ac:dyDescent="0.25">
      <c r="C32" s="204">
        <f t="shared" ref="C32:V32" si="1">C14/C30</f>
        <v>0.97910822421947785</v>
      </c>
      <c r="D32" s="204">
        <f t="shared" si="1"/>
        <v>0.95967980737411807</v>
      </c>
      <c r="E32" s="204">
        <f t="shared" si="1"/>
        <v>0.96140534361619201</v>
      </c>
      <c r="F32" s="204">
        <f t="shared" si="1"/>
        <v>0.95498326164223923</v>
      </c>
      <c r="G32" s="204">
        <f t="shared" si="1"/>
        <v>0.96309669840391232</v>
      </c>
      <c r="H32" s="204">
        <f t="shared" si="1"/>
        <v>0.93762723565038408</v>
      </c>
      <c r="I32" s="204">
        <f t="shared" si="1"/>
        <v>0.93407079237827839</v>
      </c>
      <c r="J32" s="204">
        <f t="shared" si="1"/>
        <v>0.91641739144957912</v>
      </c>
      <c r="K32" s="204">
        <f t="shared" si="1"/>
        <v>0.92016975808278001</v>
      </c>
      <c r="L32" s="204">
        <f t="shared" si="1"/>
        <v>0.92716409911357067</v>
      </c>
      <c r="M32" s="204">
        <f t="shared" si="1"/>
        <v>0.90103978284037811</v>
      </c>
      <c r="N32" s="204">
        <f t="shared" si="1"/>
        <v>0.90786601061608374</v>
      </c>
      <c r="O32" s="204">
        <f t="shared" si="1"/>
        <v>0.87096452764652255</v>
      </c>
      <c r="P32" s="204">
        <f t="shared" si="1"/>
        <v>0.9375</v>
      </c>
      <c r="Q32" s="204">
        <f t="shared" si="1"/>
        <v>0.90514360936505067</v>
      </c>
      <c r="R32" s="204">
        <f t="shared" si="1"/>
        <v>0.91854453168312566</v>
      </c>
      <c r="S32" s="204">
        <f t="shared" si="1"/>
        <v>0.90649350649350646</v>
      </c>
      <c r="T32" s="204">
        <f t="shared" si="1"/>
        <v>0.89830508474576276</v>
      </c>
      <c r="U32" s="204">
        <f t="shared" si="1"/>
        <v>0.88491048593350385</v>
      </c>
      <c r="V32" s="204">
        <f t="shared" si="1"/>
        <v>0.90174531351001941</v>
      </c>
      <c r="W32" s="204"/>
    </row>
    <row r="34" spans="8:28" x14ac:dyDescent="0.25">
      <c r="H34" s="204">
        <f t="shared" ref="H34:AB34" si="2">H30/C30-1</f>
        <v>5.8524173027989734E-2</v>
      </c>
      <c r="I34" s="204">
        <f t="shared" si="2"/>
        <v>-3.1319910514541416E-2</v>
      </c>
      <c r="J34" s="204">
        <f t="shared" si="2"/>
        <v>-0.2359550561797753</v>
      </c>
      <c r="K34" s="204">
        <f t="shared" si="2"/>
        <v>-0.1113445378151261</v>
      </c>
      <c r="L34" s="204">
        <f t="shared" si="2"/>
        <v>-9.1891891891891841E-2</v>
      </c>
      <c r="M34" s="204">
        <f t="shared" si="2"/>
        <v>-6.4903846153846145E-2</v>
      </c>
      <c r="N34" s="204">
        <f t="shared" si="2"/>
        <v>-9.2378752886835835E-3</v>
      </c>
      <c r="O34" s="204">
        <f t="shared" si="2"/>
        <v>-6.6176470588235281E-2</v>
      </c>
      <c r="P34" s="204">
        <f t="shared" si="2"/>
        <v>-5.4373522458628809E-2</v>
      </c>
      <c r="Q34" s="204">
        <f t="shared" si="2"/>
        <v>-4.8214285714285765E-2</v>
      </c>
      <c r="R34" s="204">
        <f t="shared" si="2"/>
        <v>-7.9691516709511578E-2</v>
      </c>
      <c r="S34" s="204">
        <f t="shared" si="2"/>
        <v>-0.10256410256410253</v>
      </c>
      <c r="T34" s="204">
        <f t="shared" si="2"/>
        <v>8.3989501312335957E-2</v>
      </c>
      <c r="U34" s="204">
        <f t="shared" si="2"/>
        <v>-2.2499999999999964E-2</v>
      </c>
      <c r="V34" s="204">
        <f t="shared" si="2"/>
        <v>-3.2520325203251987E-2</v>
      </c>
      <c r="W34" s="204">
        <f t="shared" si="2"/>
        <v>-0.12569832402234637</v>
      </c>
      <c r="X34" s="204">
        <f t="shared" si="2"/>
        <v>4.415584415584406E-2</v>
      </c>
      <c r="Y34" s="204">
        <f t="shared" si="2"/>
        <v>-0.12096852300242122</v>
      </c>
      <c r="Z34" s="204">
        <f t="shared" si="2"/>
        <v>-0.1048593350383632</v>
      </c>
      <c r="AA34" s="204">
        <f t="shared" si="2"/>
        <v>-7.6923076923076872E-2</v>
      </c>
      <c r="AB34" s="204">
        <f t="shared" si="2"/>
        <v>-2.5559105431309903E-2</v>
      </c>
    </row>
  </sheetData>
  <mergeCells count="1">
    <mergeCell ref="B25:W25"/>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5CF6D-07A2-49CC-B258-E2B242951542}">
  <sheetPr>
    <tabColor theme="6" tint="0.79998168889431442"/>
  </sheetPr>
  <dimension ref="B2:AL27"/>
  <sheetViews>
    <sheetView topLeftCell="S8" workbookViewId="0">
      <selection activeCell="AF8" sqref="AF8"/>
    </sheetView>
  </sheetViews>
  <sheetFormatPr defaultRowHeight="15" x14ac:dyDescent="0.25"/>
  <cols>
    <col min="1" max="1" width="2.7109375" customWidth="1"/>
    <col min="2" max="2" width="7" bestFit="1" customWidth="1"/>
    <col min="5" max="5" width="12.28515625" customWidth="1"/>
    <col min="7" max="7" width="2.7109375" customWidth="1"/>
    <col min="10" max="10" width="10.140625" bestFit="1" customWidth="1"/>
    <col min="18" max="18" width="2.7109375" customWidth="1"/>
    <col min="24" max="24" width="10.140625" bestFit="1" customWidth="1"/>
    <col min="31" max="31" width="12.7109375" bestFit="1" customWidth="1"/>
  </cols>
  <sheetData>
    <row r="2" spans="2:38" s="664" customFormat="1" ht="75" x14ac:dyDescent="0.25">
      <c r="B2" s="664" t="s">
        <v>546</v>
      </c>
      <c r="C2" s="664" t="s">
        <v>1343</v>
      </c>
      <c r="D2" s="664" t="s">
        <v>1341</v>
      </c>
      <c r="E2" s="664" t="s">
        <v>995</v>
      </c>
      <c r="F2" s="664" t="s">
        <v>1341</v>
      </c>
      <c r="H2" s="664" t="s">
        <v>1330</v>
      </c>
      <c r="I2" s="664" t="s">
        <v>1342</v>
      </c>
      <c r="J2" s="664" t="s">
        <v>995</v>
      </c>
      <c r="K2" s="664" t="s">
        <v>1341</v>
      </c>
      <c r="M2" s="664" t="s">
        <v>1335</v>
      </c>
      <c r="N2" s="664" t="s">
        <v>1340</v>
      </c>
      <c r="O2" s="664" t="s">
        <v>1339</v>
      </c>
      <c r="P2" s="664" t="s">
        <v>1338</v>
      </c>
      <c r="T2" s="664" t="s">
        <v>1332</v>
      </c>
      <c r="U2" s="664" t="s">
        <v>324</v>
      </c>
      <c r="V2" s="664" t="s">
        <v>182</v>
      </c>
      <c r="W2" s="664" t="s">
        <v>1337</v>
      </c>
      <c r="X2" s="664" t="s">
        <v>995</v>
      </c>
      <c r="Y2" s="664" t="s">
        <v>1336</v>
      </c>
      <c r="AB2" s="664" t="s">
        <v>383</v>
      </c>
    </row>
    <row r="3" spans="2:38" ht="30" x14ac:dyDescent="0.25">
      <c r="B3" s="663"/>
      <c r="C3" s="662"/>
      <c r="D3" s="662"/>
      <c r="E3" s="662"/>
      <c r="F3" s="662"/>
      <c r="AI3" s="40" t="s">
        <v>1335</v>
      </c>
      <c r="AJ3" s="663">
        <v>40909</v>
      </c>
      <c r="AK3" s="663" t="s">
        <v>1334</v>
      </c>
      <c r="AL3" s="204">
        <v>9.9524009045833615E-3</v>
      </c>
    </row>
    <row r="4" spans="2:38" ht="30" x14ac:dyDescent="0.25">
      <c r="B4" s="663"/>
      <c r="C4" s="662"/>
      <c r="D4" s="662"/>
      <c r="E4" s="662"/>
      <c r="F4" s="662"/>
      <c r="AI4" s="40" t="s">
        <v>546</v>
      </c>
      <c r="AJ4" s="663">
        <v>43191</v>
      </c>
      <c r="AK4" s="663" t="s">
        <v>1333</v>
      </c>
      <c r="AL4" s="204">
        <v>9.5834115075861537E-3</v>
      </c>
    </row>
    <row r="5" spans="2:38" ht="30" x14ac:dyDescent="0.25">
      <c r="B5" s="663"/>
      <c r="C5" s="662"/>
      <c r="D5" s="662"/>
      <c r="E5" s="662"/>
      <c r="F5" s="662"/>
      <c r="M5" s="205">
        <v>40909</v>
      </c>
      <c r="AI5" s="40" t="s">
        <v>1332</v>
      </c>
      <c r="AJ5" s="663">
        <v>43466</v>
      </c>
      <c r="AK5" s="663" t="s">
        <v>1331</v>
      </c>
      <c r="AL5" s="204">
        <v>1.1871076569554257E-2</v>
      </c>
    </row>
    <row r="6" spans="2:38" ht="30" x14ac:dyDescent="0.25">
      <c r="B6" s="663"/>
      <c r="C6" s="662"/>
      <c r="D6" s="662"/>
      <c r="E6" s="662"/>
      <c r="F6" s="662"/>
      <c r="AI6" s="40" t="s">
        <v>1330</v>
      </c>
      <c r="AJ6" s="663">
        <v>44409</v>
      </c>
      <c r="AK6" s="663" t="s">
        <v>1329</v>
      </c>
      <c r="AL6" s="204">
        <v>2.7959179520014497E-3</v>
      </c>
    </row>
    <row r="7" spans="2:38" ht="30" x14ac:dyDescent="0.25">
      <c r="B7" s="663"/>
      <c r="C7" s="662"/>
      <c r="D7" s="662"/>
      <c r="E7" s="662"/>
      <c r="F7" s="662"/>
      <c r="M7">
        <v>2012</v>
      </c>
      <c r="N7" s="181">
        <v>1456</v>
      </c>
      <c r="P7" s="181">
        <v>4234933</v>
      </c>
      <c r="Q7" s="183">
        <f t="shared" ref="Q7:Q18" si="0">N7/P7</f>
        <v>3.4380709210747845E-4</v>
      </c>
      <c r="AI7" s="40" t="s">
        <v>383</v>
      </c>
      <c r="AJ7" s="42">
        <v>45139</v>
      </c>
      <c r="AK7" s="663" t="s">
        <v>1328</v>
      </c>
      <c r="AL7" s="204">
        <v>1.215529018704056E-3</v>
      </c>
    </row>
    <row r="8" spans="2:38" x14ac:dyDescent="0.25">
      <c r="B8" s="663"/>
      <c r="C8" s="662"/>
      <c r="D8" s="662"/>
      <c r="E8" s="662"/>
      <c r="F8" s="662"/>
      <c r="M8">
        <v>2013</v>
      </c>
      <c r="N8" s="181">
        <v>2870</v>
      </c>
      <c r="O8" s="181">
        <f t="shared" ref="O8:O18" si="1">N8-N7</f>
        <v>1414</v>
      </c>
      <c r="P8" s="181">
        <v>4266808</v>
      </c>
      <c r="Q8" s="183">
        <f t="shared" si="0"/>
        <v>6.7263396899977686E-4</v>
      </c>
      <c r="AB8" s="205">
        <v>45139</v>
      </c>
      <c r="AC8" s="181">
        <v>3878</v>
      </c>
      <c r="AD8" s="181">
        <f>AC8</f>
        <v>3878</v>
      </c>
      <c r="AE8" s="181">
        <v>18647025</v>
      </c>
      <c r="AF8" s="183">
        <f t="shared" ref="AF8:AF16" si="2">AD8/AE8</f>
        <v>2.0796883148920539E-4</v>
      </c>
      <c r="AG8">
        <v>18.647024999999999</v>
      </c>
    </row>
    <row r="9" spans="2:38" x14ac:dyDescent="0.25">
      <c r="B9" s="663"/>
      <c r="C9" s="662"/>
      <c r="D9" s="662"/>
      <c r="E9" s="662"/>
      <c r="F9" s="662"/>
      <c r="M9">
        <v>2014</v>
      </c>
      <c r="N9" s="181">
        <v>4418</v>
      </c>
      <c r="O9" s="181">
        <f t="shared" si="1"/>
        <v>1548</v>
      </c>
      <c r="P9" s="181">
        <v>4301819</v>
      </c>
      <c r="Q9" s="183">
        <f t="shared" si="0"/>
        <v>1.0270074124457585E-3</v>
      </c>
      <c r="AB9" s="205">
        <v>45170</v>
      </c>
      <c r="AC9" s="181">
        <v>3618</v>
      </c>
      <c r="AD9" s="181">
        <f t="shared" ref="AD9:AD16" si="3">AD8+AC9</f>
        <v>7496</v>
      </c>
      <c r="AE9" s="181">
        <v>18647025</v>
      </c>
      <c r="AF9" s="183">
        <f t="shared" si="2"/>
        <v>4.0199442002142435E-4</v>
      </c>
    </row>
    <row r="10" spans="2:38" x14ac:dyDescent="0.25">
      <c r="B10" s="663"/>
      <c r="C10" s="662"/>
      <c r="D10" s="662"/>
      <c r="E10" s="662"/>
      <c r="F10" s="662"/>
      <c r="M10">
        <v>2015</v>
      </c>
      <c r="N10" s="181">
        <v>6177</v>
      </c>
      <c r="O10" s="181">
        <f t="shared" si="1"/>
        <v>1759</v>
      </c>
      <c r="P10" s="181">
        <v>4344164</v>
      </c>
      <c r="Q10" s="183">
        <f t="shared" si="0"/>
        <v>1.4219076443707005E-3</v>
      </c>
      <c r="AB10" s="205">
        <v>45200</v>
      </c>
      <c r="AC10" s="181">
        <v>3121</v>
      </c>
      <c r="AD10" s="181">
        <f t="shared" si="3"/>
        <v>10617</v>
      </c>
      <c r="AE10" s="181">
        <v>18647025</v>
      </c>
      <c r="AF10" s="183">
        <f t="shared" si="2"/>
        <v>5.6936696336278838E-4</v>
      </c>
    </row>
    <row r="11" spans="2:38" x14ac:dyDescent="0.25">
      <c r="B11" s="663"/>
      <c r="C11" s="662"/>
      <c r="D11" s="662"/>
      <c r="E11" s="662"/>
      <c r="F11" s="662"/>
      <c r="M11">
        <v>2016</v>
      </c>
      <c r="N11" s="181">
        <v>8822</v>
      </c>
      <c r="O11" s="181">
        <f t="shared" si="1"/>
        <v>2645</v>
      </c>
      <c r="P11" s="181">
        <v>4396013</v>
      </c>
      <c r="Q11" s="183">
        <f t="shared" si="0"/>
        <v>2.0068184511738249E-3</v>
      </c>
      <c r="AB11" s="205">
        <v>45231</v>
      </c>
      <c r="AC11" s="181">
        <v>2991</v>
      </c>
      <c r="AD11" s="181">
        <f t="shared" si="3"/>
        <v>13608</v>
      </c>
      <c r="AE11" s="181">
        <v>18647025</v>
      </c>
      <c r="AF11" s="183">
        <f t="shared" si="2"/>
        <v>7.2976788522565936E-4</v>
      </c>
    </row>
    <row r="12" spans="2:38" x14ac:dyDescent="0.25">
      <c r="B12" s="663">
        <v>43191</v>
      </c>
      <c r="C12" s="662"/>
      <c r="D12" s="662"/>
      <c r="E12" s="662"/>
      <c r="F12" s="662"/>
      <c r="M12">
        <v>2017</v>
      </c>
      <c r="N12" s="181">
        <v>12877</v>
      </c>
      <c r="O12" s="181">
        <f t="shared" si="1"/>
        <v>4055</v>
      </c>
      <c r="P12" s="181">
        <v>4437851</v>
      </c>
      <c r="Q12" s="183">
        <f t="shared" si="0"/>
        <v>2.901629640111847E-3</v>
      </c>
      <c r="AB12" s="205">
        <v>45261</v>
      </c>
      <c r="AC12" s="181">
        <v>1832</v>
      </c>
      <c r="AD12" s="181">
        <f t="shared" si="3"/>
        <v>15440</v>
      </c>
      <c r="AE12" s="181">
        <v>18647025</v>
      </c>
      <c r="AF12" s="183">
        <f t="shared" si="2"/>
        <v>8.2801412021488684E-4</v>
      </c>
    </row>
    <row r="13" spans="2:38" x14ac:dyDescent="0.25">
      <c r="B13" s="663"/>
      <c r="C13" s="662"/>
      <c r="D13" s="662"/>
      <c r="E13" s="662"/>
      <c r="F13" s="662"/>
      <c r="M13">
        <v>2018</v>
      </c>
      <c r="N13" s="181">
        <v>17355</v>
      </c>
      <c r="O13" s="181">
        <f t="shared" si="1"/>
        <v>4478</v>
      </c>
      <c r="P13" s="181">
        <v>4474640</v>
      </c>
      <c r="Q13" s="183">
        <f t="shared" si="0"/>
        <v>3.8785243058659467E-3</v>
      </c>
      <c r="U13">
        <v>2019</v>
      </c>
      <c r="AB13" s="205">
        <v>45292</v>
      </c>
      <c r="AC13" s="181">
        <v>1983</v>
      </c>
      <c r="AD13" s="181">
        <f t="shared" si="3"/>
        <v>17423</v>
      </c>
      <c r="AE13" s="181">
        <v>18647025</v>
      </c>
      <c r="AF13" s="183">
        <f t="shared" si="2"/>
        <v>9.3435816169067185E-4</v>
      </c>
    </row>
    <row r="14" spans="2:38" x14ac:dyDescent="0.25">
      <c r="B14" s="663"/>
      <c r="C14" s="662"/>
      <c r="D14" s="662"/>
      <c r="E14" s="662"/>
      <c r="F14" s="662"/>
      <c r="M14">
        <v>2019</v>
      </c>
      <c r="N14" s="181">
        <v>21586</v>
      </c>
      <c r="O14" s="181">
        <f t="shared" si="1"/>
        <v>4231</v>
      </c>
      <c r="P14" s="181">
        <v>4504196</v>
      </c>
      <c r="Q14" s="183">
        <f t="shared" si="0"/>
        <v>4.792420223276252E-3</v>
      </c>
      <c r="U14">
        <v>2020</v>
      </c>
      <c r="V14" s="181">
        <v>48105</v>
      </c>
      <c r="AB14" s="205">
        <v>45323</v>
      </c>
      <c r="AC14" s="181">
        <v>1704</v>
      </c>
      <c r="AD14" s="181">
        <f t="shared" si="3"/>
        <v>19127</v>
      </c>
      <c r="AE14" s="181">
        <v>18647025</v>
      </c>
      <c r="AF14" s="183">
        <f t="shared" si="2"/>
        <v>1.02574003091646E-3</v>
      </c>
    </row>
    <row r="15" spans="2:38" x14ac:dyDescent="0.25">
      <c r="B15" s="663"/>
      <c r="C15" s="662"/>
      <c r="D15" s="662"/>
      <c r="E15" s="662"/>
      <c r="F15" s="662"/>
      <c r="H15" s="663">
        <v>44409</v>
      </c>
      <c r="M15">
        <v>2020</v>
      </c>
      <c r="N15" s="181">
        <v>26115</v>
      </c>
      <c r="O15" s="181">
        <f t="shared" si="1"/>
        <v>4529</v>
      </c>
      <c r="P15" s="181">
        <v>4526363</v>
      </c>
      <c r="Q15" s="183">
        <f t="shared" si="0"/>
        <v>5.7695328456864817E-3</v>
      </c>
      <c r="U15">
        <v>2021</v>
      </c>
      <c r="V15" s="181">
        <v>59513</v>
      </c>
      <c r="W15" s="181">
        <f>V15-V14</f>
        <v>11408</v>
      </c>
      <c r="AB15" s="205">
        <v>45352</v>
      </c>
      <c r="AC15" s="181">
        <v>1758</v>
      </c>
      <c r="AD15" s="181">
        <f t="shared" si="3"/>
        <v>20885</v>
      </c>
      <c r="AE15" s="181">
        <v>18647025</v>
      </c>
      <c r="AF15" s="183">
        <f t="shared" si="2"/>
        <v>1.1200178044486989E-3</v>
      </c>
    </row>
    <row r="16" spans="2:38" x14ac:dyDescent="0.25">
      <c r="B16" s="663"/>
      <c r="C16" s="662"/>
      <c r="D16" s="662"/>
      <c r="E16" s="662">
        <v>44792013</v>
      </c>
      <c r="M16">
        <v>2021</v>
      </c>
      <c r="N16" s="181">
        <v>30451</v>
      </c>
      <c r="O16" s="181">
        <f t="shared" si="1"/>
        <v>4336</v>
      </c>
      <c r="P16" s="181">
        <v>4549795</v>
      </c>
      <c r="Q16" s="183">
        <f t="shared" si="0"/>
        <v>6.6928290175711216E-3</v>
      </c>
      <c r="U16">
        <v>2022</v>
      </c>
      <c r="V16" s="181">
        <v>69724</v>
      </c>
      <c r="W16" s="181">
        <f>V16-V15</f>
        <v>10211</v>
      </c>
      <c r="AB16" s="205">
        <v>45383</v>
      </c>
      <c r="AC16" s="181">
        <v>1781</v>
      </c>
      <c r="AD16" s="181">
        <f t="shared" si="3"/>
        <v>22666</v>
      </c>
      <c r="AE16" s="181">
        <v>18647025</v>
      </c>
      <c r="AF16" s="183">
        <f t="shared" si="2"/>
        <v>1.215529018704056E-3</v>
      </c>
    </row>
    <row r="17" spans="2:30" x14ac:dyDescent="0.25">
      <c r="B17" s="663"/>
      <c r="C17" s="662">
        <v>84000</v>
      </c>
      <c r="D17" s="662">
        <v>341365</v>
      </c>
      <c r="E17" s="662">
        <v>45219492</v>
      </c>
      <c r="F17" s="662"/>
      <c r="J17" s="181">
        <f>84358845*83.1%</f>
        <v>70102200.194999993</v>
      </c>
      <c r="M17">
        <v>2022</v>
      </c>
      <c r="N17" s="181">
        <v>38921</v>
      </c>
      <c r="O17" s="181">
        <f t="shared" si="1"/>
        <v>8470</v>
      </c>
      <c r="P17" s="181">
        <v>4583866</v>
      </c>
      <c r="Q17" s="183">
        <f t="shared" si="0"/>
        <v>8.4908677522423214E-3</v>
      </c>
      <c r="U17">
        <v>2023</v>
      </c>
      <c r="V17" s="181">
        <v>85484</v>
      </c>
      <c r="W17" s="181">
        <f>V17-V16</f>
        <v>15760</v>
      </c>
    </row>
    <row r="18" spans="2:30" x14ac:dyDescent="0.25">
      <c r="B18" s="205">
        <v>45261</v>
      </c>
      <c r="C18" s="662">
        <v>92000</v>
      </c>
      <c r="D18" s="662">
        <v>433357</v>
      </c>
      <c r="E18" s="662"/>
      <c r="F18" s="661">
        <f>D18/E17</f>
        <v>9.5834115075861537E-3</v>
      </c>
      <c r="H18" s="205">
        <v>45078</v>
      </c>
      <c r="I18" s="662">
        <v>196000</v>
      </c>
      <c r="K18" s="661">
        <f>I18/J17</f>
        <v>2.7959179520014497E-3</v>
      </c>
      <c r="M18">
        <v>2023</v>
      </c>
      <c r="N18" s="181">
        <v>46152</v>
      </c>
      <c r="O18" s="181">
        <f t="shared" si="1"/>
        <v>7231</v>
      </c>
      <c r="P18" s="181">
        <v>4637273</v>
      </c>
      <c r="Q18" s="183">
        <f t="shared" si="0"/>
        <v>9.9524009045833615E-3</v>
      </c>
      <c r="T18" t="s">
        <v>1327</v>
      </c>
      <c r="U18">
        <v>2023</v>
      </c>
      <c r="V18" s="181">
        <v>99426</v>
      </c>
      <c r="X18" s="181">
        <v>8375483</v>
      </c>
      <c r="Y18" s="183">
        <f>V18/X18</f>
        <v>1.1871076569554257E-2</v>
      </c>
    </row>
    <row r="19" spans="2:30" x14ac:dyDescent="0.25">
      <c r="AB19" t="s">
        <v>1326</v>
      </c>
      <c r="AC19" s="181">
        <v>25972</v>
      </c>
    </row>
    <row r="20" spans="2:30" x14ac:dyDescent="0.25">
      <c r="AB20" t="s">
        <v>1325</v>
      </c>
      <c r="AC20" s="181">
        <v>18869</v>
      </c>
    </row>
    <row r="22" spans="2:30" x14ac:dyDescent="0.25">
      <c r="AB22" t="s">
        <v>1324</v>
      </c>
      <c r="AC22" s="181">
        <v>4541</v>
      </c>
    </row>
    <row r="23" spans="2:30" x14ac:dyDescent="0.25">
      <c r="M23" s="660" t="s">
        <v>1323</v>
      </c>
      <c r="S23" s="181"/>
      <c r="T23" s="181"/>
      <c r="U23" s="181"/>
      <c r="V23" s="181"/>
      <c r="W23" s="181"/>
      <c r="X23" s="181"/>
      <c r="Y23" s="181"/>
      <c r="Z23" s="181"/>
      <c r="AB23" t="s">
        <v>1322</v>
      </c>
      <c r="AC23" s="181">
        <v>5477</v>
      </c>
    </row>
    <row r="24" spans="2:30" x14ac:dyDescent="0.25">
      <c r="S24" s="181"/>
      <c r="T24" s="181"/>
      <c r="U24" s="181"/>
      <c r="V24" s="181"/>
      <c r="W24" s="181" t="s">
        <v>1000</v>
      </c>
      <c r="X24" s="181"/>
      <c r="Y24" s="181"/>
      <c r="Z24" s="181"/>
      <c r="AB24" t="s">
        <v>1321</v>
      </c>
      <c r="AC24" s="181">
        <v>4971</v>
      </c>
      <c r="AD24" s="181">
        <v>59830</v>
      </c>
    </row>
    <row r="25" spans="2:30" x14ac:dyDescent="0.25">
      <c r="S25" s="181"/>
      <c r="T25" s="181"/>
      <c r="U25" s="181"/>
      <c r="V25" s="181"/>
      <c r="W25" s="181"/>
      <c r="X25" s="181"/>
      <c r="Y25" s="181"/>
      <c r="Z25" s="181"/>
    </row>
    <row r="27" spans="2:30" x14ac:dyDescent="0.25">
      <c r="S27" s="183"/>
      <c r="T27" s="183"/>
      <c r="U27" s="183"/>
      <c r="V27" s="183"/>
      <c r="W27" s="183"/>
      <c r="X27" s="183"/>
      <c r="Y27" s="183"/>
      <c r="Z27" s="183"/>
    </row>
  </sheetData>
  <pageMargins left="0.7" right="0.7" top="0.75" bottom="0.75" header="0.3" footer="0.3"/>
  <pageSetup paperSize="9" scale="96"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6798-CED3-4E02-A2E3-445600555704}">
  <dimension ref="C4:Z23"/>
  <sheetViews>
    <sheetView topLeftCell="A10" workbookViewId="0">
      <selection activeCell="M29" sqref="M29"/>
    </sheetView>
  </sheetViews>
  <sheetFormatPr defaultRowHeight="15" x14ac:dyDescent="0.25"/>
  <cols>
    <col min="4" max="4" width="11" customWidth="1"/>
  </cols>
  <sheetData>
    <row r="4" spans="3:26" ht="30" x14ac:dyDescent="0.25">
      <c r="C4" s="667" t="s">
        <v>1352</v>
      </c>
      <c r="D4" s="667" t="s">
        <v>1351</v>
      </c>
      <c r="E4" s="667" t="s">
        <v>1350</v>
      </c>
      <c r="F4" s="667" t="s">
        <v>1349</v>
      </c>
      <c r="G4" s="667" t="s">
        <v>1348</v>
      </c>
      <c r="H4" s="667" t="s">
        <v>1347</v>
      </c>
      <c r="I4" s="667" t="s">
        <v>182</v>
      </c>
      <c r="K4" s="667" t="s">
        <v>1352</v>
      </c>
      <c r="L4" s="667" t="s">
        <v>1326</v>
      </c>
      <c r="M4" s="667" t="s">
        <v>1347</v>
      </c>
      <c r="N4" s="667" t="s">
        <v>1346</v>
      </c>
      <c r="O4" s="667" t="s">
        <v>1345</v>
      </c>
      <c r="P4" s="667" t="s">
        <v>1344</v>
      </c>
      <c r="Q4" s="667" t="s">
        <v>1324</v>
      </c>
      <c r="R4" s="667" t="s">
        <v>182</v>
      </c>
      <c r="T4" s="667" t="s">
        <v>1352</v>
      </c>
      <c r="U4" s="667" t="s">
        <v>1326</v>
      </c>
      <c r="V4" s="667" t="s">
        <v>1325</v>
      </c>
      <c r="W4" s="667" t="s">
        <v>1324</v>
      </c>
      <c r="X4" s="667" t="s">
        <v>1322</v>
      </c>
      <c r="Y4" s="667" t="s">
        <v>1321</v>
      </c>
      <c r="Z4" s="667" t="s">
        <v>182</v>
      </c>
    </row>
    <row r="5" spans="3:26" ht="78.75" x14ac:dyDescent="0.25">
      <c r="C5" s="666" t="s">
        <v>1360</v>
      </c>
      <c r="D5" s="669">
        <v>135</v>
      </c>
      <c r="E5" s="669">
        <v>109</v>
      </c>
      <c r="F5" s="669">
        <v>103</v>
      </c>
      <c r="G5" s="669">
        <v>58</v>
      </c>
      <c r="H5" s="669">
        <v>91</v>
      </c>
      <c r="I5" s="669">
        <v>496</v>
      </c>
      <c r="K5" s="666" t="s">
        <v>1360</v>
      </c>
      <c r="L5" s="669">
        <v>405</v>
      </c>
      <c r="M5" s="669">
        <v>91</v>
      </c>
      <c r="N5" s="669">
        <v>56</v>
      </c>
      <c r="O5" s="669">
        <v>55</v>
      </c>
      <c r="P5" s="669">
        <v>58</v>
      </c>
      <c r="Q5" s="669">
        <v>62</v>
      </c>
      <c r="R5" s="669">
        <v>727</v>
      </c>
      <c r="T5" s="666" t="s">
        <v>1360</v>
      </c>
      <c r="U5" s="669">
        <v>405</v>
      </c>
      <c r="V5" s="669">
        <v>260</v>
      </c>
      <c r="W5" s="669">
        <v>62</v>
      </c>
      <c r="X5" s="669">
        <v>76</v>
      </c>
      <c r="Y5" s="669">
        <v>63</v>
      </c>
      <c r="Z5" s="669">
        <v>866</v>
      </c>
    </row>
    <row r="6" spans="3:26" ht="47.25" x14ac:dyDescent="0.25">
      <c r="C6" s="666" t="s">
        <v>1359</v>
      </c>
      <c r="D6" s="668">
        <v>2271</v>
      </c>
      <c r="E6" s="668">
        <v>2476</v>
      </c>
      <c r="F6" s="668">
        <v>1710</v>
      </c>
      <c r="G6" s="668">
        <v>1598</v>
      </c>
      <c r="H6" s="668">
        <v>1482</v>
      </c>
      <c r="I6" s="668">
        <v>9537</v>
      </c>
      <c r="K6" s="666" t="s">
        <v>1359</v>
      </c>
      <c r="L6" s="668">
        <v>8055</v>
      </c>
      <c r="M6" s="668">
        <v>1482</v>
      </c>
      <c r="N6" s="668">
        <v>1618</v>
      </c>
      <c r="O6" s="668">
        <v>1376</v>
      </c>
      <c r="P6" s="668">
        <v>1467</v>
      </c>
      <c r="Q6" s="668">
        <v>1485</v>
      </c>
      <c r="R6" s="668">
        <v>15483</v>
      </c>
      <c r="T6" s="666" t="s">
        <v>1359</v>
      </c>
      <c r="U6" s="668">
        <v>8055</v>
      </c>
      <c r="V6" s="668">
        <v>5943</v>
      </c>
      <c r="W6" s="668">
        <v>1485</v>
      </c>
      <c r="X6" s="668">
        <v>1649</v>
      </c>
      <c r="Y6" s="668">
        <v>1469</v>
      </c>
      <c r="Z6" s="668">
        <v>18601</v>
      </c>
    </row>
    <row r="7" spans="3:26" ht="63" x14ac:dyDescent="0.25">
      <c r="C7" s="666" t="s">
        <v>1358</v>
      </c>
      <c r="D7" s="669">
        <v>55</v>
      </c>
      <c r="E7" s="669">
        <v>62</v>
      </c>
      <c r="F7" s="669">
        <v>38</v>
      </c>
      <c r="G7" s="669">
        <v>33</v>
      </c>
      <c r="H7" s="669">
        <v>41</v>
      </c>
      <c r="I7" s="669">
        <v>229</v>
      </c>
      <c r="K7" s="666" t="s">
        <v>1358</v>
      </c>
      <c r="L7" s="669">
        <v>188</v>
      </c>
      <c r="M7" s="669">
        <v>41</v>
      </c>
      <c r="N7" s="669">
        <v>52</v>
      </c>
      <c r="O7" s="669">
        <v>44</v>
      </c>
      <c r="P7" s="669">
        <v>39</v>
      </c>
      <c r="Q7" s="669">
        <v>31</v>
      </c>
      <c r="R7" s="669">
        <v>395</v>
      </c>
      <c r="T7" s="666" t="s">
        <v>1358</v>
      </c>
      <c r="U7" s="669">
        <v>188</v>
      </c>
      <c r="V7" s="669">
        <v>176</v>
      </c>
      <c r="W7" s="669">
        <v>31</v>
      </c>
      <c r="X7" s="669">
        <v>42</v>
      </c>
      <c r="Y7" s="669">
        <v>42</v>
      </c>
      <c r="Z7" s="669">
        <v>479</v>
      </c>
    </row>
    <row r="8" spans="3:26" ht="31.5" x14ac:dyDescent="0.25">
      <c r="C8" s="666" t="s">
        <v>1357</v>
      </c>
      <c r="D8" s="668">
        <v>1474</v>
      </c>
      <c r="E8" s="668">
        <v>1536</v>
      </c>
      <c r="F8" s="668">
        <v>1143</v>
      </c>
      <c r="G8" s="668">
        <v>1083</v>
      </c>
      <c r="H8" s="669">
        <v>904</v>
      </c>
      <c r="I8" s="668">
        <v>6140</v>
      </c>
      <c r="K8" s="666" t="s">
        <v>1357</v>
      </c>
      <c r="L8" s="668">
        <v>5236</v>
      </c>
      <c r="M8" s="669">
        <v>904</v>
      </c>
      <c r="N8" s="668">
        <v>1061</v>
      </c>
      <c r="O8" s="669">
        <v>924</v>
      </c>
      <c r="P8" s="668">
        <v>1019</v>
      </c>
      <c r="Q8" s="669">
        <v>934</v>
      </c>
      <c r="R8" s="668">
        <v>10078</v>
      </c>
      <c r="T8" s="666" t="s">
        <v>1357</v>
      </c>
      <c r="U8" s="668">
        <v>5236</v>
      </c>
      <c r="V8" s="668">
        <v>3908</v>
      </c>
      <c r="W8" s="669">
        <v>934</v>
      </c>
      <c r="X8" s="668">
        <v>1130</v>
      </c>
      <c r="Y8" s="668">
        <v>1102</v>
      </c>
      <c r="Z8" s="668">
        <v>12310</v>
      </c>
    </row>
    <row r="9" spans="3:26" ht="47.25" x14ac:dyDescent="0.25">
      <c r="C9" s="666" t="s">
        <v>1356</v>
      </c>
      <c r="D9" s="669">
        <v>480</v>
      </c>
      <c r="E9" s="669">
        <v>477</v>
      </c>
      <c r="F9" s="669">
        <v>302</v>
      </c>
      <c r="G9" s="669">
        <v>353</v>
      </c>
      <c r="H9" s="669">
        <v>259</v>
      </c>
      <c r="I9" s="668">
        <v>1871</v>
      </c>
      <c r="K9" s="666" t="s">
        <v>1356</v>
      </c>
      <c r="L9" s="668">
        <v>1612</v>
      </c>
      <c r="M9" s="669">
        <v>259</v>
      </c>
      <c r="N9" s="669">
        <v>332</v>
      </c>
      <c r="O9" s="669">
        <v>285</v>
      </c>
      <c r="P9" s="669">
        <v>319</v>
      </c>
      <c r="Q9" s="669">
        <v>297</v>
      </c>
      <c r="R9" s="668">
        <v>3104</v>
      </c>
      <c r="T9" s="666" t="s">
        <v>1356</v>
      </c>
      <c r="U9" s="668">
        <v>1612</v>
      </c>
      <c r="V9" s="668">
        <v>1195</v>
      </c>
      <c r="W9" s="669">
        <v>297</v>
      </c>
      <c r="X9" s="669">
        <v>349</v>
      </c>
      <c r="Y9" s="669">
        <v>355</v>
      </c>
      <c r="Z9" s="668">
        <v>3808</v>
      </c>
    </row>
    <row r="10" spans="3:26" ht="31.5" x14ac:dyDescent="0.25">
      <c r="C10" s="666" t="s">
        <v>1355</v>
      </c>
      <c r="D10" s="669">
        <v>187</v>
      </c>
      <c r="E10" s="669">
        <v>196</v>
      </c>
      <c r="F10" s="669">
        <v>149</v>
      </c>
      <c r="G10" s="669">
        <v>102</v>
      </c>
      <c r="H10" s="669">
        <v>114</v>
      </c>
      <c r="I10" s="669">
        <v>748</v>
      </c>
      <c r="K10" s="666" t="s">
        <v>1355</v>
      </c>
      <c r="L10" s="669">
        <v>634</v>
      </c>
      <c r="M10" s="669">
        <v>114</v>
      </c>
      <c r="N10" s="669">
        <v>130</v>
      </c>
      <c r="O10" s="669">
        <v>118</v>
      </c>
      <c r="P10" s="669">
        <v>112</v>
      </c>
      <c r="Q10" s="669">
        <v>124</v>
      </c>
      <c r="R10" s="668">
        <v>1232</v>
      </c>
      <c r="T10" s="666" t="s">
        <v>1355</v>
      </c>
      <c r="U10" s="669">
        <v>634</v>
      </c>
      <c r="V10" s="669">
        <v>474</v>
      </c>
      <c r="W10" s="669">
        <v>124</v>
      </c>
      <c r="X10" s="669">
        <v>154</v>
      </c>
      <c r="Y10" s="669">
        <v>114</v>
      </c>
      <c r="Z10" s="668">
        <v>1500</v>
      </c>
    </row>
    <row r="11" spans="3:26" ht="31.5" x14ac:dyDescent="0.25">
      <c r="C11" s="666" t="s">
        <v>1354</v>
      </c>
      <c r="D11" s="668">
        <v>2007</v>
      </c>
      <c r="E11" s="668">
        <v>2254</v>
      </c>
      <c r="F11" s="668">
        <v>1438</v>
      </c>
      <c r="G11" s="668">
        <v>1321</v>
      </c>
      <c r="H11" s="668">
        <v>1173</v>
      </c>
      <c r="I11" s="668">
        <v>8193</v>
      </c>
      <c r="K11" s="666" t="s">
        <v>1354</v>
      </c>
      <c r="L11" s="668">
        <v>7020</v>
      </c>
      <c r="M11" s="668">
        <v>1173</v>
      </c>
      <c r="N11" s="668">
        <v>1389</v>
      </c>
      <c r="O11" s="668">
        <v>1218</v>
      </c>
      <c r="P11" s="668">
        <v>1217</v>
      </c>
      <c r="Q11" s="668">
        <v>1147</v>
      </c>
      <c r="R11" s="668">
        <v>13164</v>
      </c>
      <c r="T11" s="666" t="s">
        <v>1354</v>
      </c>
      <c r="U11" s="668">
        <v>7020</v>
      </c>
      <c r="V11" s="668">
        <v>4997</v>
      </c>
      <c r="W11" s="668">
        <v>1147</v>
      </c>
      <c r="X11" s="668">
        <v>1535</v>
      </c>
      <c r="Y11" s="668">
        <v>1364</v>
      </c>
      <c r="Z11" s="668">
        <v>16063</v>
      </c>
    </row>
    <row r="12" spans="3:26" ht="63" x14ac:dyDescent="0.25">
      <c r="C12" s="666" t="s">
        <v>1353</v>
      </c>
      <c r="D12" s="669">
        <v>887</v>
      </c>
      <c r="E12" s="669">
        <v>834</v>
      </c>
      <c r="F12" s="669">
        <v>562</v>
      </c>
      <c r="G12" s="669">
        <v>539</v>
      </c>
      <c r="H12" s="669">
        <v>457</v>
      </c>
      <c r="I12" s="668">
        <v>3279</v>
      </c>
      <c r="K12" s="666" t="s">
        <v>1353</v>
      </c>
      <c r="L12" s="668">
        <v>2822</v>
      </c>
      <c r="M12" s="669">
        <v>457</v>
      </c>
      <c r="N12" s="669">
        <v>540</v>
      </c>
      <c r="O12" s="669">
        <v>430</v>
      </c>
      <c r="P12" s="669">
        <v>489</v>
      </c>
      <c r="Q12" s="669">
        <v>461</v>
      </c>
      <c r="R12" s="668">
        <v>5199</v>
      </c>
      <c r="T12" s="666" t="s">
        <v>1353</v>
      </c>
      <c r="U12" s="668">
        <v>2822</v>
      </c>
      <c r="V12" s="668">
        <v>1916</v>
      </c>
      <c r="W12" s="669">
        <v>461</v>
      </c>
      <c r="X12" s="669">
        <v>542</v>
      </c>
      <c r="Y12" s="669">
        <v>462</v>
      </c>
      <c r="Z12" s="668">
        <v>6203</v>
      </c>
    </row>
    <row r="13" spans="3:26" ht="15.75" x14ac:dyDescent="0.25">
      <c r="C13" s="666" t="s">
        <v>182</v>
      </c>
      <c r="D13" s="665">
        <v>7496</v>
      </c>
      <c r="E13" s="665">
        <v>7944</v>
      </c>
      <c r="F13" s="665">
        <v>5445</v>
      </c>
      <c r="G13" s="665">
        <v>5087</v>
      </c>
      <c r="H13" s="665">
        <v>4521</v>
      </c>
      <c r="I13" s="665">
        <v>30493</v>
      </c>
      <c r="K13" s="666" t="s">
        <v>182</v>
      </c>
      <c r="L13" s="665">
        <v>25972</v>
      </c>
      <c r="M13" s="665">
        <v>4521</v>
      </c>
      <c r="N13" s="665">
        <v>5178</v>
      </c>
      <c r="O13" s="665">
        <v>4450</v>
      </c>
      <c r="P13" s="665">
        <v>4720</v>
      </c>
      <c r="Q13" s="665">
        <v>4541</v>
      </c>
      <c r="R13" s="665">
        <v>49382</v>
      </c>
      <c r="T13" s="666" t="s">
        <v>182</v>
      </c>
      <c r="U13" s="665">
        <v>25972</v>
      </c>
      <c r="V13" s="665">
        <v>18869</v>
      </c>
      <c r="W13" s="665">
        <v>4541</v>
      </c>
      <c r="X13" s="665">
        <v>5477</v>
      </c>
      <c r="Y13" s="665">
        <v>4971</v>
      </c>
      <c r="Z13" s="665">
        <v>59830</v>
      </c>
    </row>
    <row r="17" spans="3:14" x14ac:dyDescent="0.25">
      <c r="D17" s="205">
        <v>45199</v>
      </c>
      <c r="E17" s="205">
        <f>EOMONTH(D17,3)</f>
        <v>45291</v>
      </c>
      <c r="F17" s="205">
        <f t="shared" ref="F17:N17" si="0">EOMONTH(E17,3)</f>
        <v>45382</v>
      </c>
      <c r="G17" s="205">
        <f t="shared" si="0"/>
        <v>45473</v>
      </c>
      <c r="H17" s="205">
        <f t="shared" si="0"/>
        <v>45565</v>
      </c>
      <c r="I17" s="205">
        <f t="shared" si="0"/>
        <v>45657</v>
      </c>
      <c r="J17" s="205">
        <f t="shared" si="0"/>
        <v>45747</v>
      </c>
      <c r="K17" s="205">
        <f t="shared" si="0"/>
        <v>45838</v>
      </c>
      <c r="L17" s="205">
        <f t="shared" si="0"/>
        <v>45930</v>
      </c>
      <c r="M17" s="205">
        <f t="shared" si="0"/>
        <v>46022</v>
      </c>
      <c r="N17" s="205">
        <f t="shared" si="0"/>
        <v>46112</v>
      </c>
    </row>
    <row r="18" spans="3:14" ht="30" x14ac:dyDescent="0.25">
      <c r="C18" s="667" t="s">
        <v>1352</v>
      </c>
      <c r="D18" s="667" t="s">
        <v>1351</v>
      </c>
      <c r="E18" s="667" t="s">
        <v>1350</v>
      </c>
      <c r="F18" s="667" t="s">
        <v>1349</v>
      </c>
      <c r="G18" s="667" t="s">
        <v>1348</v>
      </c>
      <c r="H18" s="667" t="s">
        <v>1347</v>
      </c>
      <c r="I18" s="667" t="s">
        <v>1346</v>
      </c>
      <c r="J18" s="667" t="s">
        <v>1345</v>
      </c>
      <c r="K18" s="667" t="s">
        <v>1344</v>
      </c>
      <c r="L18" s="667" t="s">
        <v>1324</v>
      </c>
      <c r="M18" s="667" t="s">
        <v>1322</v>
      </c>
      <c r="N18" s="667" t="s">
        <v>1321</v>
      </c>
    </row>
    <row r="19" spans="3:14" ht="15.75" x14ac:dyDescent="0.25">
      <c r="C19" s="666" t="s">
        <v>182</v>
      </c>
      <c r="D19" s="665">
        <v>7496</v>
      </c>
      <c r="E19" s="665">
        <v>7944</v>
      </c>
      <c r="F19" s="665">
        <v>5445</v>
      </c>
      <c r="G19" s="665">
        <v>5087</v>
      </c>
      <c r="H19" s="665">
        <v>4521</v>
      </c>
      <c r="I19" s="665">
        <v>5178</v>
      </c>
      <c r="J19" s="665">
        <v>4450</v>
      </c>
      <c r="K19" s="665">
        <v>4720</v>
      </c>
      <c r="L19" s="665">
        <v>4541</v>
      </c>
      <c r="M19" s="665">
        <v>5477</v>
      </c>
      <c r="N19" s="665">
        <v>4971</v>
      </c>
    </row>
    <row r="20" spans="3:14" x14ac:dyDescent="0.25">
      <c r="D20" s="181">
        <f>D19</f>
        <v>7496</v>
      </c>
      <c r="E20" s="181">
        <f>E19+D20</f>
        <v>15440</v>
      </c>
      <c r="F20" s="181">
        <f t="shared" ref="F20:N20" si="1">F19+E20</f>
        <v>20885</v>
      </c>
      <c r="G20" s="181">
        <f t="shared" si="1"/>
        <v>25972</v>
      </c>
      <c r="H20" s="181">
        <f t="shared" si="1"/>
        <v>30493</v>
      </c>
      <c r="I20" s="181">
        <f t="shared" si="1"/>
        <v>35671</v>
      </c>
      <c r="J20" s="181">
        <f t="shared" si="1"/>
        <v>40121</v>
      </c>
      <c r="K20" s="181">
        <f t="shared" si="1"/>
        <v>44841</v>
      </c>
      <c r="L20" s="181">
        <f t="shared" si="1"/>
        <v>49382</v>
      </c>
      <c r="M20" s="181">
        <f t="shared" si="1"/>
        <v>54859</v>
      </c>
      <c r="N20" s="181">
        <f t="shared" si="1"/>
        <v>59830</v>
      </c>
    </row>
    <row r="22" spans="3:14" x14ac:dyDescent="0.25">
      <c r="D22" s="183">
        <f>D20/$D$23</f>
        <v>3.3889140555843391E-4</v>
      </c>
      <c r="E22" s="183">
        <f t="shared" ref="E22:N22" si="2">E20/$D$23</f>
        <v>6.9803672649709433E-4</v>
      </c>
      <c r="F22" s="183">
        <f t="shared" si="2"/>
        <v>9.4420317570542852E-4</v>
      </c>
      <c r="G22" s="183">
        <f t="shared" si="2"/>
        <v>1.1741845764625994E-3</v>
      </c>
      <c r="H22" s="183">
        <f t="shared" si="2"/>
        <v>1.3785773251992163E-3</v>
      </c>
      <c r="I22" s="183">
        <f t="shared" si="2"/>
        <v>1.6126728025179957E-3</v>
      </c>
      <c r="J22" s="183">
        <f t="shared" si="2"/>
        <v>1.813855667343907E-3</v>
      </c>
      <c r="K22" s="183">
        <f t="shared" si="2"/>
        <v>2.0272451329570083E-3</v>
      </c>
      <c r="L22" s="183">
        <f t="shared" si="2"/>
        <v>2.232542074344528E-3</v>
      </c>
      <c r="M22" s="183">
        <f t="shared" si="2"/>
        <v>2.4801552317943072E-3</v>
      </c>
      <c r="N22" s="183">
        <f t="shared" si="2"/>
        <v>2.7048923151762405E-3</v>
      </c>
    </row>
    <row r="23" spans="3:14" ht="15" customHeight="1" x14ac:dyDescent="0.25">
      <c r="D23" s="670">
        <v>22119180</v>
      </c>
    </row>
  </sheetData>
  <pageMargins left="0.7" right="0.7" top="0.75" bottom="0.75" header="0.3" footer="0.3"/>
  <pageSetup paperSize="9" scale="9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SAM TO DO</vt:lpstr>
      <vt:lpstr>COMPS</vt:lpstr>
      <vt:lpstr>QTR</vt:lpstr>
      <vt:lpstr>HY</vt:lpstr>
      <vt:lpstr>Market Size Summary</vt:lpstr>
      <vt:lpstr>FY - Market Shares</vt:lpstr>
      <vt:lpstr>MS</vt:lpstr>
      <vt:lpstr>SBET QTR</vt:lpstr>
      <vt:lpstr>SBET</vt:lpstr>
      <vt:lpstr>ENT</vt:lpstr>
      <vt:lpstr>B365</vt:lpstr>
      <vt:lpstr>PBH</vt:lpstr>
      <vt:lpstr>BBET + BetR</vt:lpstr>
      <vt:lpstr>BETR</vt:lpstr>
      <vt:lpstr>Profitability</vt:lpstr>
      <vt:lpstr>MERGER</vt:lpstr>
      <vt:lpstr>SportsBet ASIC</vt:lpstr>
      <vt:lpstr>TAH AR </vt:lpstr>
      <vt:lpstr>TAH</vt:lpstr>
      <vt:lpstr>Entain ASIC</vt:lpstr>
      <vt:lpstr>Bet365 ASIC</vt:lpstr>
      <vt:lpstr>Dabble ASIC</vt:lpstr>
      <vt:lpstr>PBH ANN</vt:lpstr>
      <vt:lpstr>PBH AR</vt:lpstr>
      <vt:lpstr>RACING</vt:lpstr>
      <vt:lpstr>AUS</vt:lpstr>
      <vt:lpstr>NSW</vt:lpstr>
      <vt:lpstr>VIC</vt:lpstr>
      <vt:lpstr>QLD</vt:lpstr>
      <vt:lpstr>OTHER</vt:lpstr>
      <vt:lpstr>Media Spend</vt:lpstr>
      <vt:lpstr>Social Media</vt:lpstr>
      <vt:lpstr>Brands</vt:lpstr>
      <vt:lpstr>Black Market</vt:lpstr>
      <vt:lpstr>Ad ban</vt:lpstr>
      <vt:lpstr>AGS Stats</vt:lpstr>
      <vt:lpstr>CPI</vt:lpstr>
      <vt:lpstr>EGM Upside</vt:lpstr>
      <vt:lpstr>UK</vt:lpstr>
      <vt:lpstr>VC Margins</vt:lpstr>
      <vt:lpstr>POCT</vt:lpstr>
      <vt:lpstr>POCT v2</vt:lpstr>
      <vt:lpstr>State Budgets</vt:lpstr>
      <vt:lpstr>Media</vt:lpstr>
      <vt:lpstr>International</vt:lpstr>
      <vt:lpstr>FLUT Restatement</vt:lpstr>
      <vt:lpstr>BetStop</vt:lpstr>
      <vt:lpstr>Aus BetStop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Bradshaw</dc:creator>
  <cp:lastModifiedBy>Sam Bradshaw</cp:lastModifiedBy>
  <cp:lastPrinted>2026-07-09T07:46:35Z</cp:lastPrinted>
  <dcterms:created xsi:type="dcterms:W3CDTF">2024-01-31T02:51:53Z</dcterms:created>
  <dcterms:modified xsi:type="dcterms:W3CDTF">2026-08-14T01:47:50Z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8367da-ee36-4bc2-a015-a051761599f2_Name">
    <vt:lpwstr>Confidential</vt:lpwstr>
  </property>
  <property fmtid="{D5CDD505-2E9C-101B-9397-08002B2CF9AE}" pid="3" name="MSIP_Label_e38367da-ee36-4bc2-a015-a051761599f2_SetDate">
    <vt:lpwstr>2026-07-05T15:08:30Z</vt:lpwstr>
  </property>
  <property fmtid="{D5CDD505-2E9C-101B-9397-08002B2CF9AE}" pid="4" name="MSIP_Label_e38367da-ee36-4bc2-a015-a051761599f2_SiteId">
    <vt:lpwstr>6d13d3d5-8b13-4ab4-a345-350f909f5f65</vt:lpwstr>
  </property>
  <property fmtid="{D5CDD505-2E9C-101B-9397-08002B2CF9AE}" pid="5" name="MSIP_Label_e38367da-ee36-4bc2-a015-a051761599f2_Enabled">
    <vt:lpwstr>True</vt:lpwstr>
  </property>
  <property fmtid="{D5CDD505-2E9C-101B-9397-08002B2CF9AE}" pid="6" name="Id">
    <vt:lpwstr>d1db791e-1e08-464d-8f8e-619586010e48</vt:lpwstr>
  </property>
  <property fmtid="{D5CDD505-2E9C-101B-9397-08002B2CF9AE}" pid="7" name="MSIP_Label_ad7df0ac-6e00-44a6-a4a0-aa9ff45f1d55_Extended_MSFT_Method">
    <vt:lpwstr>Standard</vt:lpwstr>
  </property>
  <property fmtid="{D5CDD505-2E9C-101B-9397-08002B2CF9AE}" pid="8" name="MSIP_Label_ad7df0ac-6e00-44a6-a4a0-aa9ff45f1d55_Parent">
    <vt:lpwstr>e38367da-ee36-4bc2-a015-a051761599f2</vt:lpwstr>
  </property>
  <property fmtid="{D5CDD505-2E9C-101B-9397-08002B2CF9AE}" pid="9" name="MSIP_Label_ad7df0ac-6e00-44a6-a4a0-aa9ff45f1d55_Removed">
    <vt:lpwstr>False</vt:lpwstr>
  </property>
  <property fmtid="{D5CDD505-2E9C-101B-9397-08002B2CF9AE}" pid="10" name="MSIP_Label_ad7df0ac-6e00-44a6-a4a0-aa9ff45f1d55_ActionId">
    <vt:lpwstr>41743895-2edb-4a75-be24-827ba61c2969</vt:lpwstr>
  </property>
  <property fmtid="{D5CDD505-2E9C-101B-9397-08002B2CF9AE}" pid="11" name="MSIP_Label_ad7df0ac-6e00-44a6-a4a0-aa9ff45f1d55_Name">
    <vt:lpwstr>Confidential \ Confidential - EP</vt:lpwstr>
  </property>
  <property fmtid="{D5CDD505-2E9C-101B-9397-08002B2CF9AE}" pid="12" name="MSIP_Label_ad7df0ac-6e00-44a6-a4a0-aa9ff45f1d55_SetDate">
    <vt:lpwstr>2026-07-05T15:08:30Z</vt:lpwstr>
  </property>
  <property fmtid="{D5CDD505-2E9C-101B-9397-08002B2CF9AE}" pid="13" name="MSIP_Label_ad7df0ac-6e00-44a6-a4a0-aa9ff45f1d55_SiteId">
    <vt:lpwstr>6d13d3d5-8b13-4ab4-a345-350f909f5f65</vt:lpwstr>
  </property>
  <property fmtid="{D5CDD505-2E9C-101B-9397-08002B2CF9AE}" pid="14" name="MSIP_Label_ad7df0ac-6e00-44a6-a4a0-aa9ff45f1d55_Enabled">
    <vt:lpwstr>True</vt:lpwstr>
  </property>
  <property fmtid="{D5CDD505-2E9C-101B-9397-08002B2CF9AE}" pid="15" name="MSIP_Label_e38367da-ee36-4bc2-a015-a051761599f2_ActionId">
    <vt:lpwstr>7afde18e-5000-487c-ab87-f6dc1aeb144f</vt:lpwstr>
  </property>
  <property fmtid="{D5CDD505-2E9C-101B-9397-08002B2CF9AE}" pid="16" name="MSIP_Label_e38367da-ee36-4bc2-a015-a051761599f2_Extended_MSFT_Method">
    <vt:lpwstr>Standard</vt:lpwstr>
  </property>
  <property fmtid="{D5CDD505-2E9C-101B-9397-08002B2CF9AE}" pid="17" name="Sensitivity">
    <vt:lpwstr>Confidential \ Confidential - EP Confidential</vt:lpwstr>
  </property>
</Properties>
</file>